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Internal\01_Regulatory Services\02_Cases\2025 Cases\00_2025-00257 Base Case\06_All Filed Discovery\06_Rehearing\01_Staff\As Filed\"/>
    </mc:Choice>
  </mc:AlternateContent>
  <xr:revisionPtr revIDLastSave="0" documentId="13_ncr:1_{3A9CAB8A-EAF8-4007-BA54-812AA5BE6F66}" xr6:coauthVersionLast="47" xr6:coauthVersionMax="47" xr10:uidLastSave="{00000000-0000-0000-0000-000000000000}"/>
  <bookViews>
    <workbookView xWindow="38280" yWindow="-120" windowWidth="38640" windowHeight="21120" tabRatio="955" activeTab="17" xr2:uid="{2458D4FE-0445-4569-99C8-681B5645B593}"/>
  </bookViews>
  <sheets>
    <sheet name="Revenue Requirement Summary" sheetId="1" r:id="rId1"/>
    <sheet name="W21" sheetId="3" r:id="rId2"/>
    <sheet name="W30" sheetId="2" r:id="rId3"/>
    <sheet name="W50" sheetId="4" r:id="rId4"/>
    <sheet name="Sch 4" sheetId="25" r:id="rId5"/>
    <sheet name="Sch 5" sheetId="5" r:id="rId6"/>
    <sheet name="TOR TIR Rate Base &amp; JE" sheetId="7" r:id="rId7"/>
    <sheet name="Pivot" sheetId="8" r:id="rId8"/>
    <sheet name="Query" sheetId="9" r:id="rId9"/>
    <sheet name="WO Check" sheetId="10" r:id="rId10"/>
    <sheet name="TREEREL25 CWIP as of TYE" sheetId="18" r:id="rId11"/>
    <sheet name="TREEREL26 CWIP as of Feb 26" sheetId="19" r:id="rId12"/>
    <sheet name="WACC" sheetId="14" r:id="rId13"/>
    <sheet name="ADIT Summary" sheetId="20" r:id="rId14"/>
    <sheet name="ADIT Calc - TOR" sheetId="26" r:id="rId15"/>
    <sheet name="ADIT Calc - TIR" sheetId="27" r:id="rId16"/>
    <sheet name="Cumulative Through Feb 2026" sheetId="28" r:id="rId17"/>
    <sheet name="MACRS" sheetId="29" r:id="rId18"/>
  </sheets>
  <definedNames>
    <definedName name="\A" localSheetId="3">#REF!</definedName>
    <definedName name="\A">#REF!</definedName>
    <definedName name="\B" localSheetId="3">#REF!</definedName>
    <definedName name="\B">#REF!</definedName>
    <definedName name="\C" localSheetId="3">#REF!</definedName>
    <definedName name="\C">#REF!</definedName>
    <definedName name="\D">#REF!</definedName>
    <definedName name="\E">#REF!</definedName>
    <definedName name="\F">#REF!</definedName>
    <definedName name="\l">#REF!</definedName>
    <definedName name="\M">#REF!</definedName>
    <definedName name="\N">#REF!</definedName>
    <definedName name="\P">#REF!</definedName>
    <definedName name="\X">#REF!</definedName>
    <definedName name="__________TBC95" localSheetId="1" hidden="1">{#N/A,#N/A,FALSE,"Co_BalSht";#N/A,#N/A,FALSE,"Co_IncStmt";#N/A,#N/A,FALSE,"Cons_BalSht";#N/A,#N/A,FALSE,"Cons_IncStmt";#N/A,#N/A,FALSE,"Cashflow"}</definedName>
    <definedName name="__________TBC95" localSheetId="3" hidden="1">{#N/A,#N/A,FALSE,"Co_BalSht";#N/A,#N/A,FALSE,"Co_IncStmt";#N/A,#N/A,FALSE,"Cons_BalSht";#N/A,#N/A,FALSE,"Cons_IncStmt";#N/A,#N/A,FALSE,"Cashflow"}</definedName>
    <definedName name="__________TBC95" hidden="1">{#N/A,#N/A,FALSE,"Co_BalSht";#N/A,#N/A,FALSE,"Co_IncStmt";#N/A,#N/A,FALSE,"Cons_BalSht";#N/A,#N/A,FALSE,"Cons_IncStmt";#N/A,#N/A,FALSE,"Cashflow"}</definedName>
    <definedName name="_________TBC95" localSheetId="1" hidden="1">{#N/A,#N/A,FALSE,"Co_BalSht";#N/A,#N/A,FALSE,"Co_IncStmt";#N/A,#N/A,FALSE,"Cons_BalSht";#N/A,#N/A,FALSE,"Cons_IncStmt";#N/A,#N/A,FALSE,"Cashflow"}</definedName>
    <definedName name="_________TBC95" localSheetId="3" hidden="1">{#N/A,#N/A,FALSE,"Co_BalSht";#N/A,#N/A,FALSE,"Co_IncStmt";#N/A,#N/A,FALSE,"Cons_BalSht";#N/A,#N/A,FALSE,"Cons_IncStmt";#N/A,#N/A,FALSE,"Cashflow"}</definedName>
    <definedName name="_________TBC95" hidden="1">{#N/A,#N/A,FALSE,"Co_BalSht";#N/A,#N/A,FALSE,"Co_IncStmt";#N/A,#N/A,FALSE,"Cons_BalSht";#N/A,#N/A,FALSE,"Cons_IncStmt";#N/A,#N/A,FALSE,"Cashflow"}</definedName>
    <definedName name="________TBC95" localSheetId="1" hidden="1">{#N/A,#N/A,FALSE,"Co_BalSht";#N/A,#N/A,FALSE,"Co_IncStmt";#N/A,#N/A,FALSE,"Cons_BalSht";#N/A,#N/A,FALSE,"Cons_IncStmt";#N/A,#N/A,FALSE,"Cashflow"}</definedName>
    <definedName name="________TBC95" localSheetId="3" hidden="1">{#N/A,#N/A,FALSE,"Co_BalSht";#N/A,#N/A,FALSE,"Co_IncStmt";#N/A,#N/A,FALSE,"Cons_BalSht";#N/A,#N/A,FALSE,"Cons_IncStmt";#N/A,#N/A,FALSE,"Cashflow"}</definedName>
    <definedName name="________TBC95" hidden="1">{#N/A,#N/A,FALSE,"Co_BalSht";#N/A,#N/A,FALSE,"Co_IncStmt";#N/A,#N/A,FALSE,"Cons_BalSht";#N/A,#N/A,FALSE,"Cons_IncStmt";#N/A,#N/A,FALSE,"Cashflow"}</definedName>
    <definedName name="_______TBC95" localSheetId="1" hidden="1">{#N/A,#N/A,FALSE,"Co_BalSht";#N/A,#N/A,FALSE,"Co_IncStmt";#N/A,#N/A,FALSE,"Cons_BalSht";#N/A,#N/A,FALSE,"Cons_IncStmt";#N/A,#N/A,FALSE,"Cashflow"}</definedName>
    <definedName name="_______TBC95" localSheetId="3" hidden="1">{#N/A,#N/A,FALSE,"Co_BalSht";#N/A,#N/A,FALSE,"Co_IncStmt";#N/A,#N/A,FALSE,"Cons_BalSht";#N/A,#N/A,FALSE,"Cons_IncStmt";#N/A,#N/A,FALSE,"Cashflow"}</definedName>
    <definedName name="_______TBC95" hidden="1">{#N/A,#N/A,FALSE,"Co_BalSht";#N/A,#N/A,FALSE,"Co_IncStmt";#N/A,#N/A,FALSE,"Cons_BalSht";#N/A,#N/A,FALSE,"Cons_IncStmt";#N/A,#N/A,FALSE,"Cashflow"}</definedName>
    <definedName name="______a1" localSheetId="1" hidden="1">{#N/A,#N/A,FALSE,"Finanzplan";#N/A,#N/A,FALSE,"Bilanz";#N/A,#N/A,FALSE,"GuV"}</definedName>
    <definedName name="______a1" localSheetId="3" hidden="1">{#N/A,#N/A,FALSE,"Finanzplan";#N/A,#N/A,FALSE,"Bilanz";#N/A,#N/A,FALSE,"GuV"}</definedName>
    <definedName name="______a1" hidden="1">{#N/A,#N/A,FALSE,"Finanzplan";#N/A,#N/A,FALSE,"Bilanz";#N/A,#N/A,FALSE,"GuV"}</definedName>
    <definedName name="______e1" localSheetId="1" hidden="1">{#N/A,#N/A,FALSE,"Summary";#N/A,#N/A,FALSE,"CF";#N/A,#N/A,FALSE,"P&amp;L";"summary",#N/A,FALSE,"Returns";#N/A,#N/A,FALSE,"BS";"summary",#N/A,FALSE,"Analysis";#N/A,#N/A,FALSE,"Assumptions"}</definedName>
    <definedName name="______e1" localSheetId="3" hidden="1">{#N/A,#N/A,FALSE,"Summary";#N/A,#N/A,FALSE,"CF";#N/A,#N/A,FALSE,"P&amp;L";"summary",#N/A,FALSE,"Returns";#N/A,#N/A,FALSE,"BS";"summary",#N/A,FALSE,"Analysis";#N/A,#N/A,FALSE,"Assumptions"}</definedName>
    <definedName name="______e1" hidden="1">{#N/A,#N/A,FALSE,"Summary";#N/A,#N/A,FALSE,"CF";#N/A,#N/A,FALSE,"P&amp;L";"summary",#N/A,FALSE,"Returns";#N/A,#N/A,FALSE,"BS";"summary",#N/A,FALSE,"Analysis";#N/A,#N/A,FALSE,"Assumptions"}</definedName>
    <definedName name="______o1" localSheetId="1" hidden="1">{#N/A,#N/A,FALSE,"Finanzplan";#N/A,#N/A,FALSE,"Bilanz";#N/A,#N/A,FALSE,"GuV"}</definedName>
    <definedName name="______o1" localSheetId="3" hidden="1">{#N/A,#N/A,FALSE,"Finanzplan";#N/A,#N/A,FALSE,"Bilanz";#N/A,#N/A,FALSE,"GuV"}</definedName>
    <definedName name="______o1" hidden="1">{#N/A,#N/A,FALSE,"Finanzplan";#N/A,#N/A,FALSE,"Bilanz";#N/A,#N/A,FALSE,"GuV"}</definedName>
    <definedName name="______TBC95" localSheetId="1" hidden="1">{#N/A,#N/A,FALSE,"Co_BalSht";#N/A,#N/A,FALSE,"Co_IncStmt";#N/A,#N/A,FALSE,"Cons_BalSht";#N/A,#N/A,FALSE,"Cons_IncStmt";#N/A,#N/A,FALSE,"Cashflow"}</definedName>
    <definedName name="______TBC95" localSheetId="3" hidden="1">{#N/A,#N/A,FALSE,"Co_BalSht";#N/A,#N/A,FALSE,"Co_IncStmt";#N/A,#N/A,FALSE,"Cons_BalSht";#N/A,#N/A,FALSE,"Cons_IncStmt";#N/A,#N/A,FALSE,"Cashflow"}</definedName>
    <definedName name="______TBC95" hidden="1">{#N/A,#N/A,FALSE,"Co_BalSht";#N/A,#N/A,FALSE,"Co_IncStmt";#N/A,#N/A,FALSE,"Cons_BalSht";#N/A,#N/A,FALSE,"Cons_IncStmt";#N/A,#N/A,FALSE,"Cashflow"}</definedName>
    <definedName name="______x10" hidden="1">#REF!</definedName>
    <definedName name="______x11" hidden="1">#REF!</definedName>
    <definedName name="______x12" hidden="1">#REF!</definedName>
    <definedName name="______x13" hidden="1">#REF!</definedName>
    <definedName name="______x14" hidden="1">#REF!</definedName>
    <definedName name="______x15" hidden="1">#REF!</definedName>
    <definedName name="______x16" hidden="1">#REF!</definedName>
    <definedName name="______x17" hidden="1">#REF!</definedName>
    <definedName name="______x2" hidden="1">#REF!</definedName>
    <definedName name="______x3" hidden="1">#REF!</definedName>
    <definedName name="______x4" hidden="1">#REF!</definedName>
    <definedName name="______x5" hidden="1">#REF!</definedName>
    <definedName name="______x6" hidden="1">#REF!</definedName>
    <definedName name="______x7" hidden="1">#REF!</definedName>
    <definedName name="______x8" hidden="1">#REF!</definedName>
    <definedName name="______x9" hidden="1">#REF!</definedName>
    <definedName name="______xx2" hidden="1">#REF!</definedName>
    <definedName name="_____a1" localSheetId="1" hidden="1">{#N/A,#N/A,FALSE,"Finanzplan";#N/A,#N/A,FALSE,"Bilanz";#N/A,#N/A,FALSE,"GuV"}</definedName>
    <definedName name="_____a1" localSheetId="3" hidden="1">{#N/A,#N/A,FALSE,"Finanzplan";#N/A,#N/A,FALSE,"Bilanz";#N/A,#N/A,FALSE,"GuV"}</definedName>
    <definedName name="_____a1" hidden="1">{#N/A,#N/A,FALSE,"Finanzplan";#N/A,#N/A,FALSE,"Bilanz";#N/A,#N/A,FALSE,"GuV"}</definedName>
    <definedName name="_____e1" localSheetId="1" hidden="1">{#N/A,#N/A,FALSE,"Summary";#N/A,#N/A,FALSE,"CF";#N/A,#N/A,FALSE,"P&amp;L";"summary",#N/A,FALSE,"Returns";#N/A,#N/A,FALSE,"BS";"summary",#N/A,FALSE,"Analysis";#N/A,#N/A,FALSE,"Assumptions"}</definedName>
    <definedName name="_____e1" localSheetId="3" hidden="1">{#N/A,#N/A,FALSE,"Summary";#N/A,#N/A,FALSE,"CF";#N/A,#N/A,FALSE,"P&amp;L";"summary",#N/A,FALSE,"Returns";#N/A,#N/A,FALSE,"BS";"summary",#N/A,FALSE,"Analysis";#N/A,#N/A,FALSE,"Assumptions"}</definedName>
    <definedName name="_____e1" hidden="1">{#N/A,#N/A,FALSE,"Summary";#N/A,#N/A,FALSE,"CF";#N/A,#N/A,FALSE,"P&amp;L";"summary",#N/A,FALSE,"Returns";#N/A,#N/A,FALSE,"BS";"summary",#N/A,FALSE,"Analysis";#N/A,#N/A,FALSE,"Assumptions"}</definedName>
    <definedName name="_____o1" localSheetId="1" hidden="1">{#N/A,#N/A,FALSE,"Finanzplan";#N/A,#N/A,FALSE,"Bilanz";#N/A,#N/A,FALSE,"GuV"}</definedName>
    <definedName name="_____o1" localSheetId="3" hidden="1">{#N/A,#N/A,FALSE,"Finanzplan";#N/A,#N/A,FALSE,"Bilanz";#N/A,#N/A,FALSE,"GuV"}</definedName>
    <definedName name="_____o1" hidden="1">{#N/A,#N/A,FALSE,"Finanzplan";#N/A,#N/A,FALSE,"Bilanz";#N/A,#N/A,FALSE,"GuV"}</definedName>
    <definedName name="_____TBC95" localSheetId="1" hidden="1">{#N/A,#N/A,FALSE,"Co_BalSht";#N/A,#N/A,FALSE,"Co_IncStmt";#N/A,#N/A,FALSE,"Cons_BalSht";#N/A,#N/A,FALSE,"Cons_IncStmt";#N/A,#N/A,FALSE,"Cashflow"}</definedName>
    <definedName name="_____TBC95" localSheetId="3" hidden="1">{#N/A,#N/A,FALSE,"Co_BalSht";#N/A,#N/A,FALSE,"Co_IncStmt";#N/A,#N/A,FALSE,"Cons_BalSht";#N/A,#N/A,FALSE,"Cons_IncStmt";#N/A,#N/A,FALSE,"Cashflow"}</definedName>
    <definedName name="_____TBC95" hidden="1">{#N/A,#N/A,FALSE,"Co_BalSht";#N/A,#N/A,FALSE,"Co_IncStmt";#N/A,#N/A,FALSE,"Cons_BalSht";#N/A,#N/A,FALSE,"Cons_IncStmt";#N/A,#N/A,FALSE,"Cashflow"}</definedName>
    <definedName name="_____x10" hidden="1">#REF!</definedName>
    <definedName name="_____x11" hidden="1">#REF!</definedName>
    <definedName name="_____x12" hidden="1">#REF!</definedName>
    <definedName name="_____x13" hidden="1">#REF!</definedName>
    <definedName name="_____x14" hidden="1">#REF!</definedName>
    <definedName name="_____x15" hidden="1">#REF!</definedName>
    <definedName name="_____x16" hidden="1">#REF!</definedName>
    <definedName name="_____x17" hidden="1">#REF!</definedName>
    <definedName name="_____x2" hidden="1">#REF!</definedName>
    <definedName name="_____x3" hidden="1">#REF!</definedName>
    <definedName name="_____x4" hidden="1">#REF!</definedName>
    <definedName name="_____x5" hidden="1">#REF!</definedName>
    <definedName name="_____x6" hidden="1">#REF!</definedName>
    <definedName name="_____x7" hidden="1">#REF!</definedName>
    <definedName name="_____x8" hidden="1">#REF!</definedName>
    <definedName name="_____x9" hidden="1">#REF!</definedName>
    <definedName name="_____xx2" hidden="1">#REF!</definedName>
    <definedName name="____TBC95" localSheetId="1" hidden="1">{#N/A,#N/A,FALSE,"Co_BalSht";#N/A,#N/A,FALSE,"Co_IncStmt";#N/A,#N/A,FALSE,"Cons_BalSht";#N/A,#N/A,FALSE,"Cons_IncStmt";#N/A,#N/A,FALSE,"Cashflow"}</definedName>
    <definedName name="____TBC95" localSheetId="3" hidden="1">{#N/A,#N/A,FALSE,"Co_BalSht";#N/A,#N/A,FALSE,"Co_IncStmt";#N/A,#N/A,FALSE,"Cons_BalSht";#N/A,#N/A,FALSE,"Cons_IncStmt";#N/A,#N/A,FALSE,"Cashflow"}</definedName>
    <definedName name="____TBC95" hidden="1">{#N/A,#N/A,FALSE,"Co_BalSht";#N/A,#N/A,FALSE,"Co_IncStmt";#N/A,#N/A,FALSE,"Cons_BalSht";#N/A,#N/A,FALSE,"Cons_IncStmt";#N/A,#N/A,FALSE,"Cashflow"}</definedName>
    <definedName name="____x10" hidden="1">#REF!</definedName>
    <definedName name="____x11" hidden="1">#REF!</definedName>
    <definedName name="____x12" hidden="1">#REF!</definedName>
    <definedName name="____x13" hidden="1">#REF!</definedName>
    <definedName name="____x14" hidden="1">#REF!</definedName>
    <definedName name="____x15" hidden="1">#REF!</definedName>
    <definedName name="____x16" hidden="1">#REF!</definedName>
    <definedName name="____x17" hidden="1">#REF!</definedName>
    <definedName name="____x2" hidden="1">#REF!</definedName>
    <definedName name="____x3" hidden="1">#REF!</definedName>
    <definedName name="____x4" hidden="1">#REF!</definedName>
    <definedName name="____x5" hidden="1">#REF!</definedName>
    <definedName name="____x6" hidden="1">#REF!</definedName>
    <definedName name="____x7" hidden="1">#REF!</definedName>
    <definedName name="____x8" hidden="1">#REF!</definedName>
    <definedName name="____x9" hidden="1">#REF!</definedName>
    <definedName name="____xx2" hidden="1">#REF!</definedName>
    <definedName name="___a1" localSheetId="1" hidden="1">{#N/A,#N/A,FALSE,"Finanzplan";#N/A,#N/A,FALSE,"Bilanz";#N/A,#N/A,FALSE,"GuV"}</definedName>
    <definedName name="___a1" localSheetId="3" hidden="1">{#N/A,#N/A,FALSE,"Finanzplan";#N/A,#N/A,FALSE,"Bilanz";#N/A,#N/A,FALSE,"GuV"}</definedName>
    <definedName name="___a1" hidden="1">{#N/A,#N/A,FALSE,"Finanzplan";#N/A,#N/A,FALSE,"Bilanz";#N/A,#N/A,FALSE,"GuV"}</definedName>
    <definedName name="___e1" localSheetId="1" hidden="1">{#N/A,#N/A,FALSE,"Summary";#N/A,#N/A,FALSE,"CF";#N/A,#N/A,FALSE,"P&amp;L";"summary",#N/A,FALSE,"Returns";#N/A,#N/A,FALSE,"BS";"summary",#N/A,FALSE,"Analysis";#N/A,#N/A,FALSE,"Assumptions"}</definedName>
    <definedName name="___e1" localSheetId="3" hidden="1">{#N/A,#N/A,FALSE,"Summary";#N/A,#N/A,FALSE,"CF";#N/A,#N/A,FALSE,"P&amp;L";"summary",#N/A,FALSE,"Returns";#N/A,#N/A,FALSE,"BS";"summary",#N/A,FALSE,"Analysis";#N/A,#N/A,FALSE,"Assumptions"}</definedName>
    <definedName name="___e1" hidden="1">{#N/A,#N/A,FALSE,"Summary";#N/A,#N/A,FALSE,"CF";#N/A,#N/A,FALSE,"P&amp;L";"summary",#N/A,FALSE,"Returns";#N/A,#N/A,FALSE,"BS";"summary",#N/A,FALSE,"Analysis";#N/A,#N/A,FALSE,"Assumptions"}</definedName>
    <definedName name="___o1" localSheetId="1" hidden="1">{#N/A,#N/A,FALSE,"Finanzplan";#N/A,#N/A,FALSE,"Bilanz";#N/A,#N/A,FALSE,"GuV"}</definedName>
    <definedName name="___o1" localSheetId="3" hidden="1">{#N/A,#N/A,FALSE,"Finanzplan";#N/A,#N/A,FALSE,"Bilanz";#N/A,#N/A,FALSE,"GuV"}</definedName>
    <definedName name="___o1" hidden="1">{#N/A,#N/A,FALSE,"Finanzplan";#N/A,#N/A,FALSE,"Bilanz";#N/A,#N/A,FALSE,"GuV"}</definedName>
    <definedName name="___RH1">#REF!</definedName>
    <definedName name="___RH2">#REF!</definedName>
    <definedName name="___TBC95" localSheetId="1" hidden="1">{#N/A,#N/A,FALSE,"Co_BalSht";#N/A,#N/A,FALSE,"Co_IncStmt";#N/A,#N/A,FALSE,"Cons_BalSht";#N/A,#N/A,FALSE,"Cons_IncStmt";#N/A,#N/A,FALSE,"Cashflow"}</definedName>
    <definedName name="___TBC95" localSheetId="3" hidden="1">{#N/A,#N/A,FALSE,"Co_BalSht";#N/A,#N/A,FALSE,"Co_IncStmt";#N/A,#N/A,FALSE,"Cons_BalSht";#N/A,#N/A,FALSE,"Cons_IncStmt";#N/A,#N/A,FALSE,"Cashflow"}</definedName>
    <definedName name="___TBC95" hidden="1">{#N/A,#N/A,FALSE,"Co_BalSht";#N/A,#N/A,FALSE,"Co_IncStmt";#N/A,#N/A,FALSE,"Cons_BalSht";#N/A,#N/A,FALSE,"Cons_IncStmt";#N/A,#N/A,FALSE,"Cashflow"}</definedName>
    <definedName name="___x10" hidden="1">#REF!</definedName>
    <definedName name="___x11" hidden="1">#REF!</definedName>
    <definedName name="___x12" hidden="1">#REF!</definedName>
    <definedName name="___x13" hidden="1">#REF!</definedName>
    <definedName name="___x14" hidden="1">#REF!</definedName>
    <definedName name="___x15" hidden="1">#REF!</definedName>
    <definedName name="___x16" hidden="1">#REF!</definedName>
    <definedName name="___x17" hidden="1">#REF!</definedName>
    <definedName name="___x2" hidden="1">#REF!</definedName>
    <definedName name="___x3" hidden="1">#REF!</definedName>
    <definedName name="___x4" hidden="1">#REF!</definedName>
    <definedName name="___x5" hidden="1">#REF!</definedName>
    <definedName name="___x6" hidden="1">#REF!</definedName>
    <definedName name="___x7" hidden="1">#REF!</definedName>
    <definedName name="___x8" hidden="1">#REF!</definedName>
    <definedName name="___x9" hidden="1">#REF!</definedName>
    <definedName name="___xx2" hidden="1">#REF!</definedName>
    <definedName name="__1__123Graph_ACHART_1" hidden="1">#REF!</definedName>
    <definedName name="__10__123Graph_XCHART_1" hidden="1">#REF!</definedName>
    <definedName name="__11_0__123Grap" hidden="1">#REF!</definedName>
    <definedName name="__12_0__123Grap" hidden="1">#REF!</definedName>
    <definedName name="__123Graph_A" hidden="1">#REF!</definedName>
    <definedName name="__123Graph_AAVGGAS" hidden="1">#REF!</definedName>
    <definedName name="__123Graph_ACOAL" hidden="1">#REF!</definedName>
    <definedName name="__123Graph_AEP8691" hidden="1">#REF!</definedName>
    <definedName name="__123Graph_AEP8692" hidden="1">#REF!</definedName>
    <definedName name="__123Graph_AEP92PR" hidden="1">#REF!</definedName>
    <definedName name="__123Graph_AEPNG" hidden="1">#REF!</definedName>
    <definedName name="__123Graph_AEPNG2" hidden="1">#REF!</definedName>
    <definedName name="__123Graph_AFIX_CAP" hidden="1">#REF!</definedName>
    <definedName name="__123Graph_ANORTHERN" hidden="1">#REF!</definedName>
    <definedName name="__123Graph_ANORTHWEST" hidden="1">#REF!</definedName>
    <definedName name="__123Graph_ANPV_CAPACITY" hidden="1">#REF!</definedName>
    <definedName name="__123Graph_AOVERHAUL" hidden="1">#REF!</definedName>
    <definedName name="__123Graph_ARUNAVG" hidden="1">#REF!</definedName>
    <definedName name="__123Graph_AScreenCrv" hidden="1">#REF!</definedName>
    <definedName name="__123Graph_ATRANSCO" hidden="1">#REF!</definedName>
    <definedName name="__123Graph_AVAR_ENG" hidden="1">#REF!</definedName>
    <definedName name="__123Graph_AYIELD1" hidden="1">#REF!</definedName>
    <definedName name="__123Graph_B" hidden="1">#REF!</definedName>
    <definedName name="__123Graph_BAVGGAS" hidden="1">#REF!</definedName>
    <definedName name="__123Graph_BCOAL" hidden="1">#REF!</definedName>
    <definedName name="__123Graph_BEP8691" hidden="1">#REF!</definedName>
    <definedName name="__123Graph_BEP8692" hidden="1">#REF!</definedName>
    <definedName name="__123Graph_BEP92PR" hidden="1">#REF!</definedName>
    <definedName name="__123Graph_BEPNG2" hidden="1">#REF!</definedName>
    <definedName name="__123Graph_BFIX_CAP" hidden="1">#REF!</definedName>
    <definedName name="__123Graph_BNPV_CAPACITY" hidden="1">#REF!</definedName>
    <definedName name="__123Graph_BOVERHAUL" hidden="1">#REF!</definedName>
    <definedName name="__123Graph_BScreenCrv" hidden="1">#REF!</definedName>
    <definedName name="__123Graph_BVAR_ENG" hidden="1">#REF!</definedName>
    <definedName name="__123Graph_BYIELD1" hidden="1">#REF!</definedName>
    <definedName name="__123Graph_C" hidden="1">#REF!</definedName>
    <definedName name="__123Graph_CAVGGAS" hidden="1">#REF!</definedName>
    <definedName name="__123Graph_CCOAL" hidden="1">#REF!</definedName>
    <definedName name="__123Graph_CEP8691" hidden="1">#REF!</definedName>
    <definedName name="__123Graph_CEP8692" hidden="1">#REF!</definedName>
    <definedName name="__123Graph_CEP92PR" hidden="1">#REF!</definedName>
    <definedName name="__123Graph_CEPNG2" hidden="1">#REF!</definedName>
    <definedName name="__123Graph_CFIX_CAP" hidden="1">#REF!</definedName>
    <definedName name="__123Graph_CNPV_CAPACITY" hidden="1">#REF!</definedName>
    <definedName name="__123Graph_COVERHAUL" hidden="1">#REF!</definedName>
    <definedName name="__123Graph_CScreenCrv" hidden="1">#REF!</definedName>
    <definedName name="__123Graph_D" hidden="1">#REF!</definedName>
    <definedName name="__123Graph_DAVGGAS" hidden="1">#REF!</definedName>
    <definedName name="__123Graph_DCOAL" hidden="1">#REF!</definedName>
    <definedName name="__123Graph_DEP8691" hidden="1">#REF!</definedName>
    <definedName name="__123Graph_DEP8692" hidden="1">#REF!</definedName>
    <definedName name="__123Graph_DEP92PR" hidden="1">#REF!</definedName>
    <definedName name="__123Graph_DEPNG2" hidden="1">#REF!</definedName>
    <definedName name="__123Graph_DFIX_CAP" hidden="1">#REF!</definedName>
    <definedName name="__123Graph_DOVERHAUL" hidden="1">#REF!</definedName>
    <definedName name="__123Graph_E" hidden="1">#REF!</definedName>
    <definedName name="__123Graph_EAVGGAS" hidden="1">#REF!</definedName>
    <definedName name="__123Graph_ECOAL" hidden="1">#REF!</definedName>
    <definedName name="__123Graph_EEP8691" hidden="1">#REF!</definedName>
    <definedName name="__123Graph_EEP8692" hidden="1">#REF!</definedName>
    <definedName name="__123Graph_EEP92PR" hidden="1">#REF!</definedName>
    <definedName name="__123Graph_EEPNG2" hidden="1">#REF!</definedName>
    <definedName name="__123Graph_F" localSheetId="3" hidden="1">#REF!</definedName>
    <definedName name="__123Graph_F" hidden="1">#REF!</definedName>
    <definedName name="__123Graph_FAVGGAS" hidden="1">#REF!</definedName>
    <definedName name="__123Graph_FEP8691" hidden="1">#REF!</definedName>
    <definedName name="__123Graph_FEP8692" hidden="1">#REF!</definedName>
    <definedName name="__123Graph_FEP92PR" hidden="1">#REF!</definedName>
    <definedName name="__123Graph_FEPNG2" hidden="1">#REF!</definedName>
    <definedName name="__123Graph_FGROWTH2" localSheetId="3" hidden="1">#REF!</definedName>
    <definedName name="__123Graph_FGROWTH2" hidden="1">#REF!</definedName>
    <definedName name="__123Graph_FOVERHAUL" localSheetId="3" hidden="1">#REF!</definedName>
    <definedName name="__123Graph_FOVERHAUL" hidden="1">#REF!</definedName>
    <definedName name="__123Graph_LBL_A" hidden="1">#REF!</definedName>
    <definedName name="__123Graph_LBL_AAVGGAS" hidden="1">#REF!</definedName>
    <definedName name="__123Graph_LBL_AEPNG" hidden="1">#REF!</definedName>
    <definedName name="__123Graph_LBL_ANORTHERN" hidden="1">#REF!</definedName>
    <definedName name="__123Graph_LBL_ANORTHWEST" hidden="1">#REF!</definedName>
    <definedName name="__123Graph_LBL_ARUNAVG" hidden="1">#REF!</definedName>
    <definedName name="__123Graph_LBL_ATRANSCO" hidden="1">#REF!</definedName>
    <definedName name="__123Graph_X" hidden="1">#REF!</definedName>
    <definedName name="__123Graph_XAVGGAS" hidden="1">#REF!</definedName>
    <definedName name="__123Graph_XCOAL" hidden="1">#REF!</definedName>
    <definedName name="__123Graph_XEP8691" hidden="1">#REF!</definedName>
    <definedName name="__123Graph_XEP8692" hidden="1">#REF!</definedName>
    <definedName name="__123Graph_XEP92PR" hidden="1">#REF!</definedName>
    <definedName name="__123Graph_XEPNG" hidden="1">#REF!</definedName>
    <definedName name="__123Graph_XEPNG2" hidden="1">#REF!</definedName>
    <definedName name="__123Graph_XNORTHERN" hidden="1">#REF!</definedName>
    <definedName name="__123Graph_XNORTHWEST" hidden="1">#REF!</definedName>
    <definedName name="__123Graph_XOVERHAUL" hidden="1">#REF!</definedName>
    <definedName name="__123Graph_XRUNAVG" hidden="1">#REF!</definedName>
    <definedName name="__123Graph_XTRANSCO" hidden="1">#REF!</definedName>
    <definedName name="__123Graph_XVAR_ENG" hidden="1">#REF!</definedName>
    <definedName name="__2__123Graph_ACHART_3" hidden="1">#REF!</definedName>
    <definedName name="__2__123Graph_LBL_ACHART_1" hidden="1">#REF!</definedName>
    <definedName name="__3__123Graph_BCHART_1" hidden="1">#REF!</definedName>
    <definedName name="__3__123Graph_XCHART_1" hidden="1">#REF!</definedName>
    <definedName name="__4__123Graph_BCHART_3" hidden="1">#REF!</definedName>
    <definedName name="__5__123Graph_CCHART_1" hidden="1">#REF!</definedName>
    <definedName name="__6__123Graph_DCHART_1" hidden="1">#REF!</definedName>
    <definedName name="__7__123Graph_LBL_ACHART_1" hidden="1">#REF!</definedName>
    <definedName name="__8__123Graph_LBL_ACHART_3" hidden="1">#REF!</definedName>
    <definedName name="__9__123Graph_LBL_DCHART_1" hidden="1">#REF!</definedName>
    <definedName name="__a1" localSheetId="1" hidden="1">{#N/A,#N/A,FALSE,"Finanzplan";#N/A,#N/A,FALSE,"Bilanz";#N/A,#N/A,FALSE,"GuV"}</definedName>
    <definedName name="__a1" localSheetId="3" hidden="1">{#N/A,#N/A,FALSE,"Finanzplan";#N/A,#N/A,FALSE,"Bilanz";#N/A,#N/A,FALSE,"GuV"}</definedName>
    <definedName name="__a1" hidden="1">{#N/A,#N/A,FALSE,"Finanzplan";#N/A,#N/A,FALSE,"Bilanz";#N/A,#N/A,FALSE,"GuV"}</definedName>
    <definedName name="__a2_1" localSheetId="1" hidden="1">{#N/A,#N/A,FALSE,"Sheet1"}</definedName>
    <definedName name="__a2_1" localSheetId="3" hidden="1">{#N/A,#N/A,FALSE,"Sheet1"}</definedName>
    <definedName name="__a2_1" hidden="1">{#N/A,#N/A,FALSE,"Sheet1"}</definedName>
    <definedName name="__a3" localSheetId="1" hidden="1">{#N/A,#N/A,FALSE,"Sheet1"}</definedName>
    <definedName name="__a3" localSheetId="3" hidden="1">{#N/A,#N/A,FALSE,"Sheet1"}</definedName>
    <definedName name="__a3" hidden="1">{#N/A,#N/A,FALSE,"Sheet1"}</definedName>
    <definedName name="__a3_1" localSheetId="1" hidden="1">{#N/A,#N/A,FALSE,"Sheet1"}</definedName>
    <definedName name="__a3_1" localSheetId="3" hidden="1">{#N/A,#N/A,FALSE,"Sheet1"}</definedName>
    <definedName name="__a3_1" hidden="1">{#N/A,#N/A,FALSE,"Sheet1"}</definedName>
    <definedName name="__e1" localSheetId="1" hidden="1">{#N/A,#N/A,FALSE,"Summary";#N/A,#N/A,FALSE,"CF";#N/A,#N/A,FALSE,"P&amp;L";"summary",#N/A,FALSE,"Returns";#N/A,#N/A,FALSE,"BS";"summary",#N/A,FALSE,"Analysis";#N/A,#N/A,FALSE,"Assumptions"}</definedName>
    <definedName name="__e1" localSheetId="3" hidden="1">{#N/A,#N/A,FALSE,"Summary";#N/A,#N/A,FALSE,"CF";#N/A,#N/A,FALSE,"P&amp;L";"summary",#N/A,FALSE,"Returns";#N/A,#N/A,FALSE,"BS";"summary",#N/A,FALSE,"Analysis";#N/A,#N/A,FALSE,"Assumptions"}</definedName>
    <definedName name="__e1" hidden="1">{#N/A,#N/A,FALSE,"Summary";#N/A,#N/A,FALSE,"CF";#N/A,#N/A,FALSE,"P&amp;L";"summary",#N/A,FALSE,"Returns";#N/A,#N/A,FALSE,"BS";"summary",#N/A,FALSE,"Analysis";#N/A,#N/A,FALSE,"Assumptions"}</definedName>
    <definedName name="__FDS_HYPERLINK_TOGGLE_STATE__" hidden="1">"ON"</definedName>
    <definedName name="__FDS_UNIQUE_RANGE_ID_GENERATOR_COUNTER" hidden="1">1</definedName>
    <definedName name="__IntlFixup" hidden="1">TRUE</definedName>
    <definedName name="__o1" localSheetId="1" hidden="1">{#N/A,#N/A,FALSE,"Finanzplan";#N/A,#N/A,FALSE,"Bilanz";#N/A,#N/A,FALSE,"GuV"}</definedName>
    <definedName name="__o1" localSheetId="3" hidden="1">{#N/A,#N/A,FALSE,"Finanzplan";#N/A,#N/A,FALSE,"Bilanz";#N/A,#N/A,FALSE,"GuV"}</definedName>
    <definedName name="__o1" hidden="1">{#N/A,#N/A,FALSE,"Finanzplan";#N/A,#N/A,FALSE,"Bilanz";#N/A,#N/A,FALSE,"GuV"}</definedName>
    <definedName name="__RH1" localSheetId="3">#REF!</definedName>
    <definedName name="__RH1">#REF!</definedName>
    <definedName name="__RH2" localSheetId="3">#REF!</definedName>
    <definedName name="__RH2">#REF!</definedName>
    <definedName name="__TBC95" localSheetId="1" hidden="1">{#N/A,#N/A,FALSE,"Co_BalSht";#N/A,#N/A,FALSE,"Co_IncStmt";#N/A,#N/A,FALSE,"Cons_BalSht";#N/A,#N/A,FALSE,"Cons_IncStmt";#N/A,#N/A,FALSE,"Cashflow"}</definedName>
    <definedName name="__TBC95" localSheetId="3" hidden="1">{#N/A,#N/A,FALSE,"Co_BalSht";#N/A,#N/A,FALSE,"Co_IncStmt";#N/A,#N/A,FALSE,"Cons_BalSht";#N/A,#N/A,FALSE,"Cons_IncStmt";#N/A,#N/A,FALSE,"Cashflow"}</definedName>
    <definedName name="__TBC95" hidden="1">{#N/A,#N/A,FALSE,"Co_BalSht";#N/A,#N/A,FALSE,"Co_IncStmt";#N/A,#N/A,FALSE,"Cons_BalSht";#N/A,#N/A,FALSE,"Cons_IncStmt";#N/A,#N/A,FALSE,"Cashflow"}</definedName>
    <definedName name="__x10" hidden="1">#REF!</definedName>
    <definedName name="__x11" hidden="1">#REF!</definedName>
    <definedName name="__x12" hidden="1">#REF!</definedName>
    <definedName name="__x13" hidden="1">#REF!</definedName>
    <definedName name="__x14" hidden="1">#REF!</definedName>
    <definedName name="__x15" hidden="1">#REF!</definedName>
    <definedName name="__x16" hidden="1">#REF!</definedName>
    <definedName name="__x17" hidden="1">#REF!</definedName>
    <definedName name="__x2" hidden="1">#REF!</definedName>
    <definedName name="__x3" hidden="1">#REF!</definedName>
    <definedName name="__x4" hidden="1">#REF!</definedName>
    <definedName name="__x5" hidden="1">#REF!</definedName>
    <definedName name="__x6" hidden="1">#REF!</definedName>
    <definedName name="__x7" hidden="1">#REF!</definedName>
    <definedName name="__x8" hidden="1">#REF!</definedName>
    <definedName name="__x9" hidden="1">#REF!</definedName>
    <definedName name="__xx2" hidden="1">#REF!</definedName>
    <definedName name="_1__123Graph_ACHART_1" hidden="1">#REF!</definedName>
    <definedName name="_1__123Graph_ACONTRACT_BY_B_U" hidden="1">#REF!</definedName>
    <definedName name="_1__FDSAUDITLINK__" localSheetId="1" hidden="1">{"fdsup://directions/FAT Viewer?action=UPDATE&amp;creator=factset&amp;DYN_ARGS=TRUE&amp;DOC_NAME=FAT:FQL_AUDITING_CLIENT_TEMPLATE.FAT&amp;display_string=Audit&amp;VAR:KEY=ERULMPEJQL&amp;VAR:QUERY=RkZfQ0FQRVgoUVRSLDBRKQ==&amp;WINDOW=FIRST_POPUP&amp;HEIGHT=450&amp;WIDTH=450&amp;START_MAXIMIZED=FALS","E&amp;VAR:CALENDAR=US&amp;VAR:SYMBOL=VNR&amp;VAR:INDEX=0"}</definedName>
    <definedName name="_1__FDSAUDITLINK__" localSheetId="3" hidden="1">{"fdsup://directions/FAT Viewer?action=UPDATE&amp;creator=factset&amp;DYN_ARGS=TRUE&amp;DOC_NAME=FAT:FQL_AUDITING_CLIENT_TEMPLATE.FAT&amp;display_string=Audit&amp;VAR:KEY=ERULMPEJQL&amp;VAR:QUERY=RkZfQ0FQRVgoUVRSLDBRKQ==&amp;WINDOW=FIRST_POPUP&amp;HEIGHT=450&amp;WIDTH=450&amp;START_MAXIMIZED=FALS","E&amp;VAR:CALENDAR=US&amp;VAR:SYMBOL=VNR&amp;VAR:INDEX=0"}</definedName>
    <definedName name="_1__FDSAUDITLINK__" hidden="1">{"fdsup://directions/FAT Viewer?action=UPDATE&amp;creator=factset&amp;DYN_ARGS=TRUE&amp;DOC_NAME=FAT:FQL_AUDITING_CLIENT_TEMPLATE.FAT&amp;display_string=Audit&amp;VAR:KEY=ERULMPEJQL&amp;VAR:QUERY=RkZfQ0FQRVgoUVRSLDBRKQ==&amp;WINDOW=FIRST_POPUP&amp;HEIGHT=450&amp;WIDTH=450&amp;START_MAXIMIZED=FALS","E&amp;VAR:CALENDAR=US&amp;VAR:SYMBOL=VNR&amp;VAR:INDEX=0"}</definedName>
    <definedName name="_10__123Graph_ASUPPLIES_BY_B_U" hidden="1">#REF!</definedName>
    <definedName name="_10__123Graph_AWAGES_BY_B_U" hidden="1">#REF!</definedName>
    <definedName name="_10__123Graph_BQRE_S_BY_TYPE" hidden="1">#REF!</definedName>
    <definedName name="_10__123Graph_COP75_25PRICE" hidden="1">#REF!</definedName>
    <definedName name="_10__123Graph_XCHART_1" hidden="1">#REF!</definedName>
    <definedName name="_10__FDSAUDITLINK__" localSheetId="1" hidden="1">{"fdsup://directions/FAT Viewer?action=UPDATE&amp;creator=factset&amp;DYN_ARGS=TRUE&amp;DOC_NAME=FAT:FQL_AUDITING_CLIENT_TEMPLATE.FAT&amp;display_string=Audit&amp;VAR:KEY=SVAJEDOXYF&amp;VAR:QUERY=RkZfQ0FQRVgoUVRSLC0xUSk=&amp;WINDOW=FIRST_POPUP&amp;HEIGHT=450&amp;WIDTH=450&amp;START_MAXIMIZED=FALS","E&amp;VAR:CALENDAR=US&amp;VAR:SYMBOL=PSE&amp;VAR:INDEX=0"}</definedName>
    <definedName name="_10__FDSAUDITLINK__" localSheetId="3" hidden="1">{"fdsup://directions/FAT Viewer?action=UPDATE&amp;creator=factset&amp;DYN_ARGS=TRUE&amp;DOC_NAME=FAT:FQL_AUDITING_CLIENT_TEMPLATE.FAT&amp;display_string=Audit&amp;VAR:KEY=SVAJEDOXYF&amp;VAR:QUERY=RkZfQ0FQRVgoUVRSLC0xUSk=&amp;WINDOW=FIRST_POPUP&amp;HEIGHT=450&amp;WIDTH=450&amp;START_MAXIMIZED=FALS","E&amp;VAR:CALENDAR=US&amp;VAR:SYMBOL=PSE&amp;VAR:INDEX=0"}</definedName>
    <definedName name="_10__FDSAUDITLINK__" hidden="1">{"fdsup://directions/FAT Viewer?action=UPDATE&amp;creator=factset&amp;DYN_ARGS=TRUE&amp;DOC_NAME=FAT:FQL_AUDITING_CLIENT_TEMPLATE.FAT&amp;display_string=Audit&amp;VAR:KEY=SVAJEDOXYF&amp;VAR:QUERY=RkZfQ0FQRVgoUVRSLC0xUSk=&amp;WINDOW=FIRST_POPUP&amp;HEIGHT=450&amp;WIDTH=450&amp;START_MAXIMIZED=FALS","E&amp;VAR:CALENDAR=US&amp;VAR:SYMBOL=PSE&amp;VAR:INDEX=0"}</definedName>
    <definedName name="_10_0__123Grap" hidden="1">#REF!</definedName>
    <definedName name="_100__FDSAUDITLINK__" localSheetId="1" hidden="1">{"fdsup://directions/FAT Viewer?action=UPDATE&amp;creator=factset&amp;DYN_ARGS=TRUE&amp;DOC_NAME=FAT:FQL_AUDITING_CLIENT_TEMPLATE.FAT&amp;display_string=Audit&amp;VAR:KEY=WDUVIBAHQF&amp;VAR:QUERY=RkZfQ0FQRVgoUVRSLC0zUSk=&amp;WINDOW=FIRST_POPUP&amp;HEIGHT=450&amp;WIDTH=450&amp;START_MAXIMIZED=FALS","E&amp;VAR:CALENDAR=US&amp;VAR:SYMBOL=NRP&amp;VAR:INDEX=0"}</definedName>
    <definedName name="_100__FDSAUDITLINK__" localSheetId="3" hidden="1">{"fdsup://directions/FAT Viewer?action=UPDATE&amp;creator=factset&amp;DYN_ARGS=TRUE&amp;DOC_NAME=FAT:FQL_AUDITING_CLIENT_TEMPLATE.FAT&amp;display_string=Audit&amp;VAR:KEY=WDUVIBAHQF&amp;VAR:QUERY=RkZfQ0FQRVgoUVRSLC0zUSk=&amp;WINDOW=FIRST_POPUP&amp;HEIGHT=450&amp;WIDTH=450&amp;START_MAXIMIZED=FALS","E&amp;VAR:CALENDAR=US&amp;VAR:SYMBOL=NRP&amp;VAR:INDEX=0"}</definedName>
    <definedName name="_100__FDSAUDITLINK__" hidden="1">{"fdsup://directions/FAT Viewer?action=UPDATE&amp;creator=factset&amp;DYN_ARGS=TRUE&amp;DOC_NAME=FAT:FQL_AUDITING_CLIENT_TEMPLATE.FAT&amp;display_string=Audit&amp;VAR:KEY=WDUVIBAHQF&amp;VAR:QUERY=RkZfQ0FQRVgoUVRSLC0zUSk=&amp;WINDOW=FIRST_POPUP&amp;HEIGHT=450&amp;WIDTH=450&amp;START_MAXIMIZED=FALS","E&amp;VAR:CALENDAR=US&amp;VAR:SYMBOL=NRP&amp;VAR:INDEX=0"}</definedName>
    <definedName name="_101__FDSAUDITLINK__" localSheetId="1" hidden="1">{"fdsup://directions/FAT Viewer?action=UPDATE&amp;creator=factset&amp;DYN_ARGS=TRUE&amp;DOC_NAME=FAT:FQL_AUDITING_CLIENT_TEMPLATE.FAT&amp;display_string=Audit&amp;VAR:KEY=CJYHSVKLIH&amp;VAR:QUERY=RkZfQ0FQRVgoUVRSLDBRKQ==&amp;WINDOW=FIRST_POPUP&amp;HEIGHT=450&amp;WIDTH=450&amp;START_MAXIMIZED=FALS","E&amp;VAR:CALENDAR=US&amp;VAR:SYMBOL=NRGY&amp;VAR:INDEX=0"}</definedName>
    <definedName name="_101__FDSAUDITLINK__" localSheetId="3" hidden="1">{"fdsup://directions/FAT Viewer?action=UPDATE&amp;creator=factset&amp;DYN_ARGS=TRUE&amp;DOC_NAME=FAT:FQL_AUDITING_CLIENT_TEMPLATE.FAT&amp;display_string=Audit&amp;VAR:KEY=CJYHSVKLIH&amp;VAR:QUERY=RkZfQ0FQRVgoUVRSLDBRKQ==&amp;WINDOW=FIRST_POPUP&amp;HEIGHT=450&amp;WIDTH=450&amp;START_MAXIMIZED=FALS","E&amp;VAR:CALENDAR=US&amp;VAR:SYMBOL=NRGY&amp;VAR:INDEX=0"}</definedName>
    <definedName name="_101__FDSAUDITLINK__" hidden="1">{"fdsup://directions/FAT Viewer?action=UPDATE&amp;creator=factset&amp;DYN_ARGS=TRUE&amp;DOC_NAME=FAT:FQL_AUDITING_CLIENT_TEMPLATE.FAT&amp;display_string=Audit&amp;VAR:KEY=CJYHSVKLIH&amp;VAR:QUERY=RkZfQ0FQRVgoUVRSLDBRKQ==&amp;WINDOW=FIRST_POPUP&amp;HEIGHT=450&amp;WIDTH=450&amp;START_MAXIMIZED=FALS","E&amp;VAR:CALENDAR=US&amp;VAR:SYMBOL=NRGY&amp;VAR:INDEX=0"}</definedName>
    <definedName name="_102__FDSAUDITLINK__" localSheetId="1" hidden="1">{"fdsup://directions/FAT Viewer?action=UPDATE&amp;creator=factset&amp;DYN_ARGS=TRUE&amp;DOC_NAME=FAT:FQL_AUDITING_CLIENT_TEMPLATE.FAT&amp;display_string=Audit&amp;VAR:KEY=IDQFUTKTQB&amp;VAR:QUERY=RkZfQ0FQRVgoUVRSLC0xUSk=&amp;WINDOW=FIRST_POPUP&amp;HEIGHT=450&amp;WIDTH=450&amp;START_MAXIMIZED=FALS","E&amp;VAR:CALENDAR=US&amp;VAR:SYMBOL=NRGY&amp;VAR:INDEX=0"}</definedName>
    <definedName name="_102__FDSAUDITLINK__" localSheetId="3" hidden="1">{"fdsup://directions/FAT Viewer?action=UPDATE&amp;creator=factset&amp;DYN_ARGS=TRUE&amp;DOC_NAME=FAT:FQL_AUDITING_CLIENT_TEMPLATE.FAT&amp;display_string=Audit&amp;VAR:KEY=IDQFUTKTQB&amp;VAR:QUERY=RkZfQ0FQRVgoUVRSLC0xUSk=&amp;WINDOW=FIRST_POPUP&amp;HEIGHT=450&amp;WIDTH=450&amp;START_MAXIMIZED=FALS","E&amp;VAR:CALENDAR=US&amp;VAR:SYMBOL=NRGY&amp;VAR:INDEX=0"}</definedName>
    <definedName name="_102__FDSAUDITLINK__" hidden="1">{"fdsup://directions/FAT Viewer?action=UPDATE&amp;creator=factset&amp;DYN_ARGS=TRUE&amp;DOC_NAME=FAT:FQL_AUDITING_CLIENT_TEMPLATE.FAT&amp;display_string=Audit&amp;VAR:KEY=IDQFUTKTQB&amp;VAR:QUERY=RkZfQ0FQRVgoUVRSLC0xUSk=&amp;WINDOW=FIRST_POPUP&amp;HEIGHT=450&amp;WIDTH=450&amp;START_MAXIMIZED=FALS","E&amp;VAR:CALENDAR=US&amp;VAR:SYMBOL=NRGY&amp;VAR:INDEX=0"}</definedName>
    <definedName name="_103__FDSAUDITLINK__" localSheetId="1" hidden="1">{"fdsup://directions/FAT Viewer?action=UPDATE&amp;creator=factset&amp;DYN_ARGS=TRUE&amp;DOC_NAME=FAT:FQL_AUDITING_CLIENT_TEMPLATE.FAT&amp;display_string=Audit&amp;VAR:KEY=WRCLSVCXCX&amp;VAR:QUERY=RkZfQ0FQRVgoUVRSLC0yUSk=&amp;WINDOW=FIRST_POPUP&amp;HEIGHT=450&amp;WIDTH=450&amp;START_MAXIMIZED=FALS","E&amp;VAR:CALENDAR=US&amp;VAR:SYMBOL=NRGY&amp;VAR:INDEX=0"}</definedName>
    <definedName name="_103__FDSAUDITLINK__" localSheetId="3" hidden="1">{"fdsup://directions/FAT Viewer?action=UPDATE&amp;creator=factset&amp;DYN_ARGS=TRUE&amp;DOC_NAME=FAT:FQL_AUDITING_CLIENT_TEMPLATE.FAT&amp;display_string=Audit&amp;VAR:KEY=WRCLSVCXCX&amp;VAR:QUERY=RkZfQ0FQRVgoUVRSLC0yUSk=&amp;WINDOW=FIRST_POPUP&amp;HEIGHT=450&amp;WIDTH=450&amp;START_MAXIMIZED=FALS","E&amp;VAR:CALENDAR=US&amp;VAR:SYMBOL=NRGY&amp;VAR:INDEX=0"}</definedName>
    <definedName name="_103__FDSAUDITLINK__" hidden="1">{"fdsup://directions/FAT Viewer?action=UPDATE&amp;creator=factset&amp;DYN_ARGS=TRUE&amp;DOC_NAME=FAT:FQL_AUDITING_CLIENT_TEMPLATE.FAT&amp;display_string=Audit&amp;VAR:KEY=WRCLSVCXCX&amp;VAR:QUERY=RkZfQ0FQRVgoUVRSLC0yUSk=&amp;WINDOW=FIRST_POPUP&amp;HEIGHT=450&amp;WIDTH=450&amp;START_MAXIMIZED=FALS","E&amp;VAR:CALENDAR=US&amp;VAR:SYMBOL=NRGY&amp;VAR:INDEX=0"}</definedName>
    <definedName name="_104__FDSAUDITLINK__" localSheetId="1" hidden="1">{"fdsup://directions/FAT Viewer?action=UPDATE&amp;creator=factset&amp;DYN_ARGS=TRUE&amp;DOC_NAME=FAT:FQL_AUDITING_CLIENT_TEMPLATE.FAT&amp;display_string=Audit&amp;VAR:KEY=OHYPEZAZUT&amp;VAR:QUERY=RkZfQ0FQRVgoUVRSLC0zUSk=&amp;WINDOW=FIRST_POPUP&amp;HEIGHT=450&amp;WIDTH=450&amp;START_MAXIMIZED=FALS","E&amp;VAR:CALENDAR=US&amp;VAR:SYMBOL=NRGY&amp;VAR:INDEX=0"}</definedName>
    <definedName name="_104__FDSAUDITLINK__" localSheetId="3" hidden="1">{"fdsup://directions/FAT Viewer?action=UPDATE&amp;creator=factset&amp;DYN_ARGS=TRUE&amp;DOC_NAME=FAT:FQL_AUDITING_CLIENT_TEMPLATE.FAT&amp;display_string=Audit&amp;VAR:KEY=OHYPEZAZUT&amp;VAR:QUERY=RkZfQ0FQRVgoUVRSLC0zUSk=&amp;WINDOW=FIRST_POPUP&amp;HEIGHT=450&amp;WIDTH=450&amp;START_MAXIMIZED=FALS","E&amp;VAR:CALENDAR=US&amp;VAR:SYMBOL=NRGY&amp;VAR:INDEX=0"}</definedName>
    <definedName name="_104__FDSAUDITLINK__" hidden="1">{"fdsup://directions/FAT Viewer?action=UPDATE&amp;creator=factset&amp;DYN_ARGS=TRUE&amp;DOC_NAME=FAT:FQL_AUDITING_CLIENT_TEMPLATE.FAT&amp;display_string=Audit&amp;VAR:KEY=OHYPEZAZUT&amp;VAR:QUERY=RkZfQ0FQRVgoUVRSLC0zUSk=&amp;WINDOW=FIRST_POPUP&amp;HEIGHT=450&amp;WIDTH=450&amp;START_MAXIMIZED=FALS","E&amp;VAR:CALENDAR=US&amp;VAR:SYMBOL=NRGY&amp;VAR:INDEX=0"}</definedName>
    <definedName name="_105__FDSAUDITLINK__" localSheetId="1" hidden="1">{"fdsup://directions/FAT Viewer?action=UPDATE&amp;creator=factset&amp;DYN_ARGS=TRUE&amp;DOC_NAME=FAT:FQL_AUDITING_CLIENT_TEMPLATE.FAT&amp;display_string=Audit&amp;VAR:KEY=ENCNMDQVWL&amp;VAR:QUERY=RkZfQ0FQRVgoUVRSLDBRKQ==&amp;WINDOW=FIRST_POPUP&amp;HEIGHT=450&amp;WIDTH=450&amp;START_MAXIMIZED=FALS","E&amp;VAR:CALENDAR=US&amp;VAR:SYMBOL=NMM&amp;VAR:INDEX=0"}</definedName>
    <definedName name="_105__FDSAUDITLINK__" localSheetId="3" hidden="1">{"fdsup://directions/FAT Viewer?action=UPDATE&amp;creator=factset&amp;DYN_ARGS=TRUE&amp;DOC_NAME=FAT:FQL_AUDITING_CLIENT_TEMPLATE.FAT&amp;display_string=Audit&amp;VAR:KEY=ENCNMDQVWL&amp;VAR:QUERY=RkZfQ0FQRVgoUVRSLDBRKQ==&amp;WINDOW=FIRST_POPUP&amp;HEIGHT=450&amp;WIDTH=450&amp;START_MAXIMIZED=FALS","E&amp;VAR:CALENDAR=US&amp;VAR:SYMBOL=NMM&amp;VAR:INDEX=0"}</definedName>
    <definedName name="_105__FDSAUDITLINK__" hidden="1">{"fdsup://directions/FAT Viewer?action=UPDATE&amp;creator=factset&amp;DYN_ARGS=TRUE&amp;DOC_NAME=FAT:FQL_AUDITING_CLIENT_TEMPLATE.FAT&amp;display_string=Audit&amp;VAR:KEY=ENCNMDQVWL&amp;VAR:QUERY=RkZfQ0FQRVgoUVRSLDBRKQ==&amp;WINDOW=FIRST_POPUP&amp;HEIGHT=450&amp;WIDTH=450&amp;START_MAXIMIZED=FALS","E&amp;VAR:CALENDAR=US&amp;VAR:SYMBOL=NMM&amp;VAR:INDEX=0"}</definedName>
    <definedName name="_106__FDSAUDITLINK__" localSheetId="1" hidden="1">{"fdsup://directions/FAT Viewer?action=UPDATE&amp;creator=factset&amp;DYN_ARGS=TRUE&amp;DOC_NAME=FAT:FQL_AUDITING_CLIENT_TEMPLATE.FAT&amp;display_string=Audit&amp;VAR:KEY=QTOBYXIPWP&amp;VAR:QUERY=RkZfQ0FQRVgoUVRSLC0xUSk=&amp;WINDOW=FIRST_POPUP&amp;HEIGHT=450&amp;WIDTH=450&amp;START_MAXIMIZED=FALS","E&amp;VAR:CALENDAR=US&amp;VAR:SYMBOL=NMM&amp;VAR:INDEX=0"}</definedName>
    <definedName name="_106__FDSAUDITLINK__" localSheetId="3" hidden="1">{"fdsup://directions/FAT Viewer?action=UPDATE&amp;creator=factset&amp;DYN_ARGS=TRUE&amp;DOC_NAME=FAT:FQL_AUDITING_CLIENT_TEMPLATE.FAT&amp;display_string=Audit&amp;VAR:KEY=QTOBYXIPWP&amp;VAR:QUERY=RkZfQ0FQRVgoUVRSLC0xUSk=&amp;WINDOW=FIRST_POPUP&amp;HEIGHT=450&amp;WIDTH=450&amp;START_MAXIMIZED=FALS","E&amp;VAR:CALENDAR=US&amp;VAR:SYMBOL=NMM&amp;VAR:INDEX=0"}</definedName>
    <definedName name="_106__FDSAUDITLINK__" hidden="1">{"fdsup://directions/FAT Viewer?action=UPDATE&amp;creator=factset&amp;DYN_ARGS=TRUE&amp;DOC_NAME=FAT:FQL_AUDITING_CLIENT_TEMPLATE.FAT&amp;display_string=Audit&amp;VAR:KEY=QTOBYXIPWP&amp;VAR:QUERY=RkZfQ0FQRVgoUVRSLC0xUSk=&amp;WINDOW=FIRST_POPUP&amp;HEIGHT=450&amp;WIDTH=450&amp;START_MAXIMIZED=FALS","E&amp;VAR:CALENDAR=US&amp;VAR:SYMBOL=NMM&amp;VAR:INDEX=0"}</definedName>
    <definedName name="_107__FDSAUDITLINK__" localSheetId="1" hidden="1">{"fdsup://directions/FAT Viewer?action=UPDATE&amp;creator=factset&amp;DYN_ARGS=TRUE&amp;DOC_NAME=FAT:FQL_AUDITING_CLIENT_TEMPLATE.FAT&amp;display_string=Audit&amp;VAR:KEY=QFSNWJODKD&amp;VAR:QUERY=RkZfQ0FQRVgoUVRSLC0yUSk=&amp;WINDOW=FIRST_POPUP&amp;HEIGHT=450&amp;WIDTH=450&amp;START_MAXIMIZED=FALS","E&amp;VAR:CALENDAR=US&amp;VAR:SYMBOL=NMM&amp;VAR:INDEX=0"}</definedName>
    <definedName name="_107__FDSAUDITLINK__" localSheetId="3" hidden="1">{"fdsup://directions/FAT Viewer?action=UPDATE&amp;creator=factset&amp;DYN_ARGS=TRUE&amp;DOC_NAME=FAT:FQL_AUDITING_CLIENT_TEMPLATE.FAT&amp;display_string=Audit&amp;VAR:KEY=QFSNWJODKD&amp;VAR:QUERY=RkZfQ0FQRVgoUVRSLC0yUSk=&amp;WINDOW=FIRST_POPUP&amp;HEIGHT=450&amp;WIDTH=450&amp;START_MAXIMIZED=FALS","E&amp;VAR:CALENDAR=US&amp;VAR:SYMBOL=NMM&amp;VAR:INDEX=0"}</definedName>
    <definedName name="_107__FDSAUDITLINK__" hidden="1">{"fdsup://directions/FAT Viewer?action=UPDATE&amp;creator=factset&amp;DYN_ARGS=TRUE&amp;DOC_NAME=FAT:FQL_AUDITING_CLIENT_TEMPLATE.FAT&amp;display_string=Audit&amp;VAR:KEY=QFSNWJODKD&amp;VAR:QUERY=RkZfQ0FQRVgoUVRSLC0yUSk=&amp;WINDOW=FIRST_POPUP&amp;HEIGHT=450&amp;WIDTH=450&amp;START_MAXIMIZED=FALS","E&amp;VAR:CALENDAR=US&amp;VAR:SYMBOL=NMM&amp;VAR:INDEX=0"}</definedName>
    <definedName name="_108__FDSAUDITLINK__" localSheetId="1" hidden="1">{"fdsup://directions/FAT Viewer?action=UPDATE&amp;creator=factset&amp;DYN_ARGS=TRUE&amp;DOC_NAME=FAT:FQL_AUDITING_CLIENT_TEMPLATE.FAT&amp;display_string=Audit&amp;VAR:KEY=OVETQNUPQT&amp;VAR:QUERY=RkZfQ0FQRVgoUVRSLC0zUSk=&amp;WINDOW=FIRST_POPUP&amp;HEIGHT=450&amp;WIDTH=450&amp;START_MAXIMIZED=FALS","E&amp;VAR:CALENDAR=US&amp;VAR:SYMBOL=NMM&amp;VAR:INDEX=0"}</definedName>
    <definedName name="_108__FDSAUDITLINK__" localSheetId="3" hidden="1">{"fdsup://directions/FAT Viewer?action=UPDATE&amp;creator=factset&amp;DYN_ARGS=TRUE&amp;DOC_NAME=FAT:FQL_AUDITING_CLIENT_TEMPLATE.FAT&amp;display_string=Audit&amp;VAR:KEY=OVETQNUPQT&amp;VAR:QUERY=RkZfQ0FQRVgoUVRSLC0zUSk=&amp;WINDOW=FIRST_POPUP&amp;HEIGHT=450&amp;WIDTH=450&amp;START_MAXIMIZED=FALS","E&amp;VAR:CALENDAR=US&amp;VAR:SYMBOL=NMM&amp;VAR:INDEX=0"}</definedName>
    <definedName name="_108__FDSAUDITLINK__" hidden="1">{"fdsup://directions/FAT Viewer?action=UPDATE&amp;creator=factset&amp;DYN_ARGS=TRUE&amp;DOC_NAME=FAT:FQL_AUDITING_CLIENT_TEMPLATE.FAT&amp;display_string=Audit&amp;VAR:KEY=OVETQNUPQT&amp;VAR:QUERY=RkZfQ0FQRVgoUVRSLC0zUSk=&amp;WINDOW=FIRST_POPUP&amp;HEIGHT=450&amp;WIDTH=450&amp;START_MAXIMIZED=FALS","E&amp;VAR:CALENDAR=US&amp;VAR:SYMBOL=NMM&amp;VAR:INDEX=0"}</definedName>
    <definedName name="_109__FDSAUDITLINK__" localSheetId="1" hidden="1">{"fdsup://directions/FAT Viewer?action=UPDATE&amp;creator=factset&amp;DYN_ARGS=TRUE&amp;DOC_NAME=FAT:FQL_AUDITING_CLIENT_TEMPLATE.FAT&amp;display_string=Audit&amp;VAR:KEY=UDYZADSRMH&amp;VAR:QUERY=RkZfQ0FQRVgoUVRSLDBRKQ==&amp;WINDOW=FIRST_POPUP&amp;HEIGHT=450&amp;WIDTH=450&amp;START_MAXIMIZED=FALS","E&amp;VAR:CALENDAR=US&amp;VAR:SYMBOL=NKA&amp;VAR:INDEX=0"}</definedName>
    <definedName name="_109__FDSAUDITLINK__" localSheetId="3" hidden="1">{"fdsup://directions/FAT Viewer?action=UPDATE&amp;creator=factset&amp;DYN_ARGS=TRUE&amp;DOC_NAME=FAT:FQL_AUDITING_CLIENT_TEMPLATE.FAT&amp;display_string=Audit&amp;VAR:KEY=UDYZADSRMH&amp;VAR:QUERY=RkZfQ0FQRVgoUVRSLDBRKQ==&amp;WINDOW=FIRST_POPUP&amp;HEIGHT=450&amp;WIDTH=450&amp;START_MAXIMIZED=FALS","E&amp;VAR:CALENDAR=US&amp;VAR:SYMBOL=NKA&amp;VAR:INDEX=0"}</definedName>
    <definedName name="_109__FDSAUDITLINK__" hidden="1">{"fdsup://directions/FAT Viewer?action=UPDATE&amp;creator=factset&amp;DYN_ARGS=TRUE&amp;DOC_NAME=FAT:FQL_AUDITING_CLIENT_TEMPLATE.FAT&amp;display_string=Audit&amp;VAR:KEY=UDYZADSRMH&amp;VAR:QUERY=RkZfQ0FQRVgoUVRSLDBRKQ==&amp;WINDOW=FIRST_POPUP&amp;HEIGHT=450&amp;WIDTH=450&amp;START_MAXIMIZED=FALS","E&amp;VAR:CALENDAR=US&amp;VAR:SYMBOL=NKA&amp;VAR:INDEX=0"}</definedName>
    <definedName name="_11__123Graph_ACHART_1" hidden="1">#REF!</definedName>
    <definedName name="_11__123Graph_ATAX_CREDIT" hidden="1">#REF!</definedName>
    <definedName name="_11__123Graph_BCONTRACT_BY_B_U" hidden="1">#REF!</definedName>
    <definedName name="_11__123Graph_BSENS_COMPARISON" hidden="1">#REF!</definedName>
    <definedName name="_11__123Graph_COP75_25RETURN" hidden="1">#REF!</definedName>
    <definedName name="_11__FDSAUDITLINK__" localSheetId="1" hidden="1">{"fdsup://directions/FAT Viewer?action=UPDATE&amp;creator=factset&amp;DYN_ARGS=TRUE&amp;DOC_NAME=FAT:FQL_AUDITING_CLIENT_TEMPLATE.FAT&amp;display_string=Audit&amp;VAR:KEY=QLCVYXMHAL&amp;VAR:QUERY=RkZfQ0FQRVgoUVRSLC0yUSk=&amp;WINDOW=FIRST_POPUP&amp;HEIGHT=450&amp;WIDTH=450&amp;START_MAXIMIZED=FALS","E&amp;VAR:CALENDAR=US&amp;VAR:SYMBOL=PSE&amp;VAR:INDEX=0"}</definedName>
    <definedName name="_11__FDSAUDITLINK__" localSheetId="3" hidden="1">{"fdsup://directions/FAT Viewer?action=UPDATE&amp;creator=factset&amp;DYN_ARGS=TRUE&amp;DOC_NAME=FAT:FQL_AUDITING_CLIENT_TEMPLATE.FAT&amp;display_string=Audit&amp;VAR:KEY=QLCVYXMHAL&amp;VAR:QUERY=RkZfQ0FQRVgoUVRSLC0yUSk=&amp;WINDOW=FIRST_POPUP&amp;HEIGHT=450&amp;WIDTH=450&amp;START_MAXIMIZED=FALS","E&amp;VAR:CALENDAR=US&amp;VAR:SYMBOL=PSE&amp;VAR:INDEX=0"}</definedName>
    <definedName name="_11__FDSAUDITLINK__" hidden="1">{"fdsup://directions/FAT Viewer?action=UPDATE&amp;creator=factset&amp;DYN_ARGS=TRUE&amp;DOC_NAME=FAT:FQL_AUDITING_CLIENT_TEMPLATE.FAT&amp;display_string=Audit&amp;VAR:KEY=QLCVYXMHAL&amp;VAR:QUERY=RkZfQ0FQRVgoUVRSLC0yUSk=&amp;WINDOW=FIRST_POPUP&amp;HEIGHT=450&amp;WIDTH=450&amp;START_MAXIMIZED=FALS","E&amp;VAR:CALENDAR=US&amp;VAR:SYMBOL=PSE&amp;VAR:INDEX=0"}</definedName>
    <definedName name="_11_0__123Grap" hidden="1">#REF!</definedName>
    <definedName name="_11_0_0Cwvu.GREY_A" hidden="1">#REF!</definedName>
    <definedName name="_110__FDSAUDITLINK__" localSheetId="1" hidden="1">{"fdsup://directions/FAT Viewer?action=UPDATE&amp;creator=factset&amp;DYN_ARGS=TRUE&amp;DOC_NAME=FAT:FQL_AUDITING_CLIENT_TEMPLATE.FAT&amp;display_string=Audit&amp;VAR:KEY=YVQVMNCTKZ&amp;VAR:QUERY=RkZfQ0FQRVgoUVRSLC0xUSk=&amp;WINDOW=FIRST_POPUP&amp;HEIGHT=450&amp;WIDTH=450&amp;START_MAXIMIZED=FALS","E&amp;VAR:CALENDAR=US&amp;VAR:SYMBOL=NKA&amp;VAR:INDEX=0"}</definedName>
    <definedName name="_110__FDSAUDITLINK__" localSheetId="3" hidden="1">{"fdsup://directions/FAT Viewer?action=UPDATE&amp;creator=factset&amp;DYN_ARGS=TRUE&amp;DOC_NAME=FAT:FQL_AUDITING_CLIENT_TEMPLATE.FAT&amp;display_string=Audit&amp;VAR:KEY=YVQVMNCTKZ&amp;VAR:QUERY=RkZfQ0FQRVgoUVRSLC0xUSk=&amp;WINDOW=FIRST_POPUP&amp;HEIGHT=450&amp;WIDTH=450&amp;START_MAXIMIZED=FALS","E&amp;VAR:CALENDAR=US&amp;VAR:SYMBOL=NKA&amp;VAR:INDEX=0"}</definedName>
    <definedName name="_110__FDSAUDITLINK__" hidden="1">{"fdsup://directions/FAT Viewer?action=UPDATE&amp;creator=factset&amp;DYN_ARGS=TRUE&amp;DOC_NAME=FAT:FQL_AUDITING_CLIENT_TEMPLATE.FAT&amp;display_string=Audit&amp;VAR:KEY=YVQVMNCTKZ&amp;VAR:QUERY=RkZfQ0FQRVgoUVRSLC0xUSk=&amp;WINDOW=FIRST_POPUP&amp;HEIGHT=450&amp;WIDTH=450&amp;START_MAXIMIZED=FALS","E&amp;VAR:CALENDAR=US&amp;VAR:SYMBOL=NKA&amp;VAR:INDEX=0"}</definedName>
    <definedName name="_111__FDSAUDITLINK__" localSheetId="1" hidden="1">{"fdsup://directions/FAT Viewer?action=UPDATE&amp;creator=factset&amp;DYN_ARGS=TRUE&amp;DOC_NAME=FAT:FQL_AUDITING_CLIENT_TEMPLATE.FAT&amp;display_string=Audit&amp;VAR:KEY=MXOJOBSRWN&amp;VAR:QUERY=RkZfQ0FQRVgoUVRSLC0yUSk=&amp;WINDOW=FIRST_POPUP&amp;HEIGHT=450&amp;WIDTH=450&amp;START_MAXIMIZED=FALS","E&amp;VAR:CALENDAR=US&amp;VAR:SYMBOL=NKA&amp;VAR:INDEX=0"}</definedName>
    <definedName name="_111__FDSAUDITLINK__" localSheetId="3" hidden="1">{"fdsup://directions/FAT Viewer?action=UPDATE&amp;creator=factset&amp;DYN_ARGS=TRUE&amp;DOC_NAME=FAT:FQL_AUDITING_CLIENT_TEMPLATE.FAT&amp;display_string=Audit&amp;VAR:KEY=MXOJOBSRWN&amp;VAR:QUERY=RkZfQ0FQRVgoUVRSLC0yUSk=&amp;WINDOW=FIRST_POPUP&amp;HEIGHT=450&amp;WIDTH=450&amp;START_MAXIMIZED=FALS","E&amp;VAR:CALENDAR=US&amp;VAR:SYMBOL=NKA&amp;VAR:INDEX=0"}</definedName>
    <definedName name="_111__FDSAUDITLINK__" hidden="1">{"fdsup://directions/FAT Viewer?action=UPDATE&amp;creator=factset&amp;DYN_ARGS=TRUE&amp;DOC_NAME=FAT:FQL_AUDITING_CLIENT_TEMPLATE.FAT&amp;display_string=Audit&amp;VAR:KEY=MXOJOBSRWN&amp;VAR:QUERY=RkZfQ0FQRVgoUVRSLC0yUSk=&amp;WINDOW=FIRST_POPUP&amp;HEIGHT=450&amp;WIDTH=450&amp;START_MAXIMIZED=FALS","E&amp;VAR:CALENDAR=US&amp;VAR:SYMBOL=NKA&amp;VAR:INDEX=0"}</definedName>
    <definedName name="_112__FDSAUDITLINK__" localSheetId="1" hidden="1">{"fdsup://directions/FAT Viewer?action=UPDATE&amp;creator=factset&amp;DYN_ARGS=TRUE&amp;DOC_NAME=FAT:FQL_AUDITING_CLIENT_TEMPLATE.FAT&amp;display_string=Audit&amp;VAR:KEY=OXMJMNKLCB&amp;VAR:QUERY=RkZfQ0FQRVgoUVRSLC0zUSk=&amp;WINDOW=FIRST_POPUP&amp;HEIGHT=450&amp;WIDTH=450&amp;START_MAXIMIZED=FALS","E&amp;VAR:CALENDAR=US&amp;VAR:SYMBOL=NKA&amp;VAR:INDEX=0"}</definedName>
    <definedName name="_112__FDSAUDITLINK__" localSheetId="3" hidden="1">{"fdsup://directions/FAT Viewer?action=UPDATE&amp;creator=factset&amp;DYN_ARGS=TRUE&amp;DOC_NAME=FAT:FQL_AUDITING_CLIENT_TEMPLATE.FAT&amp;display_string=Audit&amp;VAR:KEY=OXMJMNKLCB&amp;VAR:QUERY=RkZfQ0FQRVgoUVRSLC0zUSk=&amp;WINDOW=FIRST_POPUP&amp;HEIGHT=450&amp;WIDTH=450&amp;START_MAXIMIZED=FALS","E&amp;VAR:CALENDAR=US&amp;VAR:SYMBOL=NKA&amp;VAR:INDEX=0"}</definedName>
    <definedName name="_112__FDSAUDITLINK__" hidden="1">{"fdsup://directions/FAT Viewer?action=UPDATE&amp;creator=factset&amp;DYN_ARGS=TRUE&amp;DOC_NAME=FAT:FQL_AUDITING_CLIENT_TEMPLATE.FAT&amp;display_string=Audit&amp;VAR:KEY=OXMJMNKLCB&amp;VAR:QUERY=RkZfQ0FQRVgoUVRSLC0zUSk=&amp;WINDOW=FIRST_POPUP&amp;HEIGHT=450&amp;WIDTH=450&amp;START_MAXIMIZED=FALS","E&amp;VAR:CALENDAR=US&amp;VAR:SYMBOL=NKA&amp;VAR:INDEX=0"}</definedName>
    <definedName name="_113__FDSAUDITLINK__" localSheetId="1" hidden="1">{"fdsup://directions/FAT Viewer?action=UPDATE&amp;creator=factset&amp;DYN_ARGS=TRUE&amp;DOC_NAME=FAT:FQL_AUDITING_CLIENT_TEMPLATE.FAT&amp;display_string=Audit&amp;VAR:KEY=WBIXEVWHYL&amp;VAR:QUERY=RkZfQ0FQRVgoUVRSLDBRKQ==&amp;WINDOW=FIRST_POPUP&amp;HEIGHT=450&amp;WIDTH=450&amp;START_MAXIMIZED=FALS","E&amp;VAR:CALENDAR=US&amp;VAR:SYMBOL=NGLS&amp;VAR:INDEX=0"}</definedName>
    <definedName name="_113__FDSAUDITLINK__" localSheetId="3" hidden="1">{"fdsup://directions/FAT Viewer?action=UPDATE&amp;creator=factset&amp;DYN_ARGS=TRUE&amp;DOC_NAME=FAT:FQL_AUDITING_CLIENT_TEMPLATE.FAT&amp;display_string=Audit&amp;VAR:KEY=WBIXEVWHYL&amp;VAR:QUERY=RkZfQ0FQRVgoUVRSLDBRKQ==&amp;WINDOW=FIRST_POPUP&amp;HEIGHT=450&amp;WIDTH=450&amp;START_MAXIMIZED=FALS","E&amp;VAR:CALENDAR=US&amp;VAR:SYMBOL=NGLS&amp;VAR:INDEX=0"}</definedName>
    <definedName name="_113__FDSAUDITLINK__" hidden="1">{"fdsup://directions/FAT Viewer?action=UPDATE&amp;creator=factset&amp;DYN_ARGS=TRUE&amp;DOC_NAME=FAT:FQL_AUDITING_CLIENT_TEMPLATE.FAT&amp;display_string=Audit&amp;VAR:KEY=WBIXEVWHYL&amp;VAR:QUERY=RkZfQ0FQRVgoUVRSLDBRKQ==&amp;WINDOW=FIRST_POPUP&amp;HEIGHT=450&amp;WIDTH=450&amp;START_MAXIMIZED=FALS","E&amp;VAR:CALENDAR=US&amp;VAR:SYMBOL=NGLS&amp;VAR:INDEX=0"}</definedName>
    <definedName name="_114__FDSAUDITLINK__" localSheetId="1" hidden="1">{"fdsup://directions/FAT Viewer?action=UPDATE&amp;creator=factset&amp;DYN_ARGS=TRUE&amp;DOC_NAME=FAT:FQL_AUDITING_CLIENT_TEMPLATE.FAT&amp;display_string=Audit&amp;VAR:KEY=OJKRGZATWX&amp;VAR:QUERY=RkZfQ0FQRVgoUVRSLC0xUSk=&amp;WINDOW=FIRST_POPUP&amp;HEIGHT=450&amp;WIDTH=450&amp;START_MAXIMIZED=FALS","E&amp;VAR:CALENDAR=US&amp;VAR:SYMBOL=NGLS&amp;VAR:INDEX=0"}</definedName>
    <definedName name="_114__FDSAUDITLINK__" localSheetId="3" hidden="1">{"fdsup://directions/FAT Viewer?action=UPDATE&amp;creator=factset&amp;DYN_ARGS=TRUE&amp;DOC_NAME=FAT:FQL_AUDITING_CLIENT_TEMPLATE.FAT&amp;display_string=Audit&amp;VAR:KEY=OJKRGZATWX&amp;VAR:QUERY=RkZfQ0FQRVgoUVRSLC0xUSk=&amp;WINDOW=FIRST_POPUP&amp;HEIGHT=450&amp;WIDTH=450&amp;START_MAXIMIZED=FALS","E&amp;VAR:CALENDAR=US&amp;VAR:SYMBOL=NGLS&amp;VAR:INDEX=0"}</definedName>
    <definedName name="_114__FDSAUDITLINK__" hidden="1">{"fdsup://directions/FAT Viewer?action=UPDATE&amp;creator=factset&amp;DYN_ARGS=TRUE&amp;DOC_NAME=FAT:FQL_AUDITING_CLIENT_TEMPLATE.FAT&amp;display_string=Audit&amp;VAR:KEY=OJKRGZATWX&amp;VAR:QUERY=RkZfQ0FQRVgoUVRSLC0xUSk=&amp;WINDOW=FIRST_POPUP&amp;HEIGHT=450&amp;WIDTH=450&amp;START_MAXIMIZED=FALS","E&amp;VAR:CALENDAR=US&amp;VAR:SYMBOL=NGLS&amp;VAR:INDEX=0"}</definedName>
    <definedName name="_115__FDSAUDITLINK__" localSheetId="1" hidden="1">{"fdsup://directions/FAT Viewer?action=UPDATE&amp;creator=factset&amp;DYN_ARGS=TRUE&amp;DOC_NAME=FAT:FQL_AUDITING_CLIENT_TEMPLATE.FAT&amp;display_string=Audit&amp;VAR:KEY=OVWBEHWVYT&amp;VAR:QUERY=RkZfQ0FQRVgoUVRSLC0yUSk=&amp;WINDOW=FIRST_POPUP&amp;HEIGHT=450&amp;WIDTH=450&amp;START_MAXIMIZED=FALS","E&amp;VAR:CALENDAR=US&amp;VAR:SYMBOL=NGLS&amp;VAR:INDEX=0"}</definedName>
    <definedName name="_115__FDSAUDITLINK__" localSheetId="3" hidden="1">{"fdsup://directions/FAT Viewer?action=UPDATE&amp;creator=factset&amp;DYN_ARGS=TRUE&amp;DOC_NAME=FAT:FQL_AUDITING_CLIENT_TEMPLATE.FAT&amp;display_string=Audit&amp;VAR:KEY=OVWBEHWVYT&amp;VAR:QUERY=RkZfQ0FQRVgoUVRSLC0yUSk=&amp;WINDOW=FIRST_POPUP&amp;HEIGHT=450&amp;WIDTH=450&amp;START_MAXIMIZED=FALS","E&amp;VAR:CALENDAR=US&amp;VAR:SYMBOL=NGLS&amp;VAR:INDEX=0"}</definedName>
    <definedName name="_115__FDSAUDITLINK__" hidden="1">{"fdsup://directions/FAT Viewer?action=UPDATE&amp;creator=factset&amp;DYN_ARGS=TRUE&amp;DOC_NAME=FAT:FQL_AUDITING_CLIENT_TEMPLATE.FAT&amp;display_string=Audit&amp;VAR:KEY=OVWBEHWVYT&amp;VAR:QUERY=RkZfQ0FQRVgoUVRSLC0yUSk=&amp;WINDOW=FIRST_POPUP&amp;HEIGHT=450&amp;WIDTH=450&amp;START_MAXIMIZED=FALS","E&amp;VAR:CALENDAR=US&amp;VAR:SYMBOL=NGLS&amp;VAR:INDEX=0"}</definedName>
    <definedName name="_116__FDSAUDITLINK__" localSheetId="1" hidden="1">{"fdsup://directions/FAT Viewer?action=UPDATE&amp;creator=factset&amp;DYN_ARGS=TRUE&amp;DOC_NAME=FAT:FQL_AUDITING_CLIENT_TEMPLATE.FAT&amp;display_string=Audit&amp;VAR:KEY=EFSRULINKP&amp;VAR:QUERY=RkZfQ0FQRVgoUVRSLC0zUSk=&amp;WINDOW=FIRST_POPUP&amp;HEIGHT=450&amp;WIDTH=450&amp;START_MAXIMIZED=FALS","E&amp;VAR:CALENDAR=US&amp;VAR:SYMBOL=NGLS&amp;VAR:INDEX=0"}</definedName>
    <definedName name="_116__FDSAUDITLINK__" localSheetId="3" hidden="1">{"fdsup://directions/FAT Viewer?action=UPDATE&amp;creator=factset&amp;DYN_ARGS=TRUE&amp;DOC_NAME=FAT:FQL_AUDITING_CLIENT_TEMPLATE.FAT&amp;display_string=Audit&amp;VAR:KEY=EFSRULINKP&amp;VAR:QUERY=RkZfQ0FQRVgoUVRSLC0zUSk=&amp;WINDOW=FIRST_POPUP&amp;HEIGHT=450&amp;WIDTH=450&amp;START_MAXIMIZED=FALS","E&amp;VAR:CALENDAR=US&amp;VAR:SYMBOL=NGLS&amp;VAR:INDEX=0"}</definedName>
    <definedName name="_116__FDSAUDITLINK__" hidden="1">{"fdsup://directions/FAT Viewer?action=UPDATE&amp;creator=factset&amp;DYN_ARGS=TRUE&amp;DOC_NAME=FAT:FQL_AUDITING_CLIENT_TEMPLATE.FAT&amp;display_string=Audit&amp;VAR:KEY=EFSRULINKP&amp;VAR:QUERY=RkZfQ0FQRVgoUVRSLC0zUSk=&amp;WINDOW=FIRST_POPUP&amp;HEIGHT=450&amp;WIDTH=450&amp;START_MAXIMIZED=FALS","E&amp;VAR:CALENDAR=US&amp;VAR:SYMBOL=NGLS&amp;VAR:INDEX=0"}</definedName>
    <definedName name="_117__FDSAUDITLINK__" localSheetId="1" hidden="1">{"fdsup://directions/FAT Viewer?action=UPDATE&amp;creator=factset&amp;DYN_ARGS=TRUE&amp;DOC_NAME=FAT:FQL_AUDITING_CLIENT_TEMPLATE.FAT&amp;display_string=Audit&amp;VAR:KEY=QVQTEXITWV&amp;VAR:QUERY=RkZfQ0FQRVgoUVRSLDBRKQ==&amp;WINDOW=FIRST_POPUP&amp;HEIGHT=450&amp;WIDTH=450&amp;START_MAXIMIZED=FALS","E&amp;VAR:CALENDAR=US&amp;VAR:SYMBOL=MWE&amp;VAR:INDEX=0"}</definedName>
    <definedName name="_117__FDSAUDITLINK__" localSheetId="3" hidden="1">{"fdsup://directions/FAT Viewer?action=UPDATE&amp;creator=factset&amp;DYN_ARGS=TRUE&amp;DOC_NAME=FAT:FQL_AUDITING_CLIENT_TEMPLATE.FAT&amp;display_string=Audit&amp;VAR:KEY=QVQTEXITWV&amp;VAR:QUERY=RkZfQ0FQRVgoUVRSLDBRKQ==&amp;WINDOW=FIRST_POPUP&amp;HEIGHT=450&amp;WIDTH=450&amp;START_MAXIMIZED=FALS","E&amp;VAR:CALENDAR=US&amp;VAR:SYMBOL=MWE&amp;VAR:INDEX=0"}</definedName>
    <definedName name="_117__FDSAUDITLINK__" hidden="1">{"fdsup://directions/FAT Viewer?action=UPDATE&amp;creator=factset&amp;DYN_ARGS=TRUE&amp;DOC_NAME=FAT:FQL_AUDITING_CLIENT_TEMPLATE.FAT&amp;display_string=Audit&amp;VAR:KEY=QVQTEXITWV&amp;VAR:QUERY=RkZfQ0FQRVgoUVRSLDBRKQ==&amp;WINDOW=FIRST_POPUP&amp;HEIGHT=450&amp;WIDTH=450&amp;START_MAXIMIZED=FALS","E&amp;VAR:CALENDAR=US&amp;VAR:SYMBOL=MWE&amp;VAR:INDEX=0"}</definedName>
    <definedName name="_118__FDSAUDITLINK__" localSheetId="1" hidden="1">{"fdsup://directions/FAT Viewer?action=UPDATE&amp;creator=factset&amp;DYN_ARGS=TRUE&amp;DOC_NAME=FAT:FQL_AUDITING_CLIENT_TEMPLATE.FAT&amp;display_string=Audit&amp;VAR:KEY=UPSXULUVKD&amp;VAR:QUERY=RkZfQ0FQRVgoUVRSLC0xUSk=&amp;WINDOW=FIRST_POPUP&amp;HEIGHT=450&amp;WIDTH=450&amp;START_MAXIMIZED=FALS","E&amp;VAR:CALENDAR=US&amp;VAR:SYMBOL=MWE&amp;VAR:INDEX=0"}</definedName>
    <definedName name="_118__FDSAUDITLINK__" localSheetId="3" hidden="1">{"fdsup://directions/FAT Viewer?action=UPDATE&amp;creator=factset&amp;DYN_ARGS=TRUE&amp;DOC_NAME=FAT:FQL_AUDITING_CLIENT_TEMPLATE.FAT&amp;display_string=Audit&amp;VAR:KEY=UPSXULUVKD&amp;VAR:QUERY=RkZfQ0FQRVgoUVRSLC0xUSk=&amp;WINDOW=FIRST_POPUP&amp;HEIGHT=450&amp;WIDTH=450&amp;START_MAXIMIZED=FALS","E&amp;VAR:CALENDAR=US&amp;VAR:SYMBOL=MWE&amp;VAR:INDEX=0"}</definedName>
    <definedName name="_118__FDSAUDITLINK__" hidden="1">{"fdsup://directions/FAT Viewer?action=UPDATE&amp;creator=factset&amp;DYN_ARGS=TRUE&amp;DOC_NAME=FAT:FQL_AUDITING_CLIENT_TEMPLATE.FAT&amp;display_string=Audit&amp;VAR:KEY=UPSXULUVKD&amp;VAR:QUERY=RkZfQ0FQRVgoUVRSLC0xUSk=&amp;WINDOW=FIRST_POPUP&amp;HEIGHT=450&amp;WIDTH=450&amp;START_MAXIMIZED=FALS","E&amp;VAR:CALENDAR=US&amp;VAR:SYMBOL=MWE&amp;VAR:INDEX=0"}</definedName>
    <definedName name="_119__FDSAUDITLINK__" localSheetId="1" hidden="1">{"fdsup://directions/FAT Viewer?action=UPDATE&amp;creator=factset&amp;DYN_ARGS=TRUE&amp;DOC_NAME=FAT:FQL_AUDITING_CLIENT_TEMPLATE.FAT&amp;display_string=Audit&amp;VAR:KEY=KJUPGDIXCF&amp;VAR:QUERY=RkZfQ0FQRVgoUVRSLC0yUSk=&amp;WINDOW=FIRST_POPUP&amp;HEIGHT=450&amp;WIDTH=450&amp;START_MAXIMIZED=FALS","E&amp;VAR:CALENDAR=US&amp;VAR:SYMBOL=MWE&amp;VAR:INDEX=0"}</definedName>
    <definedName name="_119__FDSAUDITLINK__" localSheetId="3" hidden="1">{"fdsup://directions/FAT Viewer?action=UPDATE&amp;creator=factset&amp;DYN_ARGS=TRUE&amp;DOC_NAME=FAT:FQL_AUDITING_CLIENT_TEMPLATE.FAT&amp;display_string=Audit&amp;VAR:KEY=KJUPGDIXCF&amp;VAR:QUERY=RkZfQ0FQRVgoUVRSLC0yUSk=&amp;WINDOW=FIRST_POPUP&amp;HEIGHT=450&amp;WIDTH=450&amp;START_MAXIMIZED=FALS","E&amp;VAR:CALENDAR=US&amp;VAR:SYMBOL=MWE&amp;VAR:INDEX=0"}</definedName>
    <definedName name="_119__FDSAUDITLINK__" hidden="1">{"fdsup://directions/FAT Viewer?action=UPDATE&amp;creator=factset&amp;DYN_ARGS=TRUE&amp;DOC_NAME=FAT:FQL_AUDITING_CLIENT_TEMPLATE.FAT&amp;display_string=Audit&amp;VAR:KEY=KJUPGDIXCF&amp;VAR:QUERY=RkZfQ0FQRVgoUVRSLC0yUSk=&amp;WINDOW=FIRST_POPUP&amp;HEIGHT=450&amp;WIDTH=450&amp;START_MAXIMIZED=FALS","E&amp;VAR:CALENDAR=US&amp;VAR:SYMBOL=MWE&amp;VAR:INDEX=0"}</definedName>
    <definedName name="_12__123Graph_AWAGES_BY_B_U" hidden="1">#REF!</definedName>
    <definedName name="_12__123Graph_BCHART_1" hidden="1">#REF!</definedName>
    <definedName name="_12__123Graph_BQRE_S_BY_CO." hidden="1">#REF!</definedName>
    <definedName name="_12__123Graph_BSUPPLIES_BY_B_U" hidden="1">#REF!</definedName>
    <definedName name="_12__123Graph_DHO_MPRICE" hidden="1">#REF!</definedName>
    <definedName name="_12__FDSAUDITLINK__" localSheetId="1" hidden="1">{"fdsup://directions/FAT Viewer?action=UPDATE&amp;creator=factset&amp;DYN_ARGS=TRUE&amp;DOC_NAME=FAT:FQL_AUDITING_CLIENT_TEMPLATE.FAT&amp;display_string=Audit&amp;VAR:KEY=EJONQTWLWH&amp;VAR:QUERY=RkZfQ0FQRVgoUVRSLC0zUSk=&amp;WINDOW=FIRST_POPUP&amp;HEIGHT=450&amp;WIDTH=450&amp;START_MAXIMIZED=FALS","E&amp;VAR:CALENDAR=US&amp;VAR:SYMBOL=PSE&amp;VAR:INDEX=0"}</definedName>
    <definedName name="_12__FDSAUDITLINK__" localSheetId="3" hidden="1">{"fdsup://directions/FAT Viewer?action=UPDATE&amp;creator=factset&amp;DYN_ARGS=TRUE&amp;DOC_NAME=FAT:FQL_AUDITING_CLIENT_TEMPLATE.FAT&amp;display_string=Audit&amp;VAR:KEY=EJONQTWLWH&amp;VAR:QUERY=RkZfQ0FQRVgoUVRSLC0zUSk=&amp;WINDOW=FIRST_POPUP&amp;HEIGHT=450&amp;WIDTH=450&amp;START_MAXIMIZED=FALS","E&amp;VAR:CALENDAR=US&amp;VAR:SYMBOL=PSE&amp;VAR:INDEX=0"}</definedName>
    <definedName name="_12__FDSAUDITLINK__" hidden="1">{"fdsup://directions/FAT Viewer?action=UPDATE&amp;creator=factset&amp;DYN_ARGS=TRUE&amp;DOC_NAME=FAT:FQL_AUDITING_CLIENT_TEMPLATE.FAT&amp;display_string=Audit&amp;VAR:KEY=EJONQTWLWH&amp;VAR:QUERY=RkZfQ0FQRVgoUVRSLC0zUSk=&amp;WINDOW=FIRST_POPUP&amp;HEIGHT=450&amp;WIDTH=450&amp;START_MAXIMIZED=FALS","E&amp;VAR:CALENDAR=US&amp;VAR:SYMBOL=PSE&amp;VAR:INDEX=0"}</definedName>
    <definedName name="_12_0__123Grap" hidden="1">#REF!</definedName>
    <definedName name="_120__FDSAUDITLINK__" localSheetId="1" hidden="1">{"fdsup://directions/FAT Viewer?action=UPDATE&amp;creator=factset&amp;DYN_ARGS=TRUE&amp;DOC_NAME=FAT:FQL_AUDITING_CLIENT_TEMPLATE.FAT&amp;display_string=Audit&amp;VAR:KEY=ABOXABGVSX&amp;VAR:QUERY=RkZfQ0FQRVgoUVRSLC0zUSk=&amp;WINDOW=FIRST_POPUP&amp;HEIGHT=450&amp;WIDTH=450&amp;START_MAXIMIZED=FALS","E&amp;VAR:CALENDAR=US&amp;VAR:SYMBOL=MWE&amp;VAR:INDEX=0"}</definedName>
    <definedName name="_120__FDSAUDITLINK__" localSheetId="3" hidden="1">{"fdsup://directions/FAT Viewer?action=UPDATE&amp;creator=factset&amp;DYN_ARGS=TRUE&amp;DOC_NAME=FAT:FQL_AUDITING_CLIENT_TEMPLATE.FAT&amp;display_string=Audit&amp;VAR:KEY=ABOXABGVSX&amp;VAR:QUERY=RkZfQ0FQRVgoUVRSLC0zUSk=&amp;WINDOW=FIRST_POPUP&amp;HEIGHT=450&amp;WIDTH=450&amp;START_MAXIMIZED=FALS","E&amp;VAR:CALENDAR=US&amp;VAR:SYMBOL=MWE&amp;VAR:INDEX=0"}</definedName>
    <definedName name="_120__FDSAUDITLINK__" hidden="1">{"fdsup://directions/FAT Viewer?action=UPDATE&amp;creator=factset&amp;DYN_ARGS=TRUE&amp;DOC_NAME=FAT:FQL_AUDITING_CLIENT_TEMPLATE.FAT&amp;display_string=Audit&amp;VAR:KEY=ABOXABGVSX&amp;VAR:QUERY=RkZfQ0FQRVgoUVRSLC0zUSk=&amp;WINDOW=FIRST_POPUP&amp;HEIGHT=450&amp;WIDTH=450&amp;START_MAXIMIZED=FALS","E&amp;VAR:CALENDAR=US&amp;VAR:SYMBOL=MWE&amp;VAR:INDEX=0"}</definedName>
    <definedName name="_121__FDSAUDITLINK__" localSheetId="1" hidden="1">{"fdsup://directions/FAT Viewer?action=UPDATE&amp;creator=factset&amp;DYN_ARGS=TRUE&amp;DOC_NAME=FAT:FQL_AUDITING_CLIENT_TEMPLATE.FAT&amp;display_string=Audit&amp;VAR:KEY=QVUDAZEJGJ&amp;VAR:QUERY=RkZfQ0FQRVgoUVRSLDBRKQ==&amp;WINDOW=FIRST_POPUP&amp;HEIGHT=450&amp;WIDTH=450&amp;START_MAXIMIZED=FALS","E&amp;VAR:CALENDAR=US&amp;VAR:SYMBOL=MMP&amp;VAR:INDEX=0"}</definedName>
    <definedName name="_121__FDSAUDITLINK__" localSheetId="3" hidden="1">{"fdsup://directions/FAT Viewer?action=UPDATE&amp;creator=factset&amp;DYN_ARGS=TRUE&amp;DOC_NAME=FAT:FQL_AUDITING_CLIENT_TEMPLATE.FAT&amp;display_string=Audit&amp;VAR:KEY=QVUDAZEJGJ&amp;VAR:QUERY=RkZfQ0FQRVgoUVRSLDBRKQ==&amp;WINDOW=FIRST_POPUP&amp;HEIGHT=450&amp;WIDTH=450&amp;START_MAXIMIZED=FALS","E&amp;VAR:CALENDAR=US&amp;VAR:SYMBOL=MMP&amp;VAR:INDEX=0"}</definedName>
    <definedName name="_121__FDSAUDITLINK__" hidden="1">{"fdsup://directions/FAT Viewer?action=UPDATE&amp;creator=factset&amp;DYN_ARGS=TRUE&amp;DOC_NAME=FAT:FQL_AUDITING_CLIENT_TEMPLATE.FAT&amp;display_string=Audit&amp;VAR:KEY=QVUDAZEJGJ&amp;VAR:QUERY=RkZfQ0FQRVgoUVRSLDBRKQ==&amp;WINDOW=FIRST_POPUP&amp;HEIGHT=450&amp;WIDTH=450&amp;START_MAXIMIZED=FALS","E&amp;VAR:CALENDAR=US&amp;VAR:SYMBOL=MMP&amp;VAR:INDEX=0"}</definedName>
    <definedName name="_122__FDSAUDITLINK__" localSheetId="1" hidden="1">{"fdsup://directions/FAT Viewer?action=UPDATE&amp;creator=factset&amp;DYN_ARGS=TRUE&amp;DOC_NAME=FAT:FQL_AUDITING_CLIENT_TEMPLATE.FAT&amp;display_string=Audit&amp;VAR:KEY=GVYZWJIDSH&amp;VAR:QUERY=RkZfQ0FQRVgoUVRSLC0xUSk=&amp;WINDOW=FIRST_POPUP&amp;HEIGHT=450&amp;WIDTH=450&amp;START_MAXIMIZED=FALS","E&amp;VAR:CALENDAR=US&amp;VAR:SYMBOL=MMP&amp;VAR:INDEX=0"}</definedName>
    <definedName name="_122__FDSAUDITLINK__" localSheetId="3" hidden="1">{"fdsup://directions/FAT Viewer?action=UPDATE&amp;creator=factset&amp;DYN_ARGS=TRUE&amp;DOC_NAME=FAT:FQL_AUDITING_CLIENT_TEMPLATE.FAT&amp;display_string=Audit&amp;VAR:KEY=GVYZWJIDSH&amp;VAR:QUERY=RkZfQ0FQRVgoUVRSLC0xUSk=&amp;WINDOW=FIRST_POPUP&amp;HEIGHT=450&amp;WIDTH=450&amp;START_MAXIMIZED=FALS","E&amp;VAR:CALENDAR=US&amp;VAR:SYMBOL=MMP&amp;VAR:INDEX=0"}</definedName>
    <definedName name="_122__FDSAUDITLINK__" hidden="1">{"fdsup://directions/FAT Viewer?action=UPDATE&amp;creator=factset&amp;DYN_ARGS=TRUE&amp;DOC_NAME=FAT:FQL_AUDITING_CLIENT_TEMPLATE.FAT&amp;display_string=Audit&amp;VAR:KEY=GVYZWJIDSH&amp;VAR:QUERY=RkZfQ0FQRVgoUVRSLC0xUSk=&amp;WINDOW=FIRST_POPUP&amp;HEIGHT=450&amp;WIDTH=450&amp;START_MAXIMIZED=FALS","E&amp;VAR:CALENDAR=US&amp;VAR:SYMBOL=MMP&amp;VAR:INDEX=0"}</definedName>
    <definedName name="_123__FDSAUDITLINK__" localSheetId="1" hidden="1">{"fdsup://directions/FAT Viewer?action=UPDATE&amp;creator=factset&amp;DYN_ARGS=TRUE&amp;DOC_NAME=FAT:FQL_AUDITING_CLIENT_TEMPLATE.FAT&amp;display_string=Audit&amp;VAR:KEY=MBAJMZWVYZ&amp;VAR:QUERY=RkZfQ0FQRVgoUVRSLC0yUSk=&amp;WINDOW=FIRST_POPUP&amp;HEIGHT=450&amp;WIDTH=450&amp;START_MAXIMIZED=FALS","E&amp;VAR:CALENDAR=US&amp;VAR:SYMBOL=MMP&amp;VAR:INDEX=0"}</definedName>
    <definedName name="_123__FDSAUDITLINK__" localSheetId="3" hidden="1">{"fdsup://directions/FAT Viewer?action=UPDATE&amp;creator=factset&amp;DYN_ARGS=TRUE&amp;DOC_NAME=FAT:FQL_AUDITING_CLIENT_TEMPLATE.FAT&amp;display_string=Audit&amp;VAR:KEY=MBAJMZWVYZ&amp;VAR:QUERY=RkZfQ0FQRVgoUVRSLC0yUSk=&amp;WINDOW=FIRST_POPUP&amp;HEIGHT=450&amp;WIDTH=450&amp;START_MAXIMIZED=FALS","E&amp;VAR:CALENDAR=US&amp;VAR:SYMBOL=MMP&amp;VAR:INDEX=0"}</definedName>
    <definedName name="_123__FDSAUDITLINK__" hidden="1">{"fdsup://directions/FAT Viewer?action=UPDATE&amp;creator=factset&amp;DYN_ARGS=TRUE&amp;DOC_NAME=FAT:FQL_AUDITING_CLIENT_TEMPLATE.FAT&amp;display_string=Audit&amp;VAR:KEY=MBAJMZWVYZ&amp;VAR:QUERY=RkZfQ0FQRVgoUVRSLC0yUSk=&amp;WINDOW=FIRST_POPUP&amp;HEIGHT=450&amp;WIDTH=450&amp;START_MAXIMIZED=FALS","E&amp;VAR:CALENDAR=US&amp;VAR:SYMBOL=MMP&amp;VAR:INDEX=0"}</definedName>
    <definedName name="_124__FDSAUDITLINK__" localSheetId="1" hidden="1">{"fdsup://directions/FAT Viewer?action=UPDATE&amp;creator=factset&amp;DYN_ARGS=TRUE&amp;DOC_NAME=FAT:FQL_AUDITING_CLIENT_TEMPLATE.FAT&amp;display_string=Audit&amp;VAR:KEY=ALEXABERMN&amp;VAR:QUERY=RkZfQ0FQRVgoUVRSLC0zUSk=&amp;WINDOW=FIRST_POPUP&amp;HEIGHT=450&amp;WIDTH=450&amp;START_MAXIMIZED=FALS","E&amp;VAR:CALENDAR=US&amp;VAR:SYMBOL=MMP&amp;VAR:INDEX=0"}</definedName>
    <definedName name="_124__FDSAUDITLINK__" localSheetId="3" hidden="1">{"fdsup://directions/FAT Viewer?action=UPDATE&amp;creator=factset&amp;DYN_ARGS=TRUE&amp;DOC_NAME=FAT:FQL_AUDITING_CLIENT_TEMPLATE.FAT&amp;display_string=Audit&amp;VAR:KEY=ALEXABERMN&amp;VAR:QUERY=RkZfQ0FQRVgoUVRSLC0zUSk=&amp;WINDOW=FIRST_POPUP&amp;HEIGHT=450&amp;WIDTH=450&amp;START_MAXIMIZED=FALS","E&amp;VAR:CALENDAR=US&amp;VAR:SYMBOL=MMP&amp;VAR:INDEX=0"}</definedName>
    <definedName name="_124__FDSAUDITLINK__" hidden="1">{"fdsup://directions/FAT Viewer?action=UPDATE&amp;creator=factset&amp;DYN_ARGS=TRUE&amp;DOC_NAME=FAT:FQL_AUDITING_CLIENT_TEMPLATE.FAT&amp;display_string=Audit&amp;VAR:KEY=ALEXABERMN&amp;VAR:QUERY=RkZfQ0FQRVgoUVRSLC0zUSk=&amp;WINDOW=FIRST_POPUP&amp;HEIGHT=450&amp;WIDTH=450&amp;START_MAXIMIZED=FALS","E&amp;VAR:CALENDAR=US&amp;VAR:SYMBOL=MMP&amp;VAR:INDEX=0"}</definedName>
    <definedName name="_125__FDSAUDITLINK__" localSheetId="1" hidden="1">{"fdsup://directions/FAT Viewer?action=UPDATE&amp;creator=factset&amp;DYN_ARGS=TRUE&amp;DOC_NAME=FAT:FQL_AUDITING_CLIENT_TEMPLATE.FAT&amp;display_string=Audit&amp;VAR:KEY=UPCLCVQBYT&amp;VAR:QUERY=RkZfQ0FQRVgoUVRSLDBRKQ==&amp;WINDOW=FIRST_POPUP&amp;HEIGHT=450&amp;WIDTH=450&amp;START_MAXIMIZED=FALS","E&amp;VAR:CALENDAR=US&amp;VAR:SYMBOL=MMLP&amp;VAR:INDEX=0"}</definedName>
    <definedName name="_125__FDSAUDITLINK__" localSheetId="3" hidden="1">{"fdsup://directions/FAT Viewer?action=UPDATE&amp;creator=factset&amp;DYN_ARGS=TRUE&amp;DOC_NAME=FAT:FQL_AUDITING_CLIENT_TEMPLATE.FAT&amp;display_string=Audit&amp;VAR:KEY=UPCLCVQBYT&amp;VAR:QUERY=RkZfQ0FQRVgoUVRSLDBRKQ==&amp;WINDOW=FIRST_POPUP&amp;HEIGHT=450&amp;WIDTH=450&amp;START_MAXIMIZED=FALS","E&amp;VAR:CALENDAR=US&amp;VAR:SYMBOL=MMLP&amp;VAR:INDEX=0"}</definedName>
    <definedName name="_125__FDSAUDITLINK__" hidden="1">{"fdsup://directions/FAT Viewer?action=UPDATE&amp;creator=factset&amp;DYN_ARGS=TRUE&amp;DOC_NAME=FAT:FQL_AUDITING_CLIENT_TEMPLATE.FAT&amp;display_string=Audit&amp;VAR:KEY=UPCLCVQBYT&amp;VAR:QUERY=RkZfQ0FQRVgoUVRSLDBRKQ==&amp;WINDOW=FIRST_POPUP&amp;HEIGHT=450&amp;WIDTH=450&amp;START_MAXIMIZED=FALS","E&amp;VAR:CALENDAR=US&amp;VAR:SYMBOL=MMLP&amp;VAR:INDEX=0"}</definedName>
    <definedName name="_126__FDSAUDITLINK__" localSheetId="1" hidden="1">{"fdsup://directions/FAT Viewer?action=UPDATE&amp;creator=factset&amp;DYN_ARGS=TRUE&amp;DOC_NAME=FAT:FQL_AUDITING_CLIENT_TEMPLATE.FAT&amp;display_string=Audit&amp;VAR:KEY=KTOLQZONEN&amp;VAR:QUERY=RkZfQ0FQRVgoUVRSLC0xUSk=&amp;WINDOW=FIRST_POPUP&amp;HEIGHT=450&amp;WIDTH=450&amp;START_MAXIMIZED=FALS","E&amp;VAR:CALENDAR=US&amp;VAR:SYMBOL=MMLP&amp;VAR:INDEX=0"}</definedName>
    <definedName name="_126__FDSAUDITLINK__" localSheetId="3" hidden="1">{"fdsup://directions/FAT Viewer?action=UPDATE&amp;creator=factset&amp;DYN_ARGS=TRUE&amp;DOC_NAME=FAT:FQL_AUDITING_CLIENT_TEMPLATE.FAT&amp;display_string=Audit&amp;VAR:KEY=KTOLQZONEN&amp;VAR:QUERY=RkZfQ0FQRVgoUVRSLC0xUSk=&amp;WINDOW=FIRST_POPUP&amp;HEIGHT=450&amp;WIDTH=450&amp;START_MAXIMIZED=FALS","E&amp;VAR:CALENDAR=US&amp;VAR:SYMBOL=MMLP&amp;VAR:INDEX=0"}</definedName>
    <definedName name="_126__FDSAUDITLINK__" hidden="1">{"fdsup://directions/FAT Viewer?action=UPDATE&amp;creator=factset&amp;DYN_ARGS=TRUE&amp;DOC_NAME=FAT:FQL_AUDITING_CLIENT_TEMPLATE.FAT&amp;display_string=Audit&amp;VAR:KEY=KTOLQZONEN&amp;VAR:QUERY=RkZfQ0FQRVgoUVRSLC0xUSk=&amp;WINDOW=FIRST_POPUP&amp;HEIGHT=450&amp;WIDTH=450&amp;START_MAXIMIZED=FALS","E&amp;VAR:CALENDAR=US&amp;VAR:SYMBOL=MMLP&amp;VAR:INDEX=0"}</definedName>
    <definedName name="_127__FDSAUDITLINK__" localSheetId="1" hidden="1">{"fdsup://directions/FAT Viewer?action=UPDATE&amp;creator=factset&amp;DYN_ARGS=TRUE&amp;DOC_NAME=FAT:FQL_AUDITING_CLIENT_TEMPLATE.FAT&amp;display_string=Audit&amp;VAR:KEY=OFKLQVKBOZ&amp;VAR:QUERY=RkZfQ0FQRVgoUVRSLC0yUSk=&amp;WINDOW=FIRST_POPUP&amp;HEIGHT=450&amp;WIDTH=450&amp;START_MAXIMIZED=FALS","E&amp;VAR:CALENDAR=US&amp;VAR:SYMBOL=MMLP&amp;VAR:INDEX=0"}</definedName>
    <definedName name="_127__FDSAUDITLINK__" localSheetId="3" hidden="1">{"fdsup://directions/FAT Viewer?action=UPDATE&amp;creator=factset&amp;DYN_ARGS=TRUE&amp;DOC_NAME=FAT:FQL_AUDITING_CLIENT_TEMPLATE.FAT&amp;display_string=Audit&amp;VAR:KEY=OFKLQVKBOZ&amp;VAR:QUERY=RkZfQ0FQRVgoUVRSLC0yUSk=&amp;WINDOW=FIRST_POPUP&amp;HEIGHT=450&amp;WIDTH=450&amp;START_MAXIMIZED=FALS","E&amp;VAR:CALENDAR=US&amp;VAR:SYMBOL=MMLP&amp;VAR:INDEX=0"}</definedName>
    <definedName name="_127__FDSAUDITLINK__" hidden="1">{"fdsup://directions/FAT Viewer?action=UPDATE&amp;creator=factset&amp;DYN_ARGS=TRUE&amp;DOC_NAME=FAT:FQL_AUDITING_CLIENT_TEMPLATE.FAT&amp;display_string=Audit&amp;VAR:KEY=OFKLQVKBOZ&amp;VAR:QUERY=RkZfQ0FQRVgoUVRSLC0yUSk=&amp;WINDOW=FIRST_POPUP&amp;HEIGHT=450&amp;WIDTH=450&amp;START_MAXIMIZED=FALS","E&amp;VAR:CALENDAR=US&amp;VAR:SYMBOL=MMLP&amp;VAR:INDEX=0"}</definedName>
    <definedName name="_128__FDSAUDITLINK__" localSheetId="1" hidden="1">{"fdsup://directions/FAT Viewer?action=UPDATE&amp;creator=factset&amp;DYN_ARGS=TRUE&amp;DOC_NAME=FAT:FQL_AUDITING_CLIENT_TEMPLATE.FAT&amp;display_string=Audit&amp;VAR:KEY=CZKDYXCHSL&amp;VAR:QUERY=RkZfQ0FQRVgoUVRSLC0zUSk=&amp;WINDOW=FIRST_POPUP&amp;HEIGHT=450&amp;WIDTH=450&amp;START_MAXIMIZED=FALS","E&amp;VAR:CALENDAR=US&amp;VAR:SYMBOL=MMLP&amp;VAR:INDEX=0"}</definedName>
    <definedName name="_128__FDSAUDITLINK__" localSheetId="3" hidden="1">{"fdsup://directions/FAT Viewer?action=UPDATE&amp;creator=factset&amp;DYN_ARGS=TRUE&amp;DOC_NAME=FAT:FQL_AUDITING_CLIENT_TEMPLATE.FAT&amp;display_string=Audit&amp;VAR:KEY=CZKDYXCHSL&amp;VAR:QUERY=RkZfQ0FQRVgoUVRSLC0zUSk=&amp;WINDOW=FIRST_POPUP&amp;HEIGHT=450&amp;WIDTH=450&amp;START_MAXIMIZED=FALS","E&amp;VAR:CALENDAR=US&amp;VAR:SYMBOL=MMLP&amp;VAR:INDEX=0"}</definedName>
    <definedName name="_128__FDSAUDITLINK__" hidden="1">{"fdsup://directions/FAT Viewer?action=UPDATE&amp;creator=factset&amp;DYN_ARGS=TRUE&amp;DOC_NAME=FAT:FQL_AUDITING_CLIENT_TEMPLATE.FAT&amp;display_string=Audit&amp;VAR:KEY=CZKDYXCHSL&amp;VAR:QUERY=RkZfQ0FQRVgoUVRSLC0zUSk=&amp;WINDOW=FIRST_POPUP&amp;HEIGHT=450&amp;WIDTH=450&amp;START_MAXIMIZED=FALS","E&amp;VAR:CALENDAR=US&amp;VAR:SYMBOL=MMLP&amp;VAR:INDEX=0"}</definedName>
    <definedName name="_129__FDSAUDITLINK__" localSheetId="1" hidden="1">{"fdsup://directions/FAT Viewer?action=UPDATE&amp;creator=factset&amp;DYN_ARGS=TRUE&amp;DOC_NAME=FAT:FQL_AUDITING_CLIENT_TEMPLATE.FAT&amp;display_string=Audit&amp;VAR:KEY=UBKVCJQNQV&amp;VAR:QUERY=RkZfQ0FQRVgoUVRSLDBRKQ==&amp;WINDOW=FIRST_POPUP&amp;HEIGHT=450&amp;WIDTH=450&amp;START_MAXIMIZED=FALS","E&amp;VAR:CALENDAR=US&amp;VAR:SYMBOL=KMP&amp;VAR:INDEX=0"}</definedName>
    <definedName name="_129__FDSAUDITLINK__" localSheetId="3" hidden="1">{"fdsup://directions/FAT Viewer?action=UPDATE&amp;creator=factset&amp;DYN_ARGS=TRUE&amp;DOC_NAME=FAT:FQL_AUDITING_CLIENT_TEMPLATE.FAT&amp;display_string=Audit&amp;VAR:KEY=UBKVCJQNQV&amp;VAR:QUERY=RkZfQ0FQRVgoUVRSLDBRKQ==&amp;WINDOW=FIRST_POPUP&amp;HEIGHT=450&amp;WIDTH=450&amp;START_MAXIMIZED=FALS","E&amp;VAR:CALENDAR=US&amp;VAR:SYMBOL=KMP&amp;VAR:INDEX=0"}</definedName>
    <definedName name="_129__FDSAUDITLINK__" hidden="1">{"fdsup://directions/FAT Viewer?action=UPDATE&amp;creator=factset&amp;DYN_ARGS=TRUE&amp;DOC_NAME=FAT:FQL_AUDITING_CLIENT_TEMPLATE.FAT&amp;display_string=Audit&amp;VAR:KEY=UBKVCJQNQV&amp;VAR:QUERY=RkZfQ0FQRVgoUVRSLDBRKQ==&amp;WINDOW=FIRST_POPUP&amp;HEIGHT=450&amp;WIDTH=450&amp;START_MAXIMIZED=FALS","E&amp;VAR:CALENDAR=US&amp;VAR:SYMBOL=KMP&amp;VAR:INDEX=0"}</definedName>
    <definedName name="_13__123Graph_BCONTRACT_BY_B_U" hidden="1">#REF!</definedName>
    <definedName name="_13__123Graph_BQRE_S_BY_TYPE" hidden="1">#REF!</definedName>
    <definedName name="_13__123Graph_BTAX_CREDIT" hidden="1">#REF!</definedName>
    <definedName name="_13__123Graph_DO_MPRICE" hidden="1">#REF!</definedName>
    <definedName name="_13__FDSAUDITLINK__" localSheetId="1" hidden="1">{"fdsup://directions/FAT Viewer?action=UPDATE&amp;creator=factset&amp;DYN_ARGS=TRUE&amp;DOC_NAME=FAT:FQL_AUDITING_CLIENT_TEMPLATE.FAT&amp;display_string=Audit&amp;VAR:KEY=CFYNEFYZIB&amp;VAR:QUERY=RkZfQ0FQRVgoUVRSLDBRKQ==&amp;WINDOW=FIRST_POPUP&amp;HEIGHT=450&amp;WIDTH=450&amp;START_MAXIMIZED=FALS","E&amp;VAR:CALENDAR=US&amp;VAR:SYMBOL=LINE&amp;VAR:INDEX=0"}</definedName>
    <definedName name="_13__FDSAUDITLINK__" localSheetId="3" hidden="1">{"fdsup://directions/FAT Viewer?action=UPDATE&amp;creator=factset&amp;DYN_ARGS=TRUE&amp;DOC_NAME=FAT:FQL_AUDITING_CLIENT_TEMPLATE.FAT&amp;display_string=Audit&amp;VAR:KEY=CFYNEFYZIB&amp;VAR:QUERY=RkZfQ0FQRVgoUVRSLDBRKQ==&amp;WINDOW=FIRST_POPUP&amp;HEIGHT=450&amp;WIDTH=450&amp;START_MAXIMIZED=FALS","E&amp;VAR:CALENDAR=US&amp;VAR:SYMBOL=LINE&amp;VAR:INDEX=0"}</definedName>
    <definedName name="_13__FDSAUDITLINK__" hidden="1">{"fdsup://directions/FAT Viewer?action=UPDATE&amp;creator=factset&amp;DYN_ARGS=TRUE&amp;DOC_NAME=FAT:FQL_AUDITING_CLIENT_TEMPLATE.FAT&amp;display_string=Audit&amp;VAR:KEY=CFYNEFYZIB&amp;VAR:QUERY=RkZfQ0FQRVgoUVRSLDBRKQ==&amp;WINDOW=FIRST_POPUP&amp;HEIGHT=450&amp;WIDTH=450&amp;START_MAXIMIZED=FALS","E&amp;VAR:CALENDAR=US&amp;VAR:SYMBOL=LINE&amp;VAR:INDEX=0"}</definedName>
    <definedName name="_130__FDSAUDITLINK__" localSheetId="1" hidden="1">{"fdsup://directions/FAT Viewer?action=UPDATE&amp;creator=factset&amp;DYN_ARGS=TRUE&amp;DOC_NAME=FAT:FQL_AUDITING_CLIENT_TEMPLATE.FAT&amp;display_string=Audit&amp;VAR:KEY=EVCZIJUDGB&amp;VAR:QUERY=RkZfQ0FQRVgoUVRSLC0xUSk=&amp;WINDOW=FIRST_POPUP&amp;HEIGHT=450&amp;WIDTH=450&amp;START_MAXIMIZED=FALS","E&amp;VAR:CALENDAR=US&amp;VAR:SYMBOL=KMP&amp;VAR:INDEX=0"}</definedName>
    <definedName name="_130__FDSAUDITLINK__" localSheetId="3" hidden="1">{"fdsup://directions/FAT Viewer?action=UPDATE&amp;creator=factset&amp;DYN_ARGS=TRUE&amp;DOC_NAME=FAT:FQL_AUDITING_CLIENT_TEMPLATE.FAT&amp;display_string=Audit&amp;VAR:KEY=EVCZIJUDGB&amp;VAR:QUERY=RkZfQ0FQRVgoUVRSLC0xUSk=&amp;WINDOW=FIRST_POPUP&amp;HEIGHT=450&amp;WIDTH=450&amp;START_MAXIMIZED=FALS","E&amp;VAR:CALENDAR=US&amp;VAR:SYMBOL=KMP&amp;VAR:INDEX=0"}</definedName>
    <definedName name="_130__FDSAUDITLINK__" hidden="1">{"fdsup://directions/FAT Viewer?action=UPDATE&amp;creator=factset&amp;DYN_ARGS=TRUE&amp;DOC_NAME=FAT:FQL_AUDITING_CLIENT_TEMPLATE.FAT&amp;display_string=Audit&amp;VAR:KEY=EVCZIJUDGB&amp;VAR:QUERY=RkZfQ0FQRVgoUVRSLC0xUSk=&amp;WINDOW=FIRST_POPUP&amp;HEIGHT=450&amp;WIDTH=450&amp;START_MAXIMIZED=FALS","E&amp;VAR:CALENDAR=US&amp;VAR:SYMBOL=KMP&amp;VAR:INDEX=0"}</definedName>
    <definedName name="_131__FDSAUDITLINK__" localSheetId="1" hidden="1">{"fdsup://directions/FAT Viewer?action=UPDATE&amp;creator=factset&amp;DYN_ARGS=TRUE&amp;DOC_NAME=FAT:FQL_AUDITING_CLIENT_TEMPLATE.FAT&amp;display_string=Audit&amp;VAR:KEY=WPYZATQRMT&amp;VAR:QUERY=RkZfQ0FQRVgoUVRSLC0yUSk=&amp;WINDOW=FIRST_POPUP&amp;HEIGHT=450&amp;WIDTH=450&amp;START_MAXIMIZED=FALS","E&amp;VAR:CALENDAR=US&amp;VAR:SYMBOL=KMP&amp;VAR:INDEX=0"}</definedName>
    <definedName name="_131__FDSAUDITLINK__" localSheetId="3" hidden="1">{"fdsup://directions/FAT Viewer?action=UPDATE&amp;creator=factset&amp;DYN_ARGS=TRUE&amp;DOC_NAME=FAT:FQL_AUDITING_CLIENT_TEMPLATE.FAT&amp;display_string=Audit&amp;VAR:KEY=WPYZATQRMT&amp;VAR:QUERY=RkZfQ0FQRVgoUVRSLC0yUSk=&amp;WINDOW=FIRST_POPUP&amp;HEIGHT=450&amp;WIDTH=450&amp;START_MAXIMIZED=FALS","E&amp;VAR:CALENDAR=US&amp;VAR:SYMBOL=KMP&amp;VAR:INDEX=0"}</definedName>
    <definedName name="_131__FDSAUDITLINK__" hidden="1">{"fdsup://directions/FAT Viewer?action=UPDATE&amp;creator=factset&amp;DYN_ARGS=TRUE&amp;DOC_NAME=FAT:FQL_AUDITING_CLIENT_TEMPLATE.FAT&amp;display_string=Audit&amp;VAR:KEY=WPYZATQRMT&amp;VAR:QUERY=RkZfQ0FQRVgoUVRSLC0yUSk=&amp;WINDOW=FIRST_POPUP&amp;HEIGHT=450&amp;WIDTH=450&amp;START_MAXIMIZED=FALS","E&amp;VAR:CALENDAR=US&amp;VAR:SYMBOL=KMP&amp;VAR:INDEX=0"}</definedName>
    <definedName name="_132__FDSAUDITLINK__" localSheetId="1" hidden="1">{"fdsup://directions/FAT Viewer?action=UPDATE&amp;creator=factset&amp;DYN_ARGS=TRUE&amp;DOC_NAME=FAT:FQL_AUDITING_CLIENT_TEMPLATE.FAT&amp;display_string=Audit&amp;VAR:KEY=KTEJWHONMB&amp;VAR:QUERY=RkZfQ0FQRVgoUVRSLC0zUSk=&amp;WINDOW=FIRST_POPUP&amp;HEIGHT=450&amp;WIDTH=450&amp;START_MAXIMIZED=FALS","E&amp;VAR:CALENDAR=US&amp;VAR:SYMBOL=KMP&amp;VAR:INDEX=0"}</definedName>
    <definedName name="_132__FDSAUDITLINK__" localSheetId="3" hidden="1">{"fdsup://directions/FAT Viewer?action=UPDATE&amp;creator=factset&amp;DYN_ARGS=TRUE&amp;DOC_NAME=FAT:FQL_AUDITING_CLIENT_TEMPLATE.FAT&amp;display_string=Audit&amp;VAR:KEY=KTEJWHONMB&amp;VAR:QUERY=RkZfQ0FQRVgoUVRSLC0zUSk=&amp;WINDOW=FIRST_POPUP&amp;HEIGHT=450&amp;WIDTH=450&amp;START_MAXIMIZED=FALS","E&amp;VAR:CALENDAR=US&amp;VAR:SYMBOL=KMP&amp;VAR:INDEX=0"}</definedName>
    <definedName name="_132__FDSAUDITLINK__" hidden="1">{"fdsup://directions/FAT Viewer?action=UPDATE&amp;creator=factset&amp;DYN_ARGS=TRUE&amp;DOC_NAME=FAT:FQL_AUDITING_CLIENT_TEMPLATE.FAT&amp;display_string=Audit&amp;VAR:KEY=KTEJWHONMB&amp;VAR:QUERY=RkZfQ0FQRVgoUVRSLC0zUSk=&amp;WINDOW=FIRST_POPUP&amp;HEIGHT=450&amp;WIDTH=450&amp;START_MAXIMIZED=FALS","E&amp;VAR:CALENDAR=US&amp;VAR:SYMBOL=KMP&amp;VAR:INDEX=0"}</definedName>
    <definedName name="_133__FDSAUDITLINK__" localSheetId="1" hidden="1">{"fdsup://directions/FAT Viewer?action=UPDATE&amp;creator=factset&amp;DYN_ARGS=TRUE&amp;DOC_NAME=FAT:FQL_AUDITING_CLIENT_TEMPLATE.FAT&amp;display_string=Audit&amp;VAR:KEY=CFYHMXQVYL&amp;VAR:QUERY=RkZfQ0FQRVgoUVRSLDBRKQ==&amp;WINDOW=FIRST_POPUP&amp;HEIGHT=450&amp;WIDTH=450&amp;START_MAXIMIZED=FALS","E&amp;VAR:CALENDAR=US&amp;VAR:SYMBOL=HEP&amp;VAR:INDEX=0"}</definedName>
    <definedName name="_133__FDSAUDITLINK__" localSheetId="3" hidden="1">{"fdsup://directions/FAT Viewer?action=UPDATE&amp;creator=factset&amp;DYN_ARGS=TRUE&amp;DOC_NAME=FAT:FQL_AUDITING_CLIENT_TEMPLATE.FAT&amp;display_string=Audit&amp;VAR:KEY=CFYHMXQVYL&amp;VAR:QUERY=RkZfQ0FQRVgoUVRSLDBRKQ==&amp;WINDOW=FIRST_POPUP&amp;HEIGHT=450&amp;WIDTH=450&amp;START_MAXIMIZED=FALS","E&amp;VAR:CALENDAR=US&amp;VAR:SYMBOL=HEP&amp;VAR:INDEX=0"}</definedName>
    <definedName name="_133__FDSAUDITLINK__" hidden="1">{"fdsup://directions/FAT Viewer?action=UPDATE&amp;creator=factset&amp;DYN_ARGS=TRUE&amp;DOC_NAME=FAT:FQL_AUDITING_CLIENT_TEMPLATE.FAT&amp;display_string=Audit&amp;VAR:KEY=CFYHMXQVYL&amp;VAR:QUERY=RkZfQ0FQRVgoUVRSLDBRKQ==&amp;WINDOW=FIRST_POPUP&amp;HEIGHT=450&amp;WIDTH=450&amp;START_MAXIMIZED=FALS","E&amp;VAR:CALENDAR=US&amp;VAR:SYMBOL=HEP&amp;VAR:INDEX=0"}</definedName>
    <definedName name="_134__FDSAUDITLINK__" localSheetId="1" hidden="1">{"fdsup://directions/FAT Viewer?action=UPDATE&amp;creator=factset&amp;DYN_ARGS=TRUE&amp;DOC_NAME=FAT:FQL_AUDITING_CLIENT_TEMPLATE.FAT&amp;display_string=Audit&amp;VAR:KEY=CXUJMXYJML&amp;VAR:QUERY=RkZfQ0FQRVgoUVRSLC0xUSk=&amp;WINDOW=FIRST_POPUP&amp;HEIGHT=450&amp;WIDTH=450&amp;START_MAXIMIZED=FALS","E&amp;VAR:CALENDAR=US&amp;VAR:SYMBOL=HEP&amp;VAR:INDEX=0"}</definedName>
    <definedName name="_134__FDSAUDITLINK__" localSheetId="3" hidden="1">{"fdsup://directions/FAT Viewer?action=UPDATE&amp;creator=factset&amp;DYN_ARGS=TRUE&amp;DOC_NAME=FAT:FQL_AUDITING_CLIENT_TEMPLATE.FAT&amp;display_string=Audit&amp;VAR:KEY=CXUJMXYJML&amp;VAR:QUERY=RkZfQ0FQRVgoUVRSLC0xUSk=&amp;WINDOW=FIRST_POPUP&amp;HEIGHT=450&amp;WIDTH=450&amp;START_MAXIMIZED=FALS","E&amp;VAR:CALENDAR=US&amp;VAR:SYMBOL=HEP&amp;VAR:INDEX=0"}</definedName>
    <definedName name="_134__FDSAUDITLINK__" hidden="1">{"fdsup://directions/FAT Viewer?action=UPDATE&amp;creator=factset&amp;DYN_ARGS=TRUE&amp;DOC_NAME=FAT:FQL_AUDITING_CLIENT_TEMPLATE.FAT&amp;display_string=Audit&amp;VAR:KEY=CXUJMXYJML&amp;VAR:QUERY=RkZfQ0FQRVgoUVRSLC0xUSk=&amp;WINDOW=FIRST_POPUP&amp;HEIGHT=450&amp;WIDTH=450&amp;START_MAXIMIZED=FALS","E&amp;VAR:CALENDAR=US&amp;VAR:SYMBOL=HEP&amp;VAR:INDEX=0"}</definedName>
    <definedName name="_135__FDSAUDITLINK__" localSheetId="1" hidden="1">{"fdsup://directions/FAT Viewer?action=UPDATE&amp;creator=factset&amp;DYN_ARGS=TRUE&amp;DOC_NAME=FAT:FQL_AUDITING_CLIENT_TEMPLATE.FAT&amp;display_string=Audit&amp;VAR:KEY=EPIHINADAP&amp;VAR:QUERY=RkZfQ0FQRVgoUVRSLC0yUSk=&amp;WINDOW=FIRST_POPUP&amp;HEIGHT=450&amp;WIDTH=450&amp;START_MAXIMIZED=FALS","E&amp;VAR:CALENDAR=US&amp;VAR:SYMBOL=HEP&amp;VAR:INDEX=0"}</definedName>
    <definedName name="_135__FDSAUDITLINK__" localSheetId="3" hidden="1">{"fdsup://directions/FAT Viewer?action=UPDATE&amp;creator=factset&amp;DYN_ARGS=TRUE&amp;DOC_NAME=FAT:FQL_AUDITING_CLIENT_TEMPLATE.FAT&amp;display_string=Audit&amp;VAR:KEY=EPIHINADAP&amp;VAR:QUERY=RkZfQ0FQRVgoUVRSLC0yUSk=&amp;WINDOW=FIRST_POPUP&amp;HEIGHT=450&amp;WIDTH=450&amp;START_MAXIMIZED=FALS","E&amp;VAR:CALENDAR=US&amp;VAR:SYMBOL=HEP&amp;VAR:INDEX=0"}</definedName>
    <definedName name="_135__FDSAUDITLINK__" hidden="1">{"fdsup://directions/FAT Viewer?action=UPDATE&amp;creator=factset&amp;DYN_ARGS=TRUE&amp;DOC_NAME=FAT:FQL_AUDITING_CLIENT_TEMPLATE.FAT&amp;display_string=Audit&amp;VAR:KEY=EPIHINADAP&amp;VAR:QUERY=RkZfQ0FQRVgoUVRSLC0yUSk=&amp;WINDOW=FIRST_POPUP&amp;HEIGHT=450&amp;WIDTH=450&amp;START_MAXIMIZED=FALS","E&amp;VAR:CALENDAR=US&amp;VAR:SYMBOL=HEP&amp;VAR:INDEX=0"}</definedName>
    <definedName name="_136__FDSAUDITLINK__" localSheetId="1" hidden="1">{"fdsup://directions/FAT Viewer?action=UPDATE&amp;creator=factset&amp;DYN_ARGS=TRUE&amp;DOC_NAME=FAT:FQL_AUDITING_CLIENT_TEMPLATE.FAT&amp;display_string=Audit&amp;VAR:KEY=KRILYHABUH&amp;VAR:QUERY=RkZfQ0FQRVgoUVRSLC0zUSk=&amp;WINDOW=FIRST_POPUP&amp;HEIGHT=450&amp;WIDTH=450&amp;START_MAXIMIZED=FALS","E&amp;VAR:CALENDAR=US&amp;VAR:SYMBOL=HEP&amp;VAR:INDEX=0"}</definedName>
    <definedName name="_136__FDSAUDITLINK__" localSheetId="3" hidden="1">{"fdsup://directions/FAT Viewer?action=UPDATE&amp;creator=factset&amp;DYN_ARGS=TRUE&amp;DOC_NAME=FAT:FQL_AUDITING_CLIENT_TEMPLATE.FAT&amp;display_string=Audit&amp;VAR:KEY=KRILYHABUH&amp;VAR:QUERY=RkZfQ0FQRVgoUVRSLC0zUSk=&amp;WINDOW=FIRST_POPUP&amp;HEIGHT=450&amp;WIDTH=450&amp;START_MAXIMIZED=FALS","E&amp;VAR:CALENDAR=US&amp;VAR:SYMBOL=HEP&amp;VAR:INDEX=0"}</definedName>
    <definedName name="_136__FDSAUDITLINK__" hidden="1">{"fdsup://directions/FAT Viewer?action=UPDATE&amp;creator=factset&amp;DYN_ARGS=TRUE&amp;DOC_NAME=FAT:FQL_AUDITING_CLIENT_TEMPLATE.FAT&amp;display_string=Audit&amp;VAR:KEY=KRILYHABUH&amp;VAR:QUERY=RkZfQ0FQRVgoUVRSLC0zUSk=&amp;WINDOW=FIRST_POPUP&amp;HEIGHT=450&amp;WIDTH=450&amp;START_MAXIMIZED=FALS","E&amp;VAR:CALENDAR=US&amp;VAR:SYMBOL=HEP&amp;VAR:INDEX=0"}</definedName>
    <definedName name="_137__FDSAUDITLINK__" localSheetId="1" hidden="1">{"fdsup://directions/FAT Viewer?action=UPDATE&amp;creator=factset&amp;DYN_ARGS=TRUE&amp;DOC_NAME=FAT:FQL_AUDITING_CLIENT_TEMPLATE.FAT&amp;display_string=Audit&amp;VAR:KEY=OVKBAJITKP&amp;VAR:QUERY=RkZfQ0FQRVgoUVRSLDBRKQ==&amp;WINDOW=FIRST_POPUP&amp;HEIGHT=450&amp;WIDTH=450&amp;START_MAXIMIZED=FALS","E&amp;VAR:CALENDAR=US&amp;VAR:SYMBOL=GLP&amp;VAR:INDEX=0"}</definedName>
    <definedName name="_137__FDSAUDITLINK__" localSheetId="3" hidden="1">{"fdsup://directions/FAT Viewer?action=UPDATE&amp;creator=factset&amp;DYN_ARGS=TRUE&amp;DOC_NAME=FAT:FQL_AUDITING_CLIENT_TEMPLATE.FAT&amp;display_string=Audit&amp;VAR:KEY=OVKBAJITKP&amp;VAR:QUERY=RkZfQ0FQRVgoUVRSLDBRKQ==&amp;WINDOW=FIRST_POPUP&amp;HEIGHT=450&amp;WIDTH=450&amp;START_MAXIMIZED=FALS","E&amp;VAR:CALENDAR=US&amp;VAR:SYMBOL=GLP&amp;VAR:INDEX=0"}</definedName>
    <definedName name="_137__FDSAUDITLINK__" hidden="1">{"fdsup://directions/FAT Viewer?action=UPDATE&amp;creator=factset&amp;DYN_ARGS=TRUE&amp;DOC_NAME=FAT:FQL_AUDITING_CLIENT_TEMPLATE.FAT&amp;display_string=Audit&amp;VAR:KEY=OVKBAJITKP&amp;VAR:QUERY=RkZfQ0FQRVgoUVRSLDBRKQ==&amp;WINDOW=FIRST_POPUP&amp;HEIGHT=450&amp;WIDTH=450&amp;START_MAXIMIZED=FALS","E&amp;VAR:CALENDAR=US&amp;VAR:SYMBOL=GLP&amp;VAR:INDEX=0"}</definedName>
    <definedName name="_138__FDSAUDITLINK__" localSheetId="1" hidden="1">{"fdsup://directions/FAT Viewer?action=UPDATE&amp;creator=factset&amp;DYN_ARGS=TRUE&amp;DOC_NAME=FAT:FQL_AUDITING_CLIENT_TEMPLATE.FAT&amp;display_string=Audit&amp;VAR:KEY=ILULSZIBYT&amp;VAR:QUERY=RkZfQ0FQRVgoUVRSLC0xUSk=&amp;WINDOW=FIRST_POPUP&amp;HEIGHT=450&amp;WIDTH=450&amp;START_MAXIMIZED=FALS","E&amp;VAR:CALENDAR=US&amp;VAR:SYMBOL=GLP&amp;VAR:INDEX=0"}</definedName>
    <definedName name="_138__FDSAUDITLINK__" localSheetId="3" hidden="1">{"fdsup://directions/FAT Viewer?action=UPDATE&amp;creator=factset&amp;DYN_ARGS=TRUE&amp;DOC_NAME=FAT:FQL_AUDITING_CLIENT_TEMPLATE.FAT&amp;display_string=Audit&amp;VAR:KEY=ILULSZIBYT&amp;VAR:QUERY=RkZfQ0FQRVgoUVRSLC0xUSk=&amp;WINDOW=FIRST_POPUP&amp;HEIGHT=450&amp;WIDTH=450&amp;START_MAXIMIZED=FALS","E&amp;VAR:CALENDAR=US&amp;VAR:SYMBOL=GLP&amp;VAR:INDEX=0"}</definedName>
    <definedName name="_138__FDSAUDITLINK__" hidden="1">{"fdsup://directions/FAT Viewer?action=UPDATE&amp;creator=factset&amp;DYN_ARGS=TRUE&amp;DOC_NAME=FAT:FQL_AUDITING_CLIENT_TEMPLATE.FAT&amp;display_string=Audit&amp;VAR:KEY=ILULSZIBYT&amp;VAR:QUERY=RkZfQ0FQRVgoUVRSLC0xUSk=&amp;WINDOW=FIRST_POPUP&amp;HEIGHT=450&amp;WIDTH=450&amp;START_MAXIMIZED=FALS","E&amp;VAR:CALENDAR=US&amp;VAR:SYMBOL=GLP&amp;VAR:INDEX=0"}</definedName>
    <definedName name="_139__FDSAUDITLINK__" localSheetId="1" hidden="1">{"fdsup://directions/FAT Viewer?action=UPDATE&amp;creator=factset&amp;DYN_ARGS=TRUE&amp;DOC_NAME=FAT:FQL_AUDITING_CLIENT_TEMPLATE.FAT&amp;display_string=Audit&amp;VAR:KEY=CDUFYHABSB&amp;VAR:QUERY=RkZfQ0FQRVgoUVRSLC0yUSk=&amp;WINDOW=FIRST_POPUP&amp;HEIGHT=450&amp;WIDTH=450&amp;START_MAXIMIZED=FALS","E&amp;VAR:CALENDAR=US&amp;VAR:SYMBOL=GLP&amp;VAR:INDEX=0"}</definedName>
    <definedName name="_139__FDSAUDITLINK__" localSheetId="3" hidden="1">{"fdsup://directions/FAT Viewer?action=UPDATE&amp;creator=factset&amp;DYN_ARGS=TRUE&amp;DOC_NAME=FAT:FQL_AUDITING_CLIENT_TEMPLATE.FAT&amp;display_string=Audit&amp;VAR:KEY=CDUFYHABSB&amp;VAR:QUERY=RkZfQ0FQRVgoUVRSLC0yUSk=&amp;WINDOW=FIRST_POPUP&amp;HEIGHT=450&amp;WIDTH=450&amp;START_MAXIMIZED=FALS","E&amp;VAR:CALENDAR=US&amp;VAR:SYMBOL=GLP&amp;VAR:INDEX=0"}</definedName>
    <definedName name="_139__FDSAUDITLINK__" hidden="1">{"fdsup://directions/FAT Viewer?action=UPDATE&amp;creator=factset&amp;DYN_ARGS=TRUE&amp;DOC_NAME=FAT:FQL_AUDITING_CLIENT_TEMPLATE.FAT&amp;display_string=Audit&amp;VAR:KEY=CDUFYHABSB&amp;VAR:QUERY=RkZfQ0FQRVgoUVRSLC0yUSk=&amp;WINDOW=FIRST_POPUP&amp;HEIGHT=450&amp;WIDTH=450&amp;START_MAXIMIZED=FALS","E&amp;VAR:CALENDAR=US&amp;VAR:SYMBOL=GLP&amp;VAR:INDEX=0"}</definedName>
    <definedName name="_14__123Graph_BQRE_S_BY_CO." hidden="1">#REF!</definedName>
    <definedName name="_14__123Graph_BSENS_COMPARISON" hidden="1">#REF!</definedName>
    <definedName name="_14__123Graph_BWAGES_BY_B_U" hidden="1">#REF!</definedName>
    <definedName name="_14__123Graph_DOP75_25PRICE" hidden="1">#REF!</definedName>
    <definedName name="_14__FDSAUDITLINK__" localSheetId="1" hidden="1">{"fdsup://directions/FAT Viewer?action=UPDATE&amp;creator=factset&amp;DYN_ARGS=TRUE&amp;DOC_NAME=FAT:FQL_AUDITING_CLIENT_TEMPLATE.FAT&amp;display_string=Audit&amp;VAR:KEY=SHYXCLGRGX&amp;VAR:QUERY=RkZfQ0FQRVgoUVRSLC0xUSk=&amp;WINDOW=FIRST_POPUP&amp;HEIGHT=450&amp;WIDTH=450&amp;START_MAXIMIZED=FALS","E&amp;VAR:CALENDAR=US&amp;VAR:SYMBOL=LINE&amp;VAR:INDEX=0"}</definedName>
    <definedName name="_14__FDSAUDITLINK__" localSheetId="3" hidden="1">{"fdsup://directions/FAT Viewer?action=UPDATE&amp;creator=factset&amp;DYN_ARGS=TRUE&amp;DOC_NAME=FAT:FQL_AUDITING_CLIENT_TEMPLATE.FAT&amp;display_string=Audit&amp;VAR:KEY=SHYXCLGRGX&amp;VAR:QUERY=RkZfQ0FQRVgoUVRSLC0xUSk=&amp;WINDOW=FIRST_POPUP&amp;HEIGHT=450&amp;WIDTH=450&amp;START_MAXIMIZED=FALS","E&amp;VAR:CALENDAR=US&amp;VAR:SYMBOL=LINE&amp;VAR:INDEX=0"}</definedName>
    <definedName name="_14__FDSAUDITLINK__" hidden="1">{"fdsup://directions/FAT Viewer?action=UPDATE&amp;creator=factset&amp;DYN_ARGS=TRUE&amp;DOC_NAME=FAT:FQL_AUDITING_CLIENT_TEMPLATE.FAT&amp;display_string=Audit&amp;VAR:KEY=SHYXCLGRGX&amp;VAR:QUERY=RkZfQ0FQRVgoUVRSLC0xUSk=&amp;WINDOW=FIRST_POPUP&amp;HEIGHT=450&amp;WIDTH=450&amp;START_MAXIMIZED=FALS","E&amp;VAR:CALENDAR=US&amp;VAR:SYMBOL=LINE&amp;VAR:INDEX=0"}</definedName>
    <definedName name="_140__FDSAUDITLINK__" localSheetId="1" hidden="1">{"fdsup://directions/FAT Viewer?action=UPDATE&amp;creator=factset&amp;DYN_ARGS=TRUE&amp;DOC_NAME=FAT:FQL_AUDITING_CLIENT_TEMPLATE.FAT&amp;display_string=Audit&amp;VAR:KEY=ILSPEVSLMP&amp;VAR:QUERY=RkZfQ0FQRVgoUVRSLC0zUSk=&amp;WINDOW=FIRST_POPUP&amp;HEIGHT=450&amp;WIDTH=450&amp;START_MAXIMIZED=FALS","E&amp;VAR:CALENDAR=US&amp;VAR:SYMBOL=GLP&amp;VAR:INDEX=0"}</definedName>
    <definedName name="_140__FDSAUDITLINK__" localSheetId="3" hidden="1">{"fdsup://directions/FAT Viewer?action=UPDATE&amp;creator=factset&amp;DYN_ARGS=TRUE&amp;DOC_NAME=FAT:FQL_AUDITING_CLIENT_TEMPLATE.FAT&amp;display_string=Audit&amp;VAR:KEY=ILSPEVSLMP&amp;VAR:QUERY=RkZfQ0FQRVgoUVRSLC0zUSk=&amp;WINDOW=FIRST_POPUP&amp;HEIGHT=450&amp;WIDTH=450&amp;START_MAXIMIZED=FALS","E&amp;VAR:CALENDAR=US&amp;VAR:SYMBOL=GLP&amp;VAR:INDEX=0"}</definedName>
    <definedName name="_140__FDSAUDITLINK__" hidden="1">{"fdsup://directions/FAT Viewer?action=UPDATE&amp;creator=factset&amp;DYN_ARGS=TRUE&amp;DOC_NAME=FAT:FQL_AUDITING_CLIENT_TEMPLATE.FAT&amp;display_string=Audit&amp;VAR:KEY=ILSPEVSLMP&amp;VAR:QUERY=RkZfQ0FQRVgoUVRSLC0zUSk=&amp;WINDOW=FIRST_POPUP&amp;HEIGHT=450&amp;WIDTH=450&amp;START_MAXIMIZED=FALS","E&amp;VAR:CALENDAR=US&amp;VAR:SYMBOL=GLP&amp;VAR:INDEX=0"}</definedName>
    <definedName name="_141__FDSAUDITLINK__" localSheetId="1" hidden="1">{"fdsup://directions/FAT Viewer?action=UPDATE&amp;creator=factset&amp;DYN_ARGS=TRUE&amp;DOC_NAME=FAT:FQL_AUDITING_CLIENT_TEMPLATE.FAT&amp;display_string=Audit&amp;VAR:KEY=SNIBITWPEL&amp;VAR:QUERY=RkZfQ0FQRVgoUVRSLDBRKQ==&amp;WINDOW=FIRST_POPUP&amp;HEIGHT=450&amp;WIDTH=450&amp;START_MAXIMIZED=FALS","E&amp;VAR:CALENDAR=US&amp;VAR:SYMBOL=GEL&amp;VAR:INDEX=0"}</definedName>
    <definedName name="_141__FDSAUDITLINK__" localSheetId="3" hidden="1">{"fdsup://directions/FAT Viewer?action=UPDATE&amp;creator=factset&amp;DYN_ARGS=TRUE&amp;DOC_NAME=FAT:FQL_AUDITING_CLIENT_TEMPLATE.FAT&amp;display_string=Audit&amp;VAR:KEY=SNIBITWPEL&amp;VAR:QUERY=RkZfQ0FQRVgoUVRSLDBRKQ==&amp;WINDOW=FIRST_POPUP&amp;HEIGHT=450&amp;WIDTH=450&amp;START_MAXIMIZED=FALS","E&amp;VAR:CALENDAR=US&amp;VAR:SYMBOL=GEL&amp;VAR:INDEX=0"}</definedName>
    <definedName name="_141__FDSAUDITLINK__" hidden="1">{"fdsup://directions/FAT Viewer?action=UPDATE&amp;creator=factset&amp;DYN_ARGS=TRUE&amp;DOC_NAME=FAT:FQL_AUDITING_CLIENT_TEMPLATE.FAT&amp;display_string=Audit&amp;VAR:KEY=SNIBITWPEL&amp;VAR:QUERY=RkZfQ0FQRVgoUVRSLDBRKQ==&amp;WINDOW=FIRST_POPUP&amp;HEIGHT=450&amp;WIDTH=450&amp;START_MAXIMIZED=FALS","E&amp;VAR:CALENDAR=US&amp;VAR:SYMBOL=GEL&amp;VAR:INDEX=0"}</definedName>
    <definedName name="_142__FDSAUDITLINK__" localSheetId="1" hidden="1">{"fdsup://directions/FAT Viewer?action=UPDATE&amp;creator=factset&amp;DYN_ARGS=TRUE&amp;DOC_NAME=FAT:FQL_AUDITING_CLIENT_TEMPLATE.FAT&amp;display_string=Audit&amp;VAR:KEY=YTWNWHGHMX&amp;VAR:QUERY=RkZfQ0FQRVgoUVRSLC0xUSk=&amp;WINDOW=FIRST_POPUP&amp;HEIGHT=450&amp;WIDTH=450&amp;START_MAXIMIZED=FALS","E&amp;VAR:CALENDAR=US&amp;VAR:SYMBOL=GEL&amp;VAR:INDEX=0"}</definedName>
    <definedName name="_142__FDSAUDITLINK__" localSheetId="3" hidden="1">{"fdsup://directions/FAT Viewer?action=UPDATE&amp;creator=factset&amp;DYN_ARGS=TRUE&amp;DOC_NAME=FAT:FQL_AUDITING_CLIENT_TEMPLATE.FAT&amp;display_string=Audit&amp;VAR:KEY=YTWNWHGHMX&amp;VAR:QUERY=RkZfQ0FQRVgoUVRSLC0xUSk=&amp;WINDOW=FIRST_POPUP&amp;HEIGHT=450&amp;WIDTH=450&amp;START_MAXIMIZED=FALS","E&amp;VAR:CALENDAR=US&amp;VAR:SYMBOL=GEL&amp;VAR:INDEX=0"}</definedName>
    <definedName name="_142__FDSAUDITLINK__" hidden="1">{"fdsup://directions/FAT Viewer?action=UPDATE&amp;creator=factset&amp;DYN_ARGS=TRUE&amp;DOC_NAME=FAT:FQL_AUDITING_CLIENT_TEMPLATE.FAT&amp;display_string=Audit&amp;VAR:KEY=YTWNWHGHMX&amp;VAR:QUERY=RkZfQ0FQRVgoUVRSLC0xUSk=&amp;WINDOW=FIRST_POPUP&amp;HEIGHT=450&amp;WIDTH=450&amp;START_MAXIMIZED=FALS","E&amp;VAR:CALENDAR=US&amp;VAR:SYMBOL=GEL&amp;VAR:INDEX=0"}</definedName>
    <definedName name="_143__FDSAUDITLINK__" localSheetId="1" hidden="1">{"fdsup://directions/FAT Viewer?action=UPDATE&amp;creator=factset&amp;DYN_ARGS=TRUE&amp;DOC_NAME=FAT:FQL_AUDITING_CLIENT_TEMPLATE.FAT&amp;display_string=Audit&amp;VAR:KEY=OBINCZUZKN&amp;VAR:QUERY=RkZfQ0FQRVgoUVRSLC0yUSk=&amp;WINDOW=FIRST_POPUP&amp;HEIGHT=450&amp;WIDTH=450&amp;START_MAXIMIZED=FALS","E&amp;VAR:CALENDAR=US&amp;VAR:SYMBOL=GEL&amp;VAR:INDEX=0"}</definedName>
    <definedName name="_143__FDSAUDITLINK__" localSheetId="3" hidden="1">{"fdsup://directions/FAT Viewer?action=UPDATE&amp;creator=factset&amp;DYN_ARGS=TRUE&amp;DOC_NAME=FAT:FQL_AUDITING_CLIENT_TEMPLATE.FAT&amp;display_string=Audit&amp;VAR:KEY=OBINCZUZKN&amp;VAR:QUERY=RkZfQ0FQRVgoUVRSLC0yUSk=&amp;WINDOW=FIRST_POPUP&amp;HEIGHT=450&amp;WIDTH=450&amp;START_MAXIMIZED=FALS","E&amp;VAR:CALENDAR=US&amp;VAR:SYMBOL=GEL&amp;VAR:INDEX=0"}</definedName>
    <definedName name="_143__FDSAUDITLINK__" hidden="1">{"fdsup://directions/FAT Viewer?action=UPDATE&amp;creator=factset&amp;DYN_ARGS=TRUE&amp;DOC_NAME=FAT:FQL_AUDITING_CLIENT_TEMPLATE.FAT&amp;display_string=Audit&amp;VAR:KEY=OBINCZUZKN&amp;VAR:QUERY=RkZfQ0FQRVgoUVRSLC0yUSk=&amp;WINDOW=FIRST_POPUP&amp;HEIGHT=450&amp;WIDTH=450&amp;START_MAXIMIZED=FALS","E&amp;VAR:CALENDAR=US&amp;VAR:SYMBOL=GEL&amp;VAR:INDEX=0"}</definedName>
    <definedName name="_144__FDSAUDITLINK__" localSheetId="1" hidden="1">{"fdsup://directions/FAT Viewer?action=UPDATE&amp;creator=factset&amp;DYN_ARGS=TRUE&amp;DOC_NAME=FAT:FQL_AUDITING_CLIENT_TEMPLATE.FAT&amp;display_string=Audit&amp;VAR:KEY=SXSZONGJKP&amp;VAR:QUERY=RkZfQ0FQRVgoUVRSLC0zUSk=&amp;WINDOW=FIRST_POPUP&amp;HEIGHT=450&amp;WIDTH=450&amp;START_MAXIMIZED=FALS","E&amp;VAR:CALENDAR=US&amp;VAR:SYMBOL=GEL&amp;VAR:INDEX=0"}</definedName>
    <definedName name="_144__FDSAUDITLINK__" localSheetId="3" hidden="1">{"fdsup://directions/FAT Viewer?action=UPDATE&amp;creator=factset&amp;DYN_ARGS=TRUE&amp;DOC_NAME=FAT:FQL_AUDITING_CLIENT_TEMPLATE.FAT&amp;display_string=Audit&amp;VAR:KEY=SXSZONGJKP&amp;VAR:QUERY=RkZfQ0FQRVgoUVRSLC0zUSk=&amp;WINDOW=FIRST_POPUP&amp;HEIGHT=450&amp;WIDTH=450&amp;START_MAXIMIZED=FALS","E&amp;VAR:CALENDAR=US&amp;VAR:SYMBOL=GEL&amp;VAR:INDEX=0"}</definedName>
    <definedName name="_144__FDSAUDITLINK__" hidden="1">{"fdsup://directions/FAT Viewer?action=UPDATE&amp;creator=factset&amp;DYN_ARGS=TRUE&amp;DOC_NAME=FAT:FQL_AUDITING_CLIENT_TEMPLATE.FAT&amp;display_string=Audit&amp;VAR:KEY=SXSZONGJKP&amp;VAR:QUERY=RkZfQ0FQRVgoUVRSLC0zUSk=&amp;WINDOW=FIRST_POPUP&amp;HEIGHT=450&amp;WIDTH=450&amp;START_MAXIMIZED=FALS","E&amp;VAR:CALENDAR=US&amp;VAR:SYMBOL=GEL&amp;VAR:INDEX=0"}</definedName>
    <definedName name="_145__FDSAUDITLINK__" localSheetId="1" hidden="1">{"fdsup://directions/FAT Viewer?action=UPDATE&amp;creator=factset&amp;DYN_ARGS=TRUE&amp;DOC_NAME=FAT:FQL_AUDITING_CLIENT_TEMPLATE.FAT&amp;display_string=Audit&amp;VAR:KEY=WDUVAFIDWR&amp;VAR:QUERY=RkZfQ0FQRVgoUVRSLDBRKQ==&amp;WINDOW=FIRST_POPUP&amp;HEIGHT=450&amp;WIDTH=450&amp;START_MAXIMIZED=FALS","E&amp;VAR:CALENDAR=US&amp;VAR:SYMBOL=FGP&amp;VAR:INDEX=0"}</definedName>
    <definedName name="_145__FDSAUDITLINK__" localSheetId="3" hidden="1">{"fdsup://directions/FAT Viewer?action=UPDATE&amp;creator=factset&amp;DYN_ARGS=TRUE&amp;DOC_NAME=FAT:FQL_AUDITING_CLIENT_TEMPLATE.FAT&amp;display_string=Audit&amp;VAR:KEY=WDUVAFIDWR&amp;VAR:QUERY=RkZfQ0FQRVgoUVRSLDBRKQ==&amp;WINDOW=FIRST_POPUP&amp;HEIGHT=450&amp;WIDTH=450&amp;START_MAXIMIZED=FALS","E&amp;VAR:CALENDAR=US&amp;VAR:SYMBOL=FGP&amp;VAR:INDEX=0"}</definedName>
    <definedName name="_145__FDSAUDITLINK__" hidden="1">{"fdsup://directions/FAT Viewer?action=UPDATE&amp;creator=factset&amp;DYN_ARGS=TRUE&amp;DOC_NAME=FAT:FQL_AUDITING_CLIENT_TEMPLATE.FAT&amp;display_string=Audit&amp;VAR:KEY=WDUVAFIDWR&amp;VAR:QUERY=RkZfQ0FQRVgoUVRSLDBRKQ==&amp;WINDOW=FIRST_POPUP&amp;HEIGHT=450&amp;WIDTH=450&amp;START_MAXIMIZED=FALS","E&amp;VAR:CALENDAR=US&amp;VAR:SYMBOL=FGP&amp;VAR:INDEX=0"}</definedName>
    <definedName name="_146__FDSAUDITLINK__" localSheetId="1" hidden="1">{"fdsup://directions/FAT Viewer?action=UPDATE&amp;creator=factset&amp;DYN_ARGS=TRUE&amp;DOC_NAME=FAT:FQL_AUDITING_CLIENT_TEMPLATE.FAT&amp;display_string=Audit&amp;VAR:KEY=OFMJAJGDCF&amp;VAR:QUERY=RkZfQ0FQRVgoUVRSLC0xUSk=&amp;WINDOW=FIRST_POPUP&amp;HEIGHT=450&amp;WIDTH=450&amp;START_MAXIMIZED=FALS","E&amp;VAR:CALENDAR=US&amp;VAR:SYMBOL=FGP&amp;VAR:INDEX=0"}</definedName>
    <definedName name="_146__FDSAUDITLINK__" localSheetId="3" hidden="1">{"fdsup://directions/FAT Viewer?action=UPDATE&amp;creator=factset&amp;DYN_ARGS=TRUE&amp;DOC_NAME=FAT:FQL_AUDITING_CLIENT_TEMPLATE.FAT&amp;display_string=Audit&amp;VAR:KEY=OFMJAJGDCF&amp;VAR:QUERY=RkZfQ0FQRVgoUVRSLC0xUSk=&amp;WINDOW=FIRST_POPUP&amp;HEIGHT=450&amp;WIDTH=450&amp;START_MAXIMIZED=FALS","E&amp;VAR:CALENDAR=US&amp;VAR:SYMBOL=FGP&amp;VAR:INDEX=0"}</definedName>
    <definedName name="_146__FDSAUDITLINK__" hidden="1">{"fdsup://directions/FAT Viewer?action=UPDATE&amp;creator=factset&amp;DYN_ARGS=TRUE&amp;DOC_NAME=FAT:FQL_AUDITING_CLIENT_TEMPLATE.FAT&amp;display_string=Audit&amp;VAR:KEY=OFMJAJGDCF&amp;VAR:QUERY=RkZfQ0FQRVgoUVRSLC0xUSk=&amp;WINDOW=FIRST_POPUP&amp;HEIGHT=450&amp;WIDTH=450&amp;START_MAXIMIZED=FALS","E&amp;VAR:CALENDAR=US&amp;VAR:SYMBOL=FGP&amp;VAR:INDEX=0"}</definedName>
    <definedName name="_147__FDSAUDITLINK__" localSheetId="1" hidden="1">{"fdsup://directions/FAT Viewer?action=UPDATE&amp;creator=factset&amp;DYN_ARGS=TRUE&amp;DOC_NAME=FAT:FQL_AUDITING_CLIENT_TEMPLATE.FAT&amp;display_string=Audit&amp;VAR:KEY=UBGDEHYLST&amp;VAR:QUERY=RkZfQ0FQRVgoUVRSLC0yUSk=&amp;WINDOW=FIRST_POPUP&amp;HEIGHT=450&amp;WIDTH=450&amp;START_MAXIMIZED=FALS","E&amp;VAR:CALENDAR=US&amp;VAR:SYMBOL=FGP&amp;VAR:INDEX=0"}</definedName>
    <definedName name="_147__FDSAUDITLINK__" localSheetId="3" hidden="1">{"fdsup://directions/FAT Viewer?action=UPDATE&amp;creator=factset&amp;DYN_ARGS=TRUE&amp;DOC_NAME=FAT:FQL_AUDITING_CLIENT_TEMPLATE.FAT&amp;display_string=Audit&amp;VAR:KEY=UBGDEHYLST&amp;VAR:QUERY=RkZfQ0FQRVgoUVRSLC0yUSk=&amp;WINDOW=FIRST_POPUP&amp;HEIGHT=450&amp;WIDTH=450&amp;START_MAXIMIZED=FALS","E&amp;VAR:CALENDAR=US&amp;VAR:SYMBOL=FGP&amp;VAR:INDEX=0"}</definedName>
    <definedName name="_147__FDSAUDITLINK__" hidden="1">{"fdsup://directions/FAT Viewer?action=UPDATE&amp;creator=factset&amp;DYN_ARGS=TRUE&amp;DOC_NAME=FAT:FQL_AUDITING_CLIENT_TEMPLATE.FAT&amp;display_string=Audit&amp;VAR:KEY=UBGDEHYLST&amp;VAR:QUERY=RkZfQ0FQRVgoUVRSLC0yUSk=&amp;WINDOW=FIRST_POPUP&amp;HEIGHT=450&amp;WIDTH=450&amp;START_MAXIMIZED=FALS","E&amp;VAR:CALENDAR=US&amp;VAR:SYMBOL=FGP&amp;VAR:INDEX=0"}</definedName>
    <definedName name="_148__FDSAUDITLINK__" localSheetId="1" hidden="1">{"fdsup://directions/FAT Viewer?action=UPDATE&amp;creator=factset&amp;DYN_ARGS=TRUE&amp;DOC_NAME=FAT:FQL_AUDITING_CLIENT_TEMPLATE.FAT&amp;display_string=Audit&amp;VAR:KEY=OXOBWZINSB&amp;VAR:QUERY=RkZfQ0FQRVgoUVRSLC0zUSk=&amp;WINDOW=FIRST_POPUP&amp;HEIGHT=450&amp;WIDTH=450&amp;START_MAXIMIZED=FALS","E&amp;VAR:CALENDAR=US&amp;VAR:SYMBOL=FGP&amp;VAR:INDEX=0"}</definedName>
    <definedName name="_148__FDSAUDITLINK__" localSheetId="3" hidden="1">{"fdsup://directions/FAT Viewer?action=UPDATE&amp;creator=factset&amp;DYN_ARGS=TRUE&amp;DOC_NAME=FAT:FQL_AUDITING_CLIENT_TEMPLATE.FAT&amp;display_string=Audit&amp;VAR:KEY=OXOBWZINSB&amp;VAR:QUERY=RkZfQ0FQRVgoUVRSLC0zUSk=&amp;WINDOW=FIRST_POPUP&amp;HEIGHT=450&amp;WIDTH=450&amp;START_MAXIMIZED=FALS","E&amp;VAR:CALENDAR=US&amp;VAR:SYMBOL=FGP&amp;VAR:INDEX=0"}</definedName>
    <definedName name="_148__FDSAUDITLINK__" hidden="1">{"fdsup://directions/FAT Viewer?action=UPDATE&amp;creator=factset&amp;DYN_ARGS=TRUE&amp;DOC_NAME=FAT:FQL_AUDITING_CLIENT_TEMPLATE.FAT&amp;display_string=Audit&amp;VAR:KEY=OXOBWZINSB&amp;VAR:QUERY=RkZfQ0FQRVgoUVRSLC0zUSk=&amp;WINDOW=FIRST_POPUP&amp;HEIGHT=450&amp;WIDTH=450&amp;START_MAXIMIZED=FALS","E&amp;VAR:CALENDAR=US&amp;VAR:SYMBOL=FGP&amp;VAR:INDEX=0"}</definedName>
    <definedName name="_149__FDSAUDITLINK__" localSheetId="1" hidden="1">{"fdsup://directions/FAT Viewer?action=UPDATE&amp;creator=factset&amp;DYN_ARGS=TRUE&amp;DOC_NAME=FAT:FQL_AUDITING_CLIENT_TEMPLATE.FAT&amp;display_string=Audit&amp;VAR:KEY=WRYRMPATCV&amp;VAR:QUERY=RkZfQ0FQRVgoUVRSLDBRKQ==&amp;WINDOW=FIRST_POPUP&amp;HEIGHT=450&amp;WIDTH=450&amp;START_MAXIMIZED=FALS","E&amp;VAR:CALENDAR=US&amp;VAR:SYMBOL=EXLP&amp;VAR:INDEX=0"}</definedName>
    <definedName name="_149__FDSAUDITLINK__" localSheetId="3" hidden="1">{"fdsup://directions/FAT Viewer?action=UPDATE&amp;creator=factset&amp;DYN_ARGS=TRUE&amp;DOC_NAME=FAT:FQL_AUDITING_CLIENT_TEMPLATE.FAT&amp;display_string=Audit&amp;VAR:KEY=WRYRMPATCV&amp;VAR:QUERY=RkZfQ0FQRVgoUVRSLDBRKQ==&amp;WINDOW=FIRST_POPUP&amp;HEIGHT=450&amp;WIDTH=450&amp;START_MAXIMIZED=FALS","E&amp;VAR:CALENDAR=US&amp;VAR:SYMBOL=EXLP&amp;VAR:INDEX=0"}</definedName>
    <definedName name="_149__FDSAUDITLINK__" hidden="1">{"fdsup://directions/FAT Viewer?action=UPDATE&amp;creator=factset&amp;DYN_ARGS=TRUE&amp;DOC_NAME=FAT:FQL_AUDITING_CLIENT_TEMPLATE.FAT&amp;display_string=Audit&amp;VAR:KEY=WRYRMPATCV&amp;VAR:QUERY=RkZfQ0FQRVgoUVRSLDBRKQ==&amp;WINDOW=FIRST_POPUP&amp;HEIGHT=450&amp;WIDTH=450&amp;START_MAXIMIZED=FALS","E&amp;VAR:CALENDAR=US&amp;VAR:SYMBOL=EXLP&amp;VAR:INDEX=0"}</definedName>
    <definedName name="_15__123Graph_BQRE_S_BY_TYPE" hidden="1">#REF!</definedName>
    <definedName name="_15__123Graph_BSUPPLIES_BY_B_U" hidden="1">#REF!</definedName>
    <definedName name="_15__123Graph_CCONTRACT_BY_B_U" hidden="1">#REF!</definedName>
    <definedName name="_15__123Graph_DOP75_25RETURN" hidden="1">#REF!</definedName>
    <definedName name="_15__FDSAUDITLINK__" localSheetId="1" hidden="1">{"fdsup://directions/FAT Viewer?action=UPDATE&amp;creator=factset&amp;DYN_ARGS=TRUE&amp;DOC_NAME=FAT:FQL_AUDITING_CLIENT_TEMPLATE.FAT&amp;display_string=Audit&amp;VAR:KEY=EROJUFAVIJ&amp;VAR:QUERY=RkZfQ0FQRVgoUVRSLC0yUSk=&amp;WINDOW=FIRST_POPUP&amp;HEIGHT=450&amp;WIDTH=450&amp;START_MAXIMIZED=FALS","E&amp;VAR:CALENDAR=US&amp;VAR:SYMBOL=LINE&amp;VAR:INDEX=0"}</definedName>
    <definedName name="_15__FDSAUDITLINK__" localSheetId="3" hidden="1">{"fdsup://directions/FAT Viewer?action=UPDATE&amp;creator=factset&amp;DYN_ARGS=TRUE&amp;DOC_NAME=FAT:FQL_AUDITING_CLIENT_TEMPLATE.FAT&amp;display_string=Audit&amp;VAR:KEY=EROJUFAVIJ&amp;VAR:QUERY=RkZfQ0FQRVgoUVRSLC0yUSk=&amp;WINDOW=FIRST_POPUP&amp;HEIGHT=450&amp;WIDTH=450&amp;START_MAXIMIZED=FALS","E&amp;VAR:CALENDAR=US&amp;VAR:SYMBOL=LINE&amp;VAR:INDEX=0"}</definedName>
    <definedName name="_15__FDSAUDITLINK__" hidden="1">{"fdsup://directions/FAT Viewer?action=UPDATE&amp;creator=factset&amp;DYN_ARGS=TRUE&amp;DOC_NAME=FAT:FQL_AUDITING_CLIENT_TEMPLATE.FAT&amp;display_string=Audit&amp;VAR:KEY=EROJUFAVIJ&amp;VAR:QUERY=RkZfQ0FQRVgoUVRSLC0yUSk=&amp;WINDOW=FIRST_POPUP&amp;HEIGHT=450&amp;WIDTH=450&amp;START_MAXIMIZED=FALS","E&amp;VAR:CALENDAR=US&amp;VAR:SYMBOL=LINE&amp;VAR:INDEX=0"}</definedName>
    <definedName name="_150__FDSAUDITLINK__" localSheetId="1" hidden="1">{"fdsup://directions/FAT Viewer?action=UPDATE&amp;creator=factset&amp;DYN_ARGS=TRUE&amp;DOC_NAME=FAT:FQL_AUDITING_CLIENT_TEMPLATE.FAT&amp;display_string=Audit&amp;VAR:KEY=QHYFWHAFGT&amp;VAR:QUERY=RkZfQ0FQRVgoUVRSLC0xUSk=&amp;WINDOW=FIRST_POPUP&amp;HEIGHT=450&amp;WIDTH=450&amp;START_MAXIMIZED=FALS","E&amp;VAR:CALENDAR=US&amp;VAR:SYMBOL=EXLP&amp;VAR:INDEX=0"}</definedName>
    <definedName name="_150__FDSAUDITLINK__" localSheetId="3" hidden="1">{"fdsup://directions/FAT Viewer?action=UPDATE&amp;creator=factset&amp;DYN_ARGS=TRUE&amp;DOC_NAME=FAT:FQL_AUDITING_CLIENT_TEMPLATE.FAT&amp;display_string=Audit&amp;VAR:KEY=QHYFWHAFGT&amp;VAR:QUERY=RkZfQ0FQRVgoUVRSLC0xUSk=&amp;WINDOW=FIRST_POPUP&amp;HEIGHT=450&amp;WIDTH=450&amp;START_MAXIMIZED=FALS","E&amp;VAR:CALENDAR=US&amp;VAR:SYMBOL=EXLP&amp;VAR:INDEX=0"}</definedName>
    <definedName name="_150__FDSAUDITLINK__" hidden="1">{"fdsup://directions/FAT Viewer?action=UPDATE&amp;creator=factset&amp;DYN_ARGS=TRUE&amp;DOC_NAME=FAT:FQL_AUDITING_CLIENT_TEMPLATE.FAT&amp;display_string=Audit&amp;VAR:KEY=QHYFWHAFGT&amp;VAR:QUERY=RkZfQ0FQRVgoUVRSLC0xUSk=&amp;WINDOW=FIRST_POPUP&amp;HEIGHT=450&amp;WIDTH=450&amp;START_MAXIMIZED=FALS","E&amp;VAR:CALENDAR=US&amp;VAR:SYMBOL=EXLP&amp;VAR:INDEX=0"}</definedName>
    <definedName name="_151__FDSAUDITLINK__" localSheetId="1" hidden="1">{"fdsup://directions/FAT Viewer?action=UPDATE&amp;creator=factset&amp;DYN_ARGS=TRUE&amp;DOC_NAME=FAT:FQL_AUDITING_CLIENT_TEMPLATE.FAT&amp;display_string=Audit&amp;VAR:KEY=UTENADMRKB&amp;VAR:QUERY=RkZfQ0FQRVgoUVRSLC0yUSk=&amp;WINDOW=FIRST_POPUP&amp;HEIGHT=450&amp;WIDTH=450&amp;START_MAXIMIZED=FALS","E&amp;VAR:CALENDAR=US&amp;VAR:SYMBOL=EXLP&amp;VAR:INDEX=0"}</definedName>
    <definedName name="_151__FDSAUDITLINK__" localSheetId="3" hidden="1">{"fdsup://directions/FAT Viewer?action=UPDATE&amp;creator=factset&amp;DYN_ARGS=TRUE&amp;DOC_NAME=FAT:FQL_AUDITING_CLIENT_TEMPLATE.FAT&amp;display_string=Audit&amp;VAR:KEY=UTENADMRKB&amp;VAR:QUERY=RkZfQ0FQRVgoUVRSLC0yUSk=&amp;WINDOW=FIRST_POPUP&amp;HEIGHT=450&amp;WIDTH=450&amp;START_MAXIMIZED=FALS","E&amp;VAR:CALENDAR=US&amp;VAR:SYMBOL=EXLP&amp;VAR:INDEX=0"}</definedName>
    <definedName name="_151__FDSAUDITLINK__" hidden="1">{"fdsup://directions/FAT Viewer?action=UPDATE&amp;creator=factset&amp;DYN_ARGS=TRUE&amp;DOC_NAME=FAT:FQL_AUDITING_CLIENT_TEMPLATE.FAT&amp;display_string=Audit&amp;VAR:KEY=UTENADMRKB&amp;VAR:QUERY=RkZfQ0FQRVgoUVRSLC0yUSk=&amp;WINDOW=FIRST_POPUP&amp;HEIGHT=450&amp;WIDTH=450&amp;START_MAXIMIZED=FALS","E&amp;VAR:CALENDAR=US&amp;VAR:SYMBOL=EXLP&amp;VAR:INDEX=0"}</definedName>
    <definedName name="_152__FDSAUDITLINK__" localSheetId="1" hidden="1">{"fdsup://directions/FAT Viewer?action=UPDATE&amp;creator=factset&amp;DYN_ARGS=TRUE&amp;DOC_NAME=FAT:FQL_AUDITING_CLIENT_TEMPLATE.FAT&amp;display_string=Audit&amp;VAR:KEY=WBAJAJEJSV&amp;VAR:QUERY=RkZfQ0FQRVgoUVRSLC0zUSk=&amp;WINDOW=FIRST_POPUP&amp;HEIGHT=450&amp;WIDTH=450&amp;START_MAXIMIZED=FALS","E&amp;VAR:CALENDAR=US&amp;VAR:SYMBOL=EXLP&amp;VAR:INDEX=0"}</definedName>
    <definedName name="_152__FDSAUDITLINK__" localSheetId="3" hidden="1">{"fdsup://directions/FAT Viewer?action=UPDATE&amp;creator=factset&amp;DYN_ARGS=TRUE&amp;DOC_NAME=FAT:FQL_AUDITING_CLIENT_TEMPLATE.FAT&amp;display_string=Audit&amp;VAR:KEY=WBAJAJEJSV&amp;VAR:QUERY=RkZfQ0FQRVgoUVRSLC0zUSk=&amp;WINDOW=FIRST_POPUP&amp;HEIGHT=450&amp;WIDTH=450&amp;START_MAXIMIZED=FALS","E&amp;VAR:CALENDAR=US&amp;VAR:SYMBOL=EXLP&amp;VAR:INDEX=0"}</definedName>
    <definedName name="_152__FDSAUDITLINK__" hidden="1">{"fdsup://directions/FAT Viewer?action=UPDATE&amp;creator=factset&amp;DYN_ARGS=TRUE&amp;DOC_NAME=FAT:FQL_AUDITING_CLIENT_TEMPLATE.FAT&amp;display_string=Audit&amp;VAR:KEY=WBAJAJEJSV&amp;VAR:QUERY=RkZfQ0FQRVgoUVRSLC0zUSk=&amp;WINDOW=FIRST_POPUP&amp;HEIGHT=450&amp;WIDTH=450&amp;START_MAXIMIZED=FALS","E&amp;VAR:CALENDAR=US&amp;VAR:SYMBOL=EXLP&amp;VAR:INDEX=0"}</definedName>
    <definedName name="_153__FDSAUDITLINK__" localSheetId="1" hidden="1">{"fdsup://directions/FAT Viewer?action=UPDATE&amp;creator=factset&amp;DYN_ARGS=TRUE&amp;DOC_NAME=FAT:FQL_AUDITING_CLIENT_TEMPLATE.FAT&amp;display_string=Audit&amp;VAR:KEY=MRIHORKVUX&amp;VAR:QUERY=RkZfQ0FQRVgoUVRSLDBRKQ==&amp;WINDOW=FIRST_POPUP&amp;HEIGHT=450&amp;WIDTH=450&amp;START_MAXIMIZED=FALS","E&amp;VAR:CALENDAR=US&amp;VAR:SYMBOL=ETP&amp;VAR:INDEX=0"}</definedName>
    <definedName name="_153__FDSAUDITLINK__" localSheetId="3" hidden="1">{"fdsup://directions/FAT Viewer?action=UPDATE&amp;creator=factset&amp;DYN_ARGS=TRUE&amp;DOC_NAME=FAT:FQL_AUDITING_CLIENT_TEMPLATE.FAT&amp;display_string=Audit&amp;VAR:KEY=MRIHORKVUX&amp;VAR:QUERY=RkZfQ0FQRVgoUVRSLDBRKQ==&amp;WINDOW=FIRST_POPUP&amp;HEIGHT=450&amp;WIDTH=450&amp;START_MAXIMIZED=FALS","E&amp;VAR:CALENDAR=US&amp;VAR:SYMBOL=ETP&amp;VAR:INDEX=0"}</definedName>
    <definedName name="_153__FDSAUDITLINK__" hidden="1">{"fdsup://directions/FAT Viewer?action=UPDATE&amp;creator=factset&amp;DYN_ARGS=TRUE&amp;DOC_NAME=FAT:FQL_AUDITING_CLIENT_TEMPLATE.FAT&amp;display_string=Audit&amp;VAR:KEY=MRIHORKVUX&amp;VAR:QUERY=RkZfQ0FQRVgoUVRSLDBRKQ==&amp;WINDOW=FIRST_POPUP&amp;HEIGHT=450&amp;WIDTH=450&amp;START_MAXIMIZED=FALS","E&amp;VAR:CALENDAR=US&amp;VAR:SYMBOL=ETP&amp;VAR:INDEX=0"}</definedName>
    <definedName name="_154__FDSAUDITLINK__" localSheetId="1" hidden="1">{"fdsup://directions/FAT Viewer?action=UPDATE&amp;creator=factset&amp;DYN_ARGS=TRUE&amp;DOC_NAME=FAT:FQL_AUDITING_CLIENT_TEMPLATE.FAT&amp;display_string=Audit&amp;VAR:KEY=EXMLMJMHMV&amp;VAR:QUERY=RkZfQ0FQRVgoUVRSLC0xUSk=&amp;WINDOW=FIRST_POPUP&amp;HEIGHT=450&amp;WIDTH=450&amp;START_MAXIMIZED=FALS","E&amp;VAR:CALENDAR=US&amp;VAR:SYMBOL=ETP&amp;VAR:INDEX=0"}</definedName>
    <definedName name="_154__FDSAUDITLINK__" localSheetId="3" hidden="1">{"fdsup://directions/FAT Viewer?action=UPDATE&amp;creator=factset&amp;DYN_ARGS=TRUE&amp;DOC_NAME=FAT:FQL_AUDITING_CLIENT_TEMPLATE.FAT&amp;display_string=Audit&amp;VAR:KEY=EXMLMJMHMV&amp;VAR:QUERY=RkZfQ0FQRVgoUVRSLC0xUSk=&amp;WINDOW=FIRST_POPUP&amp;HEIGHT=450&amp;WIDTH=450&amp;START_MAXIMIZED=FALS","E&amp;VAR:CALENDAR=US&amp;VAR:SYMBOL=ETP&amp;VAR:INDEX=0"}</definedName>
    <definedName name="_154__FDSAUDITLINK__" hidden="1">{"fdsup://directions/FAT Viewer?action=UPDATE&amp;creator=factset&amp;DYN_ARGS=TRUE&amp;DOC_NAME=FAT:FQL_AUDITING_CLIENT_TEMPLATE.FAT&amp;display_string=Audit&amp;VAR:KEY=EXMLMJMHMV&amp;VAR:QUERY=RkZfQ0FQRVgoUVRSLC0xUSk=&amp;WINDOW=FIRST_POPUP&amp;HEIGHT=450&amp;WIDTH=450&amp;START_MAXIMIZED=FALS","E&amp;VAR:CALENDAR=US&amp;VAR:SYMBOL=ETP&amp;VAR:INDEX=0"}</definedName>
    <definedName name="_155__FDSAUDITLINK__" localSheetId="1" hidden="1">{"fdsup://directions/FAT Viewer?action=UPDATE&amp;creator=factset&amp;DYN_ARGS=TRUE&amp;DOC_NAME=FAT:FQL_AUDITING_CLIENT_TEMPLATE.FAT&amp;display_string=Audit&amp;VAR:KEY=EHINILYXGT&amp;VAR:QUERY=RkZfQ0FQRVgoUVRSLC0yUSk=&amp;WINDOW=FIRST_POPUP&amp;HEIGHT=450&amp;WIDTH=450&amp;START_MAXIMIZED=FALS","E&amp;VAR:CALENDAR=US&amp;VAR:SYMBOL=ETP&amp;VAR:INDEX=0"}</definedName>
    <definedName name="_155__FDSAUDITLINK__" localSheetId="3" hidden="1">{"fdsup://directions/FAT Viewer?action=UPDATE&amp;creator=factset&amp;DYN_ARGS=TRUE&amp;DOC_NAME=FAT:FQL_AUDITING_CLIENT_TEMPLATE.FAT&amp;display_string=Audit&amp;VAR:KEY=EHINILYXGT&amp;VAR:QUERY=RkZfQ0FQRVgoUVRSLC0yUSk=&amp;WINDOW=FIRST_POPUP&amp;HEIGHT=450&amp;WIDTH=450&amp;START_MAXIMIZED=FALS","E&amp;VAR:CALENDAR=US&amp;VAR:SYMBOL=ETP&amp;VAR:INDEX=0"}</definedName>
    <definedName name="_155__FDSAUDITLINK__" hidden="1">{"fdsup://directions/FAT Viewer?action=UPDATE&amp;creator=factset&amp;DYN_ARGS=TRUE&amp;DOC_NAME=FAT:FQL_AUDITING_CLIENT_TEMPLATE.FAT&amp;display_string=Audit&amp;VAR:KEY=EHINILYXGT&amp;VAR:QUERY=RkZfQ0FQRVgoUVRSLC0yUSk=&amp;WINDOW=FIRST_POPUP&amp;HEIGHT=450&amp;WIDTH=450&amp;START_MAXIMIZED=FALS","E&amp;VAR:CALENDAR=US&amp;VAR:SYMBOL=ETP&amp;VAR:INDEX=0"}</definedName>
    <definedName name="_156__FDSAUDITLINK__" localSheetId="1" hidden="1">{"fdsup://directions/FAT Viewer?action=UPDATE&amp;creator=factset&amp;DYN_ARGS=TRUE&amp;DOC_NAME=FAT:FQL_AUDITING_CLIENT_TEMPLATE.FAT&amp;display_string=Audit&amp;VAR:KEY=KHOXAJADGZ&amp;VAR:QUERY=RkZfQ0FQRVgoUVRSLC0zUSk=&amp;WINDOW=FIRST_POPUP&amp;HEIGHT=450&amp;WIDTH=450&amp;START_MAXIMIZED=FALS","E&amp;VAR:CALENDAR=US&amp;VAR:SYMBOL=ETP&amp;VAR:INDEX=0"}</definedName>
    <definedName name="_156__FDSAUDITLINK__" localSheetId="3" hidden="1">{"fdsup://directions/FAT Viewer?action=UPDATE&amp;creator=factset&amp;DYN_ARGS=TRUE&amp;DOC_NAME=FAT:FQL_AUDITING_CLIENT_TEMPLATE.FAT&amp;display_string=Audit&amp;VAR:KEY=KHOXAJADGZ&amp;VAR:QUERY=RkZfQ0FQRVgoUVRSLC0zUSk=&amp;WINDOW=FIRST_POPUP&amp;HEIGHT=450&amp;WIDTH=450&amp;START_MAXIMIZED=FALS","E&amp;VAR:CALENDAR=US&amp;VAR:SYMBOL=ETP&amp;VAR:INDEX=0"}</definedName>
    <definedName name="_156__FDSAUDITLINK__" hidden="1">{"fdsup://directions/FAT Viewer?action=UPDATE&amp;creator=factset&amp;DYN_ARGS=TRUE&amp;DOC_NAME=FAT:FQL_AUDITING_CLIENT_TEMPLATE.FAT&amp;display_string=Audit&amp;VAR:KEY=KHOXAJADGZ&amp;VAR:QUERY=RkZfQ0FQRVgoUVRSLC0zUSk=&amp;WINDOW=FIRST_POPUP&amp;HEIGHT=450&amp;WIDTH=450&amp;START_MAXIMIZED=FALS","E&amp;VAR:CALENDAR=US&amp;VAR:SYMBOL=ETP&amp;VAR:INDEX=0"}</definedName>
    <definedName name="_157__FDSAUDITLINK__" localSheetId="1" hidden="1">{"fdsup://directions/FAT Viewer?action=UPDATE&amp;creator=factset&amp;DYN_ARGS=TRUE&amp;DOC_NAME=FAT:FQL_AUDITING_CLIENT_TEMPLATE.FAT&amp;display_string=Audit&amp;VAR:KEY=ALSPUTGLKP&amp;VAR:QUERY=RkZfQ0FQRVgoUVRSLDBRKQ==&amp;WINDOW=FIRST_POPUP&amp;HEIGHT=450&amp;WIDTH=450&amp;START_MAXIMIZED=FALS","E&amp;VAR:CALENDAR=US&amp;VAR:SYMBOL=EROC&amp;VAR:INDEX=0"}</definedName>
    <definedName name="_157__FDSAUDITLINK__" localSheetId="3" hidden="1">{"fdsup://directions/FAT Viewer?action=UPDATE&amp;creator=factset&amp;DYN_ARGS=TRUE&amp;DOC_NAME=FAT:FQL_AUDITING_CLIENT_TEMPLATE.FAT&amp;display_string=Audit&amp;VAR:KEY=ALSPUTGLKP&amp;VAR:QUERY=RkZfQ0FQRVgoUVRSLDBRKQ==&amp;WINDOW=FIRST_POPUP&amp;HEIGHT=450&amp;WIDTH=450&amp;START_MAXIMIZED=FALS","E&amp;VAR:CALENDAR=US&amp;VAR:SYMBOL=EROC&amp;VAR:INDEX=0"}</definedName>
    <definedName name="_157__FDSAUDITLINK__" hidden="1">{"fdsup://directions/FAT Viewer?action=UPDATE&amp;creator=factset&amp;DYN_ARGS=TRUE&amp;DOC_NAME=FAT:FQL_AUDITING_CLIENT_TEMPLATE.FAT&amp;display_string=Audit&amp;VAR:KEY=ALSPUTGLKP&amp;VAR:QUERY=RkZfQ0FQRVgoUVRSLDBRKQ==&amp;WINDOW=FIRST_POPUP&amp;HEIGHT=450&amp;WIDTH=450&amp;START_MAXIMIZED=FALS","E&amp;VAR:CALENDAR=US&amp;VAR:SYMBOL=EROC&amp;VAR:INDEX=0"}</definedName>
    <definedName name="_158__FDSAUDITLINK__" localSheetId="1" hidden="1">{"fdsup://directions/FAT Viewer?action=UPDATE&amp;creator=factset&amp;DYN_ARGS=TRUE&amp;DOC_NAME=FAT:FQL_AUDITING_CLIENT_TEMPLATE.FAT&amp;display_string=Audit&amp;VAR:KEY=KBWPWHIVUL&amp;VAR:QUERY=RkZfQ0FQRVgoUVRSLC0xUSk=&amp;WINDOW=FIRST_POPUP&amp;HEIGHT=450&amp;WIDTH=450&amp;START_MAXIMIZED=FALS","E&amp;VAR:CALENDAR=US&amp;VAR:SYMBOL=EROC&amp;VAR:INDEX=0"}</definedName>
    <definedName name="_158__FDSAUDITLINK__" localSheetId="3" hidden="1">{"fdsup://directions/FAT Viewer?action=UPDATE&amp;creator=factset&amp;DYN_ARGS=TRUE&amp;DOC_NAME=FAT:FQL_AUDITING_CLIENT_TEMPLATE.FAT&amp;display_string=Audit&amp;VAR:KEY=KBWPWHIVUL&amp;VAR:QUERY=RkZfQ0FQRVgoUVRSLC0xUSk=&amp;WINDOW=FIRST_POPUP&amp;HEIGHT=450&amp;WIDTH=450&amp;START_MAXIMIZED=FALS","E&amp;VAR:CALENDAR=US&amp;VAR:SYMBOL=EROC&amp;VAR:INDEX=0"}</definedName>
    <definedName name="_158__FDSAUDITLINK__" hidden="1">{"fdsup://directions/FAT Viewer?action=UPDATE&amp;creator=factset&amp;DYN_ARGS=TRUE&amp;DOC_NAME=FAT:FQL_AUDITING_CLIENT_TEMPLATE.FAT&amp;display_string=Audit&amp;VAR:KEY=KBWPWHIVUL&amp;VAR:QUERY=RkZfQ0FQRVgoUVRSLC0xUSk=&amp;WINDOW=FIRST_POPUP&amp;HEIGHT=450&amp;WIDTH=450&amp;START_MAXIMIZED=FALS","E&amp;VAR:CALENDAR=US&amp;VAR:SYMBOL=EROC&amp;VAR:INDEX=0"}</definedName>
    <definedName name="_159__FDSAUDITLINK__" localSheetId="1" hidden="1">{"fdsup://directions/FAT Viewer?action=UPDATE&amp;creator=factset&amp;DYN_ARGS=TRUE&amp;DOC_NAME=FAT:FQL_AUDITING_CLIENT_TEMPLATE.FAT&amp;display_string=Audit&amp;VAR:KEY=ARKJYHEBOT&amp;VAR:QUERY=RkZfQ0FQRVgoUVRSLC0yUSk=&amp;WINDOW=FIRST_POPUP&amp;HEIGHT=450&amp;WIDTH=450&amp;START_MAXIMIZED=FALS","E&amp;VAR:CALENDAR=US&amp;VAR:SYMBOL=EROC&amp;VAR:INDEX=0"}</definedName>
    <definedName name="_159__FDSAUDITLINK__" localSheetId="3" hidden="1">{"fdsup://directions/FAT Viewer?action=UPDATE&amp;creator=factset&amp;DYN_ARGS=TRUE&amp;DOC_NAME=FAT:FQL_AUDITING_CLIENT_TEMPLATE.FAT&amp;display_string=Audit&amp;VAR:KEY=ARKJYHEBOT&amp;VAR:QUERY=RkZfQ0FQRVgoUVRSLC0yUSk=&amp;WINDOW=FIRST_POPUP&amp;HEIGHT=450&amp;WIDTH=450&amp;START_MAXIMIZED=FALS","E&amp;VAR:CALENDAR=US&amp;VAR:SYMBOL=EROC&amp;VAR:INDEX=0"}</definedName>
    <definedName name="_159__FDSAUDITLINK__" hidden="1">{"fdsup://directions/FAT Viewer?action=UPDATE&amp;creator=factset&amp;DYN_ARGS=TRUE&amp;DOC_NAME=FAT:FQL_AUDITING_CLIENT_TEMPLATE.FAT&amp;display_string=Audit&amp;VAR:KEY=ARKJYHEBOT&amp;VAR:QUERY=RkZfQ0FQRVgoUVRSLC0yUSk=&amp;WINDOW=FIRST_POPUP&amp;HEIGHT=450&amp;WIDTH=450&amp;START_MAXIMIZED=FALS","E&amp;VAR:CALENDAR=US&amp;VAR:SYMBOL=EROC&amp;VAR:INDEX=0"}</definedName>
    <definedName name="_16__123Graph_BSENS_COMPARISON" hidden="1">#REF!</definedName>
    <definedName name="_16__123Graph_BTAX_CREDIT" hidden="1">#REF!</definedName>
    <definedName name="_16__123Graph_CQRE_S_BY_CO." hidden="1">#REF!</definedName>
    <definedName name="_16__123Graph_EHO_MPRICE" hidden="1">#REF!</definedName>
    <definedName name="_16__FDSAUDITLINK__" localSheetId="1" hidden="1">{"fdsup://directions/FAT Viewer?action=UPDATE&amp;creator=factset&amp;DYN_ARGS=TRUE&amp;DOC_NAME=FAT:FQL_AUDITING_CLIENT_TEMPLATE.FAT&amp;display_string=Audit&amp;VAR:KEY=UDSZYZAXAF&amp;VAR:QUERY=RkZfQ0FQRVgoUVRSLC0zUSk=&amp;WINDOW=FIRST_POPUP&amp;HEIGHT=450&amp;WIDTH=450&amp;START_MAXIMIZED=FALS","E&amp;VAR:CALENDAR=US&amp;VAR:SYMBOL=LINE&amp;VAR:INDEX=0"}</definedName>
    <definedName name="_16__FDSAUDITLINK__" localSheetId="3" hidden="1">{"fdsup://directions/FAT Viewer?action=UPDATE&amp;creator=factset&amp;DYN_ARGS=TRUE&amp;DOC_NAME=FAT:FQL_AUDITING_CLIENT_TEMPLATE.FAT&amp;display_string=Audit&amp;VAR:KEY=UDSZYZAXAF&amp;VAR:QUERY=RkZfQ0FQRVgoUVRSLC0zUSk=&amp;WINDOW=FIRST_POPUP&amp;HEIGHT=450&amp;WIDTH=450&amp;START_MAXIMIZED=FALS","E&amp;VAR:CALENDAR=US&amp;VAR:SYMBOL=LINE&amp;VAR:INDEX=0"}</definedName>
    <definedName name="_16__FDSAUDITLINK__" hidden="1">{"fdsup://directions/FAT Viewer?action=UPDATE&amp;creator=factset&amp;DYN_ARGS=TRUE&amp;DOC_NAME=FAT:FQL_AUDITING_CLIENT_TEMPLATE.FAT&amp;display_string=Audit&amp;VAR:KEY=UDSZYZAXAF&amp;VAR:QUERY=RkZfQ0FQRVgoUVRSLC0zUSk=&amp;WINDOW=FIRST_POPUP&amp;HEIGHT=450&amp;WIDTH=450&amp;START_MAXIMIZED=FALS","E&amp;VAR:CALENDAR=US&amp;VAR:SYMBOL=LINE&amp;VAR:INDEX=0"}</definedName>
    <definedName name="_160__FDSAUDITLINK__" localSheetId="1" hidden="1">{"fdsup://directions/FAT Viewer?action=UPDATE&amp;creator=factset&amp;DYN_ARGS=TRUE&amp;DOC_NAME=FAT:FQL_AUDITING_CLIENT_TEMPLATE.FAT&amp;display_string=Audit&amp;VAR:KEY=WFGTYNGXCR&amp;VAR:QUERY=RkZfQ0FQRVgoUVRSLC0zUSk=&amp;WINDOW=FIRST_POPUP&amp;HEIGHT=450&amp;WIDTH=450&amp;START_MAXIMIZED=FALS","E&amp;VAR:CALENDAR=US&amp;VAR:SYMBOL=EROC&amp;VAR:INDEX=0"}</definedName>
    <definedName name="_160__FDSAUDITLINK__" localSheetId="3" hidden="1">{"fdsup://directions/FAT Viewer?action=UPDATE&amp;creator=factset&amp;DYN_ARGS=TRUE&amp;DOC_NAME=FAT:FQL_AUDITING_CLIENT_TEMPLATE.FAT&amp;display_string=Audit&amp;VAR:KEY=WFGTYNGXCR&amp;VAR:QUERY=RkZfQ0FQRVgoUVRSLC0zUSk=&amp;WINDOW=FIRST_POPUP&amp;HEIGHT=450&amp;WIDTH=450&amp;START_MAXIMIZED=FALS","E&amp;VAR:CALENDAR=US&amp;VAR:SYMBOL=EROC&amp;VAR:INDEX=0"}</definedName>
    <definedName name="_160__FDSAUDITLINK__" hidden="1">{"fdsup://directions/FAT Viewer?action=UPDATE&amp;creator=factset&amp;DYN_ARGS=TRUE&amp;DOC_NAME=FAT:FQL_AUDITING_CLIENT_TEMPLATE.FAT&amp;display_string=Audit&amp;VAR:KEY=WFGTYNGXCR&amp;VAR:QUERY=RkZfQ0FQRVgoUVRSLC0zUSk=&amp;WINDOW=FIRST_POPUP&amp;HEIGHT=450&amp;WIDTH=450&amp;START_MAXIMIZED=FALS","E&amp;VAR:CALENDAR=US&amp;VAR:SYMBOL=EROC&amp;VAR:INDEX=0"}</definedName>
    <definedName name="_161__FDSAUDITLINK__" localSheetId="1" hidden="1">{"fdsup://directions/FAT Viewer?action=UPDATE&amp;creator=factset&amp;DYN_ARGS=TRUE&amp;DOC_NAME=FAT:FQL_AUDITING_CLIENT_TEMPLATE.FAT&amp;display_string=Audit&amp;VAR:KEY=MFULODEBOZ&amp;VAR:QUERY=RkZfQ0FQRVgoUVRSLDBRKQ==&amp;WINDOW=FIRST_POPUP&amp;HEIGHT=450&amp;WIDTH=450&amp;START_MAXIMIZED=FALS","E&amp;VAR:CALENDAR=US&amp;VAR:SYMBOL=EPD&amp;VAR:INDEX=0"}</definedName>
    <definedName name="_161__FDSAUDITLINK__" localSheetId="3" hidden="1">{"fdsup://directions/FAT Viewer?action=UPDATE&amp;creator=factset&amp;DYN_ARGS=TRUE&amp;DOC_NAME=FAT:FQL_AUDITING_CLIENT_TEMPLATE.FAT&amp;display_string=Audit&amp;VAR:KEY=MFULODEBOZ&amp;VAR:QUERY=RkZfQ0FQRVgoUVRSLDBRKQ==&amp;WINDOW=FIRST_POPUP&amp;HEIGHT=450&amp;WIDTH=450&amp;START_MAXIMIZED=FALS","E&amp;VAR:CALENDAR=US&amp;VAR:SYMBOL=EPD&amp;VAR:INDEX=0"}</definedName>
    <definedName name="_161__FDSAUDITLINK__" hidden="1">{"fdsup://directions/FAT Viewer?action=UPDATE&amp;creator=factset&amp;DYN_ARGS=TRUE&amp;DOC_NAME=FAT:FQL_AUDITING_CLIENT_TEMPLATE.FAT&amp;display_string=Audit&amp;VAR:KEY=MFULODEBOZ&amp;VAR:QUERY=RkZfQ0FQRVgoUVRSLDBRKQ==&amp;WINDOW=FIRST_POPUP&amp;HEIGHT=450&amp;WIDTH=450&amp;START_MAXIMIZED=FALS","E&amp;VAR:CALENDAR=US&amp;VAR:SYMBOL=EPD&amp;VAR:INDEX=0"}</definedName>
    <definedName name="_162__FDSAUDITLINK__" localSheetId="1" hidden="1">{"fdsup://directions/FAT Viewer?action=UPDATE&amp;creator=factset&amp;DYN_ARGS=TRUE&amp;DOC_NAME=FAT:FQL_AUDITING_CLIENT_TEMPLATE.FAT&amp;display_string=Audit&amp;VAR:KEY=GNMJETYXED&amp;VAR:QUERY=RkZfQ0FQRVgoUVRSLC0xUSk=&amp;WINDOW=FIRST_POPUP&amp;HEIGHT=450&amp;WIDTH=450&amp;START_MAXIMIZED=FALS","E&amp;VAR:CALENDAR=US&amp;VAR:SYMBOL=EPD&amp;VAR:INDEX=0"}</definedName>
    <definedName name="_162__FDSAUDITLINK__" localSheetId="3" hidden="1">{"fdsup://directions/FAT Viewer?action=UPDATE&amp;creator=factset&amp;DYN_ARGS=TRUE&amp;DOC_NAME=FAT:FQL_AUDITING_CLIENT_TEMPLATE.FAT&amp;display_string=Audit&amp;VAR:KEY=GNMJETYXED&amp;VAR:QUERY=RkZfQ0FQRVgoUVRSLC0xUSk=&amp;WINDOW=FIRST_POPUP&amp;HEIGHT=450&amp;WIDTH=450&amp;START_MAXIMIZED=FALS","E&amp;VAR:CALENDAR=US&amp;VAR:SYMBOL=EPD&amp;VAR:INDEX=0"}</definedName>
    <definedName name="_162__FDSAUDITLINK__" hidden="1">{"fdsup://directions/FAT Viewer?action=UPDATE&amp;creator=factset&amp;DYN_ARGS=TRUE&amp;DOC_NAME=FAT:FQL_AUDITING_CLIENT_TEMPLATE.FAT&amp;display_string=Audit&amp;VAR:KEY=GNMJETYXED&amp;VAR:QUERY=RkZfQ0FQRVgoUVRSLC0xUSk=&amp;WINDOW=FIRST_POPUP&amp;HEIGHT=450&amp;WIDTH=450&amp;START_MAXIMIZED=FALS","E&amp;VAR:CALENDAR=US&amp;VAR:SYMBOL=EPD&amp;VAR:INDEX=0"}</definedName>
    <definedName name="_163__FDSAUDITLINK__" localSheetId="1" hidden="1">{"fdsup://directions/FAT Viewer?action=UPDATE&amp;creator=factset&amp;DYN_ARGS=TRUE&amp;DOC_NAME=FAT:FQL_AUDITING_CLIENT_TEMPLATE.FAT&amp;display_string=Audit&amp;VAR:KEY=MJGLIFKDAF&amp;VAR:QUERY=RkZfQ0FQRVgoUVRSLC0yUSk=&amp;WINDOW=FIRST_POPUP&amp;HEIGHT=450&amp;WIDTH=450&amp;START_MAXIMIZED=FALS","E&amp;VAR:CALENDAR=US&amp;VAR:SYMBOL=EPD&amp;VAR:INDEX=0"}</definedName>
    <definedName name="_163__FDSAUDITLINK__" localSheetId="3" hidden="1">{"fdsup://directions/FAT Viewer?action=UPDATE&amp;creator=factset&amp;DYN_ARGS=TRUE&amp;DOC_NAME=FAT:FQL_AUDITING_CLIENT_TEMPLATE.FAT&amp;display_string=Audit&amp;VAR:KEY=MJGLIFKDAF&amp;VAR:QUERY=RkZfQ0FQRVgoUVRSLC0yUSk=&amp;WINDOW=FIRST_POPUP&amp;HEIGHT=450&amp;WIDTH=450&amp;START_MAXIMIZED=FALS","E&amp;VAR:CALENDAR=US&amp;VAR:SYMBOL=EPD&amp;VAR:INDEX=0"}</definedName>
    <definedName name="_163__FDSAUDITLINK__" hidden="1">{"fdsup://directions/FAT Viewer?action=UPDATE&amp;creator=factset&amp;DYN_ARGS=TRUE&amp;DOC_NAME=FAT:FQL_AUDITING_CLIENT_TEMPLATE.FAT&amp;display_string=Audit&amp;VAR:KEY=MJGLIFKDAF&amp;VAR:QUERY=RkZfQ0FQRVgoUVRSLC0yUSk=&amp;WINDOW=FIRST_POPUP&amp;HEIGHT=450&amp;WIDTH=450&amp;START_MAXIMIZED=FALS","E&amp;VAR:CALENDAR=US&amp;VAR:SYMBOL=EPD&amp;VAR:INDEX=0"}</definedName>
    <definedName name="_164__FDSAUDITLINK__" localSheetId="1" hidden="1">{"fdsup://directions/FAT Viewer?action=UPDATE&amp;creator=factset&amp;DYN_ARGS=TRUE&amp;DOC_NAME=FAT:FQL_AUDITING_CLIENT_TEMPLATE.FAT&amp;display_string=Audit&amp;VAR:KEY=ONEZOBMNEJ&amp;VAR:QUERY=RkZfQ0FQRVgoUVRSLC0zUSk=&amp;WINDOW=FIRST_POPUP&amp;HEIGHT=450&amp;WIDTH=450&amp;START_MAXIMIZED=FALS","E&amp;VAR:CALENDAR=US&amp;VAR:SYMBOL=EPD&amp;VAR:INDEX=0"}</definedName>
    <definedName name="_164__FDSAUDITLINK__" localSheetId="3" hidden="1">{"fdsup://directions/FAT Viewer?action=UPDATE&amp;creator=factset&amp;DYN_ARGS=TRUE&amp;DOC_NAME=FAT:FQL_AUDITING_CLIENT_TEMPLATE.FAT&amp;display_string=Audit&amp;VAR:KEY=ONEZOBMNEJ&amp;VAR:QUERY=RkZfQ0FQRVgoUVRSLC0zUSk=&amp;WINDOW=FIRST_POPUP&amp;HEIGHT=450&amp;WIDTH=450&amp;START_MAXIMIZED=FALS","E&amp;VAR:CALENDAR=US&amp;VAR:SYMBOL=EPD&amp;VAR:INDEX=0"}</definedName>
    <definedName name="_164__FDSAUDITLINK__" hidden="1">{"fdsup://directions/FAT Viewer?action=UPDATE&amp;creator=factset&amp;DYN_ARGS=TRUE&amp;DOC_NAME=FAT:FQL_AUDITING_CLIENT_TEMPLATE.FAT&amp;display_string=Audit&amp;VAR:KEY=ONEZOBMNEJ&amp;VAR:QUERY=RkZfQ0FQRVgoUVRSLC0zUSk=&amp;WINDOW=FIRST_POPUP&amp;HEIGHT=450&amp;WIDTH=450&amp;START_MAXIMIZED=FALS","E&amp;VAR:CALENDAR=US&amp;VAR:SYMBOL=EPD&amp;VAR:INDEX=0"}</definedName>
    <definedName name="_165__FDSAUDITLINK__" localSheetId="1" hidden="1">{"fdsup://directions/FAT Viewer?action=UPDATE&amp;creator=factset&amp;DYN_ARGS=TRUE&amp;DOC_NAME=FAT:FQL_AUDITING_CLIENT_TEMPLATE.FAT&amp;display_string=Audit&amp;VAR:KEY=URQXKTSLOB&amp;VAR:QUERY=RkZfQ0FQRVgoUVRSLDBRKQ==&amp;WINDOW=FIRST_POPUP&amp;HEIGHT=450&amp;WIDTH=450&amp;START_MAXIMIZED=FALS","E&amp;VAR:CALENDAR=US&amp;VAR:SYMBOL=EPB&amp;VAR:INDEX=0"}</definedName>
    <definedName name="_165__FDSAUDITLINK__" localSheetId="3" hidden="1">{"fdsup://directions/FAT Viewer?action=UPDATE&amp;creator=factset&amp;DYN_ARGS=TRUE&amp;DOC_NAME=FAT:FQL_AUDITING_CLIENT_TEMPLATE.FAT&amp;display_string=Audit&amp;VAR:KEY=URQXKTSLOB&amp;VAR:QUERY=RkZfQ0FQRVgoUVRSLDBRKQ==&amp;WINDOW=FIRST_POPUP&amp;HEIGHT=450&amp;WIDTH=450&amp;START_MAXIMIZED=FALS","E&amp;VAR:CALENDAR=US&amp;VAR:SYMBOL=EPB&amp;VAR:INDEX=0"}</definedName>
    <definedName name="_165__FDSAUDITLINK__" hidden="1">{"fdsup://directions/FAT Viewer?action=UPDATE&amp;creator=factset&amp;DYN_ARGS=TRUE&amp;DOC_NAME=FAT:FQL_AUDITING_CLIENT_TEMPLATE.FAT&amp;display_string=Audit&amp;VAR:KEY=URQXKTSLOB&amp;VAR:QUERY=RkZfQ0FQRVgoUVRSLDBRKQ==&amp;WINDOW=FIRST_POPUP&amp;HEIGHT=450&amp;WIDTH=450&amp;START_MAXIMIZED=FALS","E&amp;VAR:CALENDAR=US&amp;VAR:SYMBOL=EPB&amp;VAR:INDEX=0"}</definedName>
    <definedName name="_166__FDSAUDITLINK__" localSheetId="1" hidden="1">{"fdsup://directions/FAT Viewer?action=UPDATE&amp;creator=factset&amp;DYN_ARGS=TRUE&amp;DOC_NAME=FAT:FQL_AUDITING_CLIENT_TEMPLATE.FAT&amp;display_string=Audit&amp;VAR:KEY=CZUVWJCPEZ&amp;VAR:QUERY=RkZfQ0FQRVgoUVRSLC0xUSk=&amp;WINDOW=FIRST_POPUP&amp;HEIGHT=450&amp;WIDTH=450&amp;START_MAXIMIZED=FALS","E&amp;VAR:CALENDAR=US&amp;VAR:SYMBOL=EPB&amp;VAR:INDEX=0"}</definedName>
    <definedName name="_166__FDSAUDITLINK__" localSheetId="3" hidden="1">{"fdsup://directions/FAT Viewer?action=UPDATE&amp;creator=factset&amp;DYN_ARGS=TRUE&amp;DOC_NAME=FAT:FQL_AUDITING_CLIENT_TEMPLATE.FAT&amp;display_string=Audit&amp;VAR:KEY=CZUVWJCPEZ&amp;VAR:QUERY=RkZfQ0FQRVgoUVRSLC0xUSk=&amp;WINDOW=FIRST_POPUP&amp;HEIGHT=450&amp;WIDTH=450&amp;START_MAXIMIZED=FALS","E&amp;VAR:CALENDAR=US&amp;VAR:SYMBOL=EPB&amp;VAR:INDEX=0"}</definedName>
    <definedName name="_166__FDSAUDITLINK__" hidden="1">{"fdsup://directions/FAT Viewer?action=UPDATE&amp;creator=factset&amp;DYN_ARGS=TRUE&amp;DOC_NAME=FAT:FQL_AUDITING_CLIENT_TEMPLATE.FAT&amp;display_string=Audit&amp;VAR:KEY=CZUVWJCPEZ&amp;VAR:QUERY=RkZfQ0FQRVgoUVRSLC0xUSk=&amp;WINDOW=FIRST_POPUP&amp;HEIGHT=450&amp;WIDTH=450&amp;START_MAXIMIZED=FALS","E&amp;VAR:CALENDAR=US&amp;VAR:SYMBOL=EPB&amp;VAR:INDEX=0"}</definedName>
    <definedName name="_167__FDSAUDITLINK__" localSheetId="1" hidden="1">{"fdsup://directions/FAT Viewer?action=UPDATE&amp;creator=factset&amp;DYN_ARGS=TRUE&amp;DOC_NAME=FAT:FQL_AUDITING_CLIENT_TEMPLATE.FAT&amp;display_string=Audit&amp;VAR:KEY=WRYZCLGVAT&amp;VAR:QUERY=RkZfQ0FQRVgoUVRSLC0yUSk=&amp;WINDOW=FIRST_POPUP&amp;HEIGHT=450&amp;WIDTH=450&amp;START_MAXIMIZED=FALS","E&amp;VAR:CALENDAR=US&amp;VAR:SYMBOL=EPB&amp;VAR:INDEX=0"}</definedName>
    <definedName name="_167__FDSAUDITLINK__" localSheetId="3" hidden="1">{"fdsup://directions/FAT Viewer?action=UPDATE&amp;creator=factset&amp;DYN_ARGS=TRUE&amp;DOC_NAME=FAT:FQL_AUDITING_CLIENT_TEMPLATE.FAT&amp;display_string=Audit&amp;VAR:KEY=WRYZCLGVAT&amp;VAR:QUERY=RkZfQ0FQRVgoUVRSLC0yUSk=&amp;WINDOW=FIRST_POPUP&amp;HEIGHT=450&amp;WIDTH=450&amp;START_MAXIMIZED=FALS","E&amp;VAR:CALENDAR=US&amp;VAR:SYMBOL=EPB&amp;VAR:INDEX=0"}</definedName>
    <definedName name="_167__FDSAUDITLINK__" hidden="1">{"fdsup://directions/FAT Viewer?action=UPDATE&amp;creator=factset&amp;DYN_ARGS=TRUE&amp;DOC_NAME=FAT:FQL_AUDITING_CLIENT_TEMPLATE.FAT&amp;display_string=Audit&amp;VAR:KEY=WRYZCLGVAT&amp;VAR:QUERY=RkZfQ0FQRVgoUVRSLC0yUSk=&amp;WINDOW=FIRST_POPUP&amp;HEIGHT=450&amp;WIDTH=450&amp;START_MAXIMIZED=FALS","E&amp;VAR:CALENDAR=US&amp;VAR:SYMBOL=EPB&amp;VAR:INDEX=0"}</definedName>
    <definedName name="_168__FDSAUDITLINK__" localSheetId="1" hidden="1">{"fdsup://directions/FAT Viewer?action=UPDATE&amp;creator=factset&amp;DYN_ARGS=TRUE&amp;DOC_NAME=FAT:FQL_AUDITING_CLIENT_TEMPLATE.FAT&amp;display_string=Audit&amp;VAR:KEY=KTEHEXUNKX&amp;VAR:QUERY=RkZfQ0FQRVgoUVRSLC0zUSk=&amp;WINDOW=FIRST_POPUP&amp;HEIGHT=450&amp;WIDTH=450&amp;START_MAXIMIZED=FALS","E&amp;VAR:CALENDAR=US&amp;VAR:SYMBOL=EPB&amp;VAR:INDEX=0"}</definedName>
    <definedName name="_168__FDSAUDITLINK__" localSheetId="3" hidden="1">{"fdsup://directions/FAT Viewer?action=UPDATE&amp;creator=factset&amp;DYN_ARGS=TRUE&amp;DOC_NAME=FAT:FQL_AUDITING_CLIENT_TEMPLATE.FAT&amp;display_string=Audit&amp;VAR:KEY=KTEHEXUNKX&amp;VAR:QUERY=RkZfQ0FQRVgoUVRSLC0zUSk=&amp;WINDOW=FIRST_POPUP&amp;HEIGHT=450&amp;WIDTH=450&amp;START_MAXIMIZED=FALS","E&amp;VAR:CALENDAR=US&amp;VAR:SYMBOL=EPB&amp;VAR:INDEX=0"}</definedName>
    <definedName name="_168__FDSAUDITLINK__" hidden="1">{"fdsup://directions/FAT Viewer?action=UPDATE&amp;creator=factset&amp;DYN_ARGS=TRUE&amp;DOC_NAME=FAT:FQL_AUDITING_CLIENT_TEMPLATE.FAT&amp;display_string=Audit&amp;VAR:KEY=KTEHEXUNKX&amp;VAR:QUERY=RkZfQ0FQRVgoUVRSLC0zUSk=&amp;WINDOW=FIRST_POPUP&amp;HEIGHT=450&amp;WIDTH=450&amp;START_MAXIMIZED=FALS","E&amp;VAR:CALENDAR=US&amp;VAR:SYMBOL=EPB&amp;VAR:INDEX=0"}</definedName>
    <definedName name="_169__FDSAUDITLINK__" localSheetId="1" hidden="1">{"fdsup://directions/FAT Viewer?action=UPDATE&amp;creator=factset&amp;DYN_ARGS=TRUE&amp;DOC_NAME=FAT:FQL_AUDITING_CLIENT_TEMPLATE.FAT&amp;display_string=Audit&amp;VAR:KEY=SJIXWFSXQJ&amp;VAR:QUERY=RkZfQ0FQRVgoUVRSLDBRKQ==&amp;WINDOW=FIRST_POPUP&amp;HEIGHT=450&amp;WIDTH=450&amp;START_MAXIMIZED=FALS","E&amp;VAR:CALENDAR=US&amp;VAR:SYMBOL=EEP&amp;VAR:INDEX=0"}</definedName>
    <definedName name="_169__FDSAUDITLINK__" localSheetId="3" hidden="1">{"fdsup://directions/FAT Viewer?action=UPDATE&amp;creator=factset&amp;DYN_ARGS=TRUE&amp;DOC_NAME=FAT:FQL_AUDITING_CLIENT_TEMPLATE.FAT&amp;display_string=Audit&amp;VAR:KEY=SJIXWFSXQJ&amp;VAR:QUERY=RkZfQ0FQRVgoUVRSLDBRKQ==&amp;WINDOW=FIRST_POPUP&amp;HEIGHT=450&amp;WIDTH=450&amp;START_MAXIMIZED=FALS","E&amp;VAR:CALENDAR=US&amp;VAR:SYMBOL=EEP&amp;VAR:INDEX=0"}</definedName>
    <definedName name="_169__FDSAUDITLINK__" hidden="1">{"fdsup://directions/FAT Viewer?action=UPDATE&amp;creator=factset&amp;DYN_ARGS=TRUE&amp;DOC_NAME=FAT:FQL_AUDITING_CLIENT_TEMPLATE.FAT&amp;display_string=Audit&amp;VAR:KEY=SJIXWFSXQJ&amp;VAR:QUERY=RkZfQ0FQRVgoUVRSLDBRKQ==&amp;WINDOW=FIRST_POPUP&amp;HEIGHT=450&amp;WIDTH=450&amp;START_MAXIMIZED=FALS","E&amp;VAR:CALENDAR=US&amp;VAR:SYMBOL=EEP&amp;VAR:INDEX=0"}</definedName>
    <definedName name="_17__123Graph_BSUPPLIES_BY_B_U" hidden="1">#REF!</definedName>
    <definedName name="_17__123Graph_BWAGES_BY_B_U" hidden="1">#REF!</definedName>
    <definedName name="_17__123Graph_CQRE_S_BY_TYPE" hidden="1">#REF!</definedName>
    <definedName name="_17__123Graph_EO_MPRICE" hidden="1">#REF!</definedName>
    <definedName name="_17__FDSAUDITLINK__" localSheetId="1" hidden="1">{"fdsup://directions/FAT Viewer?action=UPDATE&amp;creator=factset&amp;DYN_ARGS=TRUE&amp;DOC_NAME=FAT:FQL_AUDITING_CLIENT_TEMPLATE.FAT&amp;display_string=Audit&amp;VAR:KEY=KPMNYPMDYL&amp;VAR:QUERY=RkZfQ0FQRVgoUVRSLDBRKQ==&amp;WINDOW=FIRST_POPUP&amp;HEIGHT=450&amp;WIDTH=450&amp;START_MAXIMIZED=FALS","E&amp;VAR:CALENDAR=US&amp;VAR:SYMBOL=LGCY&amp;VAR:INDEX=0"}</definedName>
    <definedName name="_17__FDSAUDITLINK__" localSheetId="3" hidden="1">{"fdsup://directions/FAT Viewer?action=UPDATE&amp;creator=factset&amp;DYN_ARGS=TRUE&amp;DOC_NAME=FAT:FQL_AUDITING_CLIENT_TEMPLATE.FAT&amp;display_string=Audit&amp;VAR:KEY=KPMNYPMDYL&amp;VAR:QUERY=RkZfQ0FQRVgoUVRSLDBRKQ==&amp;WINDOW=FIRST_POPUP&amp;HEIGHT=450&amp;WIDTH=450&amp;START_MAXIMIZED=FALS","E&amp;VAR:CALENDAR=US&amp;VAR:SYMBOL=LGCY&amp;VAR:INDEX=0"}</definedName>
    <definedName name="_17__FDSAUDITLINK__" hidden="1">{"fdsup://directions/FAT Viewer?action=UPDATE&amp;creator=factset&amp;DYN_ARGS=TRUE&amp;DOC_NAME=FAT:FQL_AUDITING_CLIENT_TEMPLATE.FAT&amp;display_string=Audit&amp;VAR:KEY=KPMNYPMDYL&amp;VAR:QUERY=RkZfQ0FQRVgoUVRSLDBRKQ==&amp;WINDOW=FIRST_POPUP&amp;HEIGHT=450&amp;WIDTH=450&amp;START_MAXIMIZED=FALS","E&amp;VAR:CALENDAR=US&amp;VAR:SYMBOL=LGCY&amp;VAR:INDEX=0"}</definedName>
    <definedName name="_170__FDSAUDITLINK__" localSheetId="1" hidden="1">{"fdsup://directions/FAT Viewer?action=UPDATE&amp;creator=factset&amp;DYN_ARGS=TRUE&amp;DOC_NAME=FAT:FQL_AUDITING_CLIENT_TEMPLATE.FAT&amp;display_string=Audit&amp;VAR:KEY=QVQBATWZSD&amp;VAR:QUERY=RkZfQ0FQRVgoUVRSLC0xUSk=&amp;WINDOW=FIRST_POPUP&amp;HEIGHT=450&amp;WIDTH=450&amp;START_MAXIMIZED=FALS","E&amp;VAR:CALENDAR=US&amp;VAR:SYMBOL=EEP&amp;VAR:INDEX=0"}</definedName>
    <definedName name="_170__FDSAUDITLINK__" localSheetId="3" hidden="1">{"fdsup://directions/FAT Viewer?action=UPDATE&amp;creator=factset&amp;DYN_ARGS=TRUE&amp;DOC_NAME=FAT:FQL_AUDITING_CLIENT_TEMPLATE.FAT&amp;display_string=Audit&amp;VAR:KEY=QVQBATWZSD&amp;VAR:QUERY=RkZfQ0FQRVgoUVRSLC0xUSk=&amp;WINDOW=FIRST_POPUP&amp;HEIGHT=450&amp;WIDTH=450&amp;START_MAXIMIZED=FALS","E&amp;VAR:CALENDAR=US&amp;VAR:SYMBOL=EEP&amp;VAR:INDEX=0"}</definedName>
    <definedName name="_170__FDSAUDITLINK__" hidden="1">{"fdsup://directions/FAT Viewer?action=UPDATE&amp;creator=factset&amp;DYN_ARGS=TRUE&amp;DOC_NAME=FAT:FQL_AUDITING_CLIENT_TEMPLATE.FAT&amp;display_string=Audit&amp;VAR:KEY=QVQBATWZSD&amp;VAR:QUERY=RkZfQ0FQRVgoUVRSLC0xUSk=&amp;WINDOW=FIRST_POPUP&amp;HEIGHT=450&amp;WIDTH=450&amp;START_MAXIMIZED=FALS","E&amp;VAR:CALENDAR=US&amp;VAR:SYMBOL=EEP&amp;VAR:INDEX=0"}</definedName>
    <definedName name="_171__FDSAUDITLINK__" localSheetId="1" hidden="1">{"fdsup://directions/FAT Viewer?action=UPDATE&amp;creator=factset&amp;DYN_ARGS=TRUE&amp;DOC_NAME=FAT:FQL_AUDITING_CLIENT_TEMPLATE.FAT&amp;display_string=Audit&amp;VAR:KEY=OFENMVCLCJ&amp;VAR:QUERY=RkZfQ0FQRVgoUVRSLC0yUSk=&amp;WINDOW=FIRST_POPUP&amp;HEIGHT=450&amp;WIDTH=450&amp;START_MAXIMIZED=FALS","E&amp;VAR:CALENDAR=US&amp;VAR:SYMBOL=EEP&amp;VAR:INDEX=0"}</definedName>
    <definedName name="_171__FDSAUDITLINK__" localSheetId="3" hidden="1">{"fdsup://directions/FAT Viewer?action=UPDATE&amp;creator=factset&amp;DYN_ARGS=TRUE&amp;DOC_NAME=FAT:FQL_AUDITING_CLIENT_TEMPLATE.FAT&amp;display_string=Audit&amp;VAR:KEY=OFENMVCLCJ&amp;VAR:QUERY=RkZfQ0FQRVgoUVRSLC0yUSk=&amp;WINDOW=FIRST_POPUP&amp;HEIGHT=450&amp;WIDTH=450&amp;START_MAXIMIZED=FALS","E&amp;VAR:CALENDAR=US&amp;VAR:SYMBOL=EEP&amp;VAR:INDEX=0"}</definedName>
    <definedName name="_171__FDSAUDITLINK__" hidden="1">{"fdsup://directions/FAT Viewer?action=UPDATE&amp;creator=factset&amp;DYN_ARGS=TRUE&amp;DOC_NAME=FAT:FQL_AUDITING_CLIENT_TEMPLATE.FAT&amp;display_string=Audit&amp;VAR:KEY=OFENMVCLCJ&amp;VAR:QUERY=RkZfQ0FQRVgoUVRSLC0yUSk=&amp;WINDOW=FIRST_POPUP&amp;HEIGHT=450&amp;WIDTH=450&amp;START_MAXIMIZED=FALS","E&amp;VAR:CALENDAR=US&amp;VAR:SYMBOL=EEP&amp;VAR:INDEX=0"}</definedName>
    <definedName name="_172__FDSAUDITLINK__" localSheetId="1" hidden="1">{"fdsup://directions/FAT Viewer?action=UPDATE&amp;creator=factset&amp;DYN_ARGS=TRUE&amp;DOC_NAME=FAT:FQL_AUDITING_CLIENT_TEMPLATE.FAT&amp;display_string=Audit&amp;VAR:KEY=CBKLCDCTEN&amp;VAR:QUERY=RkZfQ0FQRVgoUVRSLC0zUSk=&amp;WINDOW=FIRST_POPUP&amp;HEIGHT=450&amp;WIDTH=450&amp;START_MAXIMIZED=FALS","E&amp;VAR:CALENDAR=US&amp;VAR:SYMBOL=EEP&amp;VAR:INDEX=0"}</definedName>
    <definedName name="_172__FDSAUDITLINK__" localSheetId="3" hidden="1">{"fdsup://directions/FAT Viewer?action=UPDATE&amp;creator=factset&amp;DYN_ARGS=TRUE&amp;DOC_NAME=FAT:FQL_AUDITING_CLIENT_TEMPLATE.FAT&amp;display_string=Audit&amp;VAR:KEY=CBKLCDCTEN&amp;VAR:QUERY=RkZfQ0FQRVgoUVRSLC0zUSk=&amp;WINDOW=FIRST_POPUP&amp;HEIGHT=450&amp;WIDTH=450&amp;START_MAXIMIZED=FALS","E&amp;VAR:CALENDAR=US&amp;VAR:SYMBOL=EEP&amp;VAR:INDEX=0"}</definedName>
    <definedName name="_172__FDSAUDITLINK__" hidden="1">{"fdsup://directions/FAT Viewer?action=UPDATE&amp;creator=factset&amp;DYN_ARGS=TRUE&amp;DOC_NAME=FAT:FQL_AUDITING_CLIENT_TEMPLATE.FAT&amp;display_string=Audit&amp;VAR:KEY=CBKLCDCTEN&amp;VAR:QUERY=RkZfQ0FQRVgoUVRSLC0zUSk=&amp;WINDOW=FIRST_POPUP&amp;HEIGHT=450&amp;WIDTH=450&amp;START_MAXIMIZED=FALS","E&amp;VAR:CALENDAR=US&amp;VAR:SYMBOL=EEP&amp;VAR:INDEX=0"}</definedName>
    <definedName name="_173__FDSAUDITLINK__" localSheetId="1" hidden="1">{"fdsup://directions/FAT Viewer?action=UPDATE&amp;creator=factset&amp;DYN_ARGS=TRUE&amp;DOC_NAME=FAT:FQL_AUDITING_CLIENT_TEMPLATE.FAT&amp;display_string=Audit&amp;VAR:KEY=GXSBOHUDSD&amp;VAR:QUERY=RkZfQ0FQRVgoUVRSLDBRKQ==&amp;WINDOW=FIRST_POPUP&amp;HEIGHT=450&amp;WIDTH=450&amp;START_MAXIMIZED=FALS","E&amp;VAR:CALENDAR=US&amp;VAR:SYMBOL=DPM&amp;VAR:INDEX=0"}</definedName>
    <definedName name="_173__FDSAUDITLINK__" localSheetId="3" hidden="1">{"fdsup://directions/FAT Viewer?action=UPDATE&amp;creator=factset&amp;DYN_ARGS=TRUE&amp;DOC_NAME=FAT:FQL_AUDITING_CLIENT_TEMPLATE.FAT&amp;display_string=Audit&amp;VAR:KEY=GXSBOHUDSD&amp;VAR:QUERY=RkZfQ0FQRVgoUVRSLDBRKQ==&amp;WINDOW=FIRST_POPUP&amp;HEIGHT=450&amp;WIDTH=450&amp;START_MAXIMIZED=FALS","E&amp;VAR:CALENDAR=US&amp;VAR:SYMBOL=DPM&amp;VAR:INDEX=0"}</definedName>
    <definedName name="_173__FDSAUDITLINK__" hidden="1">{"fdsup://directions/FAT Viewer?action=UPDATE&amp;creator=factset&amp;DYN_ARGS=TRUE&amp;DOC_NAME=FAT:FQL_AUDITING_CLIENT_TEMPLATE.FAT&amp;display_string=Audit&amp;VAR:KEY=GXSBOHUDSD&amp;VAR:QUERY=RkZfQ0FQRVgoUVRSLDBRKQ==&amp;WINDOW=FIRST_POPUP&amp;HEIGHT=450&amp;WIDTH=450&amp;START_MAXIMIZED=FALS","E&amp;VAR:CALENDAR=US&amp;VAR:SYMBOL=DPM&amp;VAR:INDEX=0"}</definedName>
    <definedName name="_174__FDSAUDITLINK__" localSheetId="1" hidden="1">{"fdsup://directions/FAT Viewer?action=UPDATE&amp;creator=factset&amp;DYN_ARGS=TRUE&amp;DOC_NAME=FAT:FQL_AUDITING_CLIENT_TEMPLATE.FAT&amp;display_string=Audit&amp;VAR:KEY=MBCVAPOVAP&amp;VAR:QUERY=RkZfQ0FQRVgoUVRSLC0xUSk=&amp;WINDOW=FIRST_POPUP&amp;HEIGHT=450&amp;WIDTH=450&amp;START_MAXIMIZED=FALS","E&amp;VAR:CALENDAR=US&amp;VAR:SYMBOL=DPM&amp;VAR:INDEX=0"}</definedName>
    <definedName name="_174__FDSAUDITLINK__" localSheetId="3" hidden="1">{"fdsup://directions/FAT Viewer?action=UPDATE&amp;creator=factset&amp;DYN_ARGS=TRUE&amp;DOC_NAME=FAT:FQL_AUDITING_CLIENT_TEMPLATE.FAT&amp;display_string=Audit&amp;VAR:KEY=MBCVAPOVAP&amp;VAR:QUERY=RkZfQ0FQRVgoUVRSLC0xUSk=&amp;WINDOW=FIRST_POPUP&amp;HEIGHT=450&amp;WIDTH=450&amp;START_MAXIMIZED=FALS","E&amp;VAR:CALENDAR=US&amp;VAR:SYMBOL=DPM&amp;VAR:INDEX=0"}</definedName>
    <definedName name="_174__FDSAUDITLINK__" hidden="1">{"fdsup://directions/FAT Viewer?action=UPDATE&amp;creator=factset&amp;DYN_ARGS=TRUE&amp;DOC_NAME=FAT:FQL_AUDITING_CLIENT_TEMPLATE.FAT&amp;display_string=Audit&amp;VAR:KEY=MBCVAPOVAP&amp;VAR:QUERY=RkZfQ0FQRVgoUVRSLC0xUSk=&amp;WINDOW=FIRST_POPUP&amp;HEIGHT=450&amp;WIDTH=450&amp;START_MAXIMIZED=FALS","E&amp;VAR:CALENDAR=US&amp;VAR:SYMBOL=DPM&amp;VAR:INDEX=0"}</definedName>
    <definedName name="_175__FDSAUDITLINK__" localSheetId="1" hidden="1">{"fdsup://directions/FAT Viewer?action=UPDATE&amp;creator=factset&amp;DYN_ARGS=TRUE&amp;DOC_NAME=FAT:FQL_AUDITING_CLIENT_TEMPLATE.FAT&amp;display_string=Audit&amp;VAR:KEY=UZONWTSFKD&amp;VAR:QUERY=RkZfQ0FQRVgoUVRSLC0yUSk=&amp;WINDOW=FIRST_POPUP&amp;HEIGHT=450&amp;WIDTH=450&amp;START_MAXIMIZED=FALS","E&amp;VAR:CALENDAR=US&amp;VAR:SYMBOL=DPM&amp;VAR:INDEX=0"}</definedName>
    <definedName name="_175__FDSAUDITLINK__" localSheetId="3" hidden="1">{"fdsup://directions/FAT Viewer?action=UPDATE&amp;creator=factset&amp;DYN_ARGS=TRUE&amp;DOC_NAME=FAT:FQL_AUDITING_CLIENT_TEMPLATE.FAT&amp;display_string=Audit&amp;VAR:KEY=UZONWTSFKD&amp;VAR:QUERY=RkZfQ0FQRVgoUVRSLC0yUSk=&amp;WINDOW=FIRST_POPUP&amp;HEIGHT=450&amp;WIDTH=450&amp;START_MAXIMIZED=FALS","E&amp;VAR:CALENDAR=US&amp;VAR:SYMBOL=DPM&amp;VAR:INDEX=0"}</definedName>
    <definedName name="_175__FDSAUDITLINK__" hidden="1">{"fdsup://directions/FAT Viewer?action=UPDATE&amp;creator=factset&amp;DYN_ARGS=TRUE&amp;DOC_NAME=FAT:FQL_AUDITING_CLIENT_TEMPLATE.FAT&amp;display_string=Audit&amp;VAR:KEY=UZONWTSFKD&amp;VAR:QUERY=RkZfQ0FQRVgoUVRSLC0yUSk=&amp;WINDOW=FIRST_POPUP&amp;HEIGHT=450&amp;WIDTH=450&amp;START_MAXIMIZED=FALS","E&amp;VAR:CALENDAR=US&amp;VAR:SYMBOL=DPM&amp;VAR:INDEX=0"}</definedName>
    <definedName name="_176__FDSAUDITLINK__" localSheetId="1" hidden="1">{"fdsup://directions/FAT Viewer?action=UPDATE&amp;creator=factset&amp;DYN_ARGS=TRUE&amp;DOC_NAME=FAT:FQL_AUDITING_CLIENT_TEMPLATE.FAT&amp;display_string=Audit&amp;VAR:KEY=CLGRYBUBOJ&amp;VAR:QUERY=RkZfQ0FQRVgoUVRSLC0zUSk=&amp;WINDOW=FIRST_POPUP&amp;HEIGHT=450&amp;WIDTH=450&amp;START_MAXIMIZED=FALS","E&amp;VAR:CALENDAR=US&amp;VAR:SYMBOL=DPM&amp;VAR:INDEX=0"}</definedName>
    <definedName name="_176__FDSAUDITLINK__" localSheetId="3" hidden="1">{"fdsup://directions/FAT Viewer?action=UPDATE&amp;creator=factset&amp;DYN_ARGS=TRUE&amp;DOC_NAME=FAT:FQL_AUDITING_CLIENT_TEMPLATE.FAT&amp;display_string=Audit&amp;VAR:KEY=CLGRYBUBOJ&amp;VAR:QUERY=RkZfQ0FQRVgoUVRSLC0zUSk=&amp;WINDOW=FIRST_POPUP&amp;HEIGHT=450&amp;WIDTH=450&amp;START_MAXIMIZED=FALS","E&amp;VAR:CALENDAR=US&amp;VAR:SYMBOL=DPM&amp;VAR:INDEX=0"}</definedName>
    <definedName name="_176__FDSAUDITLINK__" hidden="1">{"fdsup://directions/FAT Viewer?action=UPDATE&amp;creator=factset&amp;DYN_ARGS=TRUE&amp;DOC_NAME=FAT:FQL_AUDITING_CLIENT_TEMPLATE.FAT&amp;display_string=Audit&amp;VAR:KEY=CLGRYBUBOJ&amp;VAR:QUERY=RkZfQ0FQRVgoUVRSLC0zUSk=&amp;WINDOW=FIRST_POPUP&amp;HEIGHT=450&amp;WIDTH=450&amp;START_MAXIMIZED=FALS","E&amp;VAR:CALENDAR=US&amp;VAR:SYMBOL=DPM&amp;VAR:INDEX=0"}</definedName>
    <definedName name="_177__FDSAUDITLINK__" localSheetId="1" hidden="1">{"fdsup://directions/FAT Viewer?action=UPDATE&amp;creator=factset&amp;DYN_ARGS=TRUE&amp;DOC_NAME=FAT:FQL_AUDITING_CLIENT_TEMPLATE.FAT&amp;display_string=Audit&amp;VAR:KEY=WTQFQXQBEZ&amp;VAR:QUERY=RkZfQ0FQRVgoUVRSLDBRKQ==&amp;WINDOW=FIRST_POPUP&amp;HEIGHT=450&amp;WIDTH=450&amp;START_MAXIMIZED=FALS","E&amp;VAR:CALENDAR=US&amp;VAR:SYMBOL=DEP&amp;VAR:INDEX=0"}</definedName>
    <definedName name="_177__FDSAUDITLINK__" localSheetId="3" hidden="1">{"fdsup://directions/FAT Viewer?action=UPDATE&amp;creator=factset&amp;DYN_ARGS=TRUE&amp;DOC_NAME=FAT:FQL_AUDITING_CLIENT_TEMPLATE.FAT&amp;display_string=Audit&amp;VAR:KEY=WTQFQXQBEZ&amp;VAR:QUERY=RkZfQ0FQRVgoUVRSLDBRKQ==&amp;WINDOW=FIRST_POPUP&amp;HEIGHT=450&amp;WIDTH=450&amp;START_MAXIMIZED=FALS","E&amp;VAR:CALENDAR=US&amp;VAR:SYMBOL=DEP&amp;VAR:INDEX=0"}</definedName>
    <definedName name="_177__FDSAUDITLINK__" hidden="1">{"fdsup://directions/FAT Viewer?action=UPDATE&amp;creator=factset&amp;DYN_ARGS=TRUE&amp;DOC_NAME=FAT:FQL_AUDITING_CLIENT_TEMPLATE.FAT&amp;display_string=Audit&amp;VAR:KEY=WTQFQXQBEZ&amp;VAR:QUERY=RkZfQ0FQRVgoUVRSLDBRKQ==&amp;WINDOW=FIRST_POPUP&amp;HEIGHT=450&amp;WIDTH=450&amp;START_MAXIMIZED=FALS","E&amp;VAR:CALENDAR=US&amp;VAR:SYMBOL=DEP&amp;VAR:INDEX=0"}</definedName>
    <definedName name="_178__FDSAUDITLINK__" localSheetId="1" hidden="1">{"fdsup://directions/FAT Viewer?action=UPDATE&amp;creator=factset&amp;DYN_ARGS=TRUE&amp;DOC_NAME=FAT:FQL_AUDITING_CLIENT_TEMPLATE.FAT&amp;display_string=Audit&amp;VAR:KEY=ETIHQFITOP&amp;VAR:QUERY=RkZfQ0FQRVgoUVRSLC0xUSk=&amp;WINDOW=FIRST_POPUP&amp;HEIGHT=450&amp;WIDTH=450&amp;START_MAXIMIZED=FALS","E&amp;VAR:CALENDAR=US&amp;VAR:SYMBOL=DEP&amp;VAR:INDEX=0"}</definedName>
    <definedName name="_178__FDSAUDITLINK__" localSheetId="3" hidden="1">{"fdsup://directions/FAT Viewer?action=UPDATE&amp;creator=factset&amp;DYN_ARGS=TRUE&amp;DOC_NAME=FAT:FQL_AUDITING_CLIENT_TEMPLATE.FAT&amp;display_string=Audit&amp;VAR:KEY=ETIHQFITOP&amp;VAR:QUERY=RkZfQ0FQRVgoUVRSLC0xUSk=&amp;WINDOW=FIRST_POPUP&amp;HEIGHT=450&amp;WIDTH=450&amp;START_MAXIMIZED=FALS","E&amp;VAR:CALENDAR=US&amp;VAR:SYMBOL=DEP&amp;VAR:INDEX=0"}</definedName>
    <definedName name="_178__FDSAUDITLINK__" hidden="1">{"fdsup://directions/FAT Viewer?action=UPDATE&amp;creator=factset&amp;DYN_ARGS=TRUE&amp;DOC_NAME=FAT:FQL_AUDITING_CLIENT_TEMPLATE.FAT&amp;display_string=Audit&amp;VAR:KEY=ETIHQFITOP&amp;VAR:QUERY=RkZfQ0FQRVgoUVRSLC0xUSk=&amp;WINDOW=FIRST_POPUP&amp;HEIGHT=450&amp;WIDTH=450&amp;START_MAXIMIZED=FALS","E&amp;VAR:CALENDAR=US&amp;VAR:SYMBOL=DEP&amp;VAR:INDEX=0"}</definedName>
    <definedName name="_179__FDSAUDITLINK__" localSheetId="1" hidden="1">{"fdsup://directions/FAT Viewer?action=UPDATE&amp;creator=factset&amp;DYN_ARGS=TRUE&amp;DOC_NAME=FAT:FQL_AUDITING_CLIENT_TEMPLATE.FAT&amp;display_string=Audit&amp;VAR:KEY=ORIJKZEDGL&amp;VAR:QUERY=RkZfQ0FQRVgoUVRSLC0yUSk=&amp;WINDOW=FIRST_POPUP&amp;HEIGHT=450&amp;WIDTH=450&amp;START_MAXIMIZED=FALS","E&amp;VAR:CALENDAR=US&amp;VAR:SYMBOL=DEP&amp;VAR:INDEX=0"}</definedName>
    <definedName name="_179__FDSAUDITLINK__" localSheetId="3" hidden="1">{"fdsup://directions/FAT Viewer?action=UPDATE&amp;creator=factset&amp;DYN_ARGS=TRUE&amp;DOC_NAME=FAT:FQL_AUDITING_CLIENT_TEMPLATE.FAT&amp;display_string=Audit&amp;VAR:KEY=ORIJKZEDGL&amp;VAR:QUERY=RkZfQ0FQRVgoUVRSLC0yUSk=&amp;WINDOW=FIRST_POPUP&amp;HEIGHT=450&amp;WIDTH=450&amp;START_MAXIMIZED=FALS","E&amp;VAR:CALENDAR=US&amp;VAR:SYMBOL=DEP&amp;VAR:INDEX=0"}</definedName>
    <definedName name="_179__FDSAUDITLINK__" hidden="1">{"fdsup://directions/FAT Viewer?action=UPDATE&amp;creator=factset&amp;DYN_ARGS=TRUE&amp;DOC_NAME=FAT:FQL_AUDITING_CLIENT_TEMPLATE.FAT&amp;display_string=Audit&amp;VAR:KEY=ORIJKZEDGL&amp;VAR:QUERY=RkZfQ0FQRVgoUVRSLC0yUSk=&amp;WINDOW=FIRST_POPUP&amp;HEIGHT=450&amp;WIDTH=450&amp;START_MAXIMIZED=FALS","E&amp;VAR:CALENDAR=US&amp;VAR:SYMBOL=DEP&amp;VAR:INDEX=0"}</definedName>
    <definedName name="_18__123Graph_BTAX_CREDIT" hidden="1">#REF!</definedName>
    <definedName name="_18__123Graph_CCONTRACT_BY_B_U" hidden="1">#REF!</definedName>
    <definedName name="_18__123Graph_CSENS_COMPARISON" hidden="1">#REF!</definedName>
    <definedName name="_18__123Graph_EOP75_25PRICE" hidden="1">#REF!</definedName>
    <definedName name="_18__FDSAUDITLINK__" localSheetId="1" hidden="1">{"fdsup://directions/FAT Viewer?action=UPDATE&amp;creator=factset&amp;DYN_ARGS=TRUE&amp;DOC_NAME=FAT:FQL_AUDITING_CLIENT_TEMPLATE.FAT&amp;display_string=Audit&amp;VAR:KEY=SLSJETOHCD&amp;VAR:QUERY=RkZfQ0FQRVgoUVRSLC0xUSk=&amp;WINDOW=FIRST_POPUP&amp;HEIGHT=450&amp;WIDTH=450&amp;START_MAXIMIZED=FALS","E&amp;VAR:CALENDAR=US&amp;VAR:SYMBOL=LGCY&amp;VAR:INDEX=0"}</definedName>
    <definedName name="_18__FDSAUDITLINK__" localSheetId="3" hidden="1">{"fdsup://directions/FAT Viewer?action=UPDATE&amp;creator=factset&amp;DYN_ARGS=TRUE&amp;DOC_NAME=FAT:FQL_AUDITING_CLIENT_TEMPLATE.FAT&amp;display_string=Audit&amp;VAR:KEY=SLSJETOHCD&amp;VAR:QUERY=RkZfQ0FQRVgoUVRSLC0xUSk=&amp;WINDOW=FIRST_POPUP&amp;HEIGHT=450&amp;WIDTH=450&amp;START_MAXIMIZED=FALS","E&amp;VAR:CALENDAR=US&amp;VAR:SYMBOL=LGCY&amp;VAR:INDEX=0"}</definedName>
    <definedName name="_18__FDSAUDITLINK__" hidden="1">{"fdsup://directions/FAT Viewer?action=UPDATE&amp;creator=factset&amp;DYN_ARGS=TRUE&amp;DOC_NAME=FAT:FQL_AUDITING_CLIENT_TEMPLATE.FAT&amp;display_string=Audit&amp;VAR:KEY=SLSJETOHCD&amp;VAR:QUERY=RkZfQ0FQRVgoUVRSLC0xUSk=&amp;WINDOW=FIRST_POPUP&amp;HEIGHT=450&amp;WIDTH=450&amp;START_MAXIMIZED=FALS","E&amp;VAR:CALENDAR=US&amp;VAR:SYMBOL=LGCY&amp;VAR:INDEX=0"}</definedName>
    <definedName name="_180__FDSAUDITLINK__" localSheetId="1" hidden="1">{"fdsup://directions/FAT Viewer?action=UPDATE&amp;creator=factset&amp;DYN_ARGS=TRUE&amp;DOC_NAME=FAT:FQL_AUDITING_CLIENT_TEMPLATE.FAT&amp;display_string=Audit&amp;VAR:KEY=IXWXABCNQP&amp;VAR:QUERY=RkZfQ0FQRVgoUVRSLC0zUSk=&amp;WINDOW=FIRST_POPUP&amp;HEIGHT=450&amp;WIDTH=450&amp;START_MAXIMIZED=FALS","E&amp;VAR:CALENDAR=US&amp;VAR:SYMBOL=DEP&amp;VAR:INDEX=0"}</definedName>
    <definedName name="_180__FDSAUDITLINK__" localSheetId="3" hidden="1">{"fdsup://directions/FAT Viewer?action=UPDATE&amp;creator=factset&amp;DYN_ARGS=TRUE&amp;DOC_NAME=FAT:FQL_AUDITING_CLIENT_TEMPLATE.FAT&amp;display_string=Audit&amp;VAR:KEY=IXWXABCNQP&amp;VAR:QUERY=RkZfQ0FQRVgoUVRSLC0zUSk=&amp;WINDOW=FIRST_POPUP&amp;HEIGHT=450&amp;WIDTH=450&amp;START_MAXIMIZED=FALS","E&amp;VAR:CALENDAR=US&amp;VAR:SYMBOL=DEP&amp;VAR:INDEX=0"}</definedName>
    <definedName name="_180__FDSAUDITLINK__" hidden="1">{"fdsup://directions/FAT Viewer?action=UPDATE&amp;creator=factset&amp;DYN_ARGS=TRUE&amp;DOC_NAME=FAT:FQL_AUDITING_CLIENT_TEMPLATE.FAT&amp;display_string=Audit&amp;VAR:KEY=IXWXABCNQP&amp;VAR:QUERY=RkZfQ0FQRVgoUVRSLC0zUSk=&amp;WINDOW=FIRST_POPUP&amp;HEIGHT=450&amp;WIDTH=450&amp;START_MAXIMIZED=FALS","E&amp;VAR:CALENDAR=US&amp;VAR:SYMBOL=DEP&amp;VAR:INDEX=0"}</definedName>
    <definedName name="_181__FDSAUDITLINK__" localSheetId="1" hidden="1">{"fdsup://directions/FAT Viewer?action=UPDATE&amp;creator=factset&amp;DYN_ARGS=TRUE&amp;DOC_NAME=FAT:FQL_AUDITING_CLIENT_TEMPLATE.FAT&amp;display_string=Audit&amp;VAR:KEY=QFAZMXKHAR&amp;VAR:QUERY=RkZfQ0FQRVgoUVRSLDBRKQ==&amp;WINDOW=FIRST_POPUP&amp;HEIGHT=450&amp;WIDTH=450&amp;START_MAXIMIZED=FALS","E&amp;VAR:CALENDAR=US&amp;VAR:SYMBOL=CQP&amp;VAR:INDEX=0"}</definedName>
    <definedName name="_181__FDSAUDITLINK__" localSheetId="3" hidden="1">{"fdsup://directions/FAT Viewer?action=UPDATE&amp;creator=factset&amp;DYN_ARGS=TRUE&amp;DOC_NAME=FAT:FQL_AUDITING_CLIENT_TEMPLATE.FAT&amp;display_string=Audit&amp;VAR:KEY=QFAZMXKHAR&amp;VAR:QUERY=RkZfQ0FQRVgoUVRSLDBRKQ==&amp;WINDOW=FIRST_POPUP&amp;HEIGHT=450&amp;WIDTH=450&amp;START_MAXIMIZED=FALS","E&amp;VAR:CALENDAR=US&amp;VAR:SYMBOL=CQP&amp;VAR:INDEX=0"}</definedName>
    <definedName name="_181__FDSAUDITLINK__" hidden="1">{"fdsup://directions/FAT Viewer?action=UPDATE&amp;creator=factset&amp;DYN_ARGS=TRUE&amp;DOC_NAME=FAT:FQL_AUDITING_CLIENT_TEMPLATE.FAT&amp;display_string=Audit&amp;VAR:KEY=QFAZMXKHAR&amp;VAR:QUERY=RkZfQ0FQRVgoUVRSLDBRKQ==&amp;WINDOW=FIRST_POPUP&amp;HEIGHT=450&amp;WIDTH=450&amp;START_MAXIMIZED=FALS","E&amp;VAR:CALENDAR=US&amp;VAR:SYMBOL=CQP&amp;VAR:INDEX=0"}</definedName>
    <definedName name="_182__FDSAUDITLINK__" localSheetId="1" hidden="1">{"fdsup://directions/FAT Viewer?action=UPDATE&amp;creator=factset&amp;DYN_ARGS=TRUE&amp;DOC_NAME=FAT:FQL_AUDITING_CLIENT_TEMPLATE.FAT&amp;display_string=Audit&amp;VAR:KEY=ULSJOLSFOZ&amp;VAR:QUERY=RkZfQ0FQRVgoUVRSLC0xUSk=&amp;WINDOW=FIRST_POPUP&amp;HEIGHT=450&amp;WIDTH=450&amp;START_MAXIMIZED=FALS","E&amp;VAR:CALENDAR=US&amp;VAR:SYMBOL=CQP&amp;VAR:INDEX=0"}</definedName>
    <definedName name="_182__FDSAUDITLINK__" localSheetId="3" hidden="1">{"fdsup://directions/FAT Viewer?action=UPDATE&amp;creator=factset&amp;DYN_ARGS=TRUE&amp;DOC_NAME=FAT:FQL_AUDITING_CLIENT_TEMPLATE.FAT&amp;display_string=Audit&amp;VAR:KEY=ULSJOLSFOZ&amp;VAR:QUERY=RkZfQ0FQRVgoUVRSLC0xUSk=&amp;WINDOW=FIRST_POPUP&amp;HEIGHT=450&amp;WIDTH=450&amp;START_MAXIMIZED=FALS","E&amp;VAR:CALENDAR=US&amp;VAR:SYMBOL=CQP&amp;VAR:INDEX=0"}</definedName>
    <definedName name="_182__FDSAUDITLINK__" hidden="1">{"fdsup://directions/FAT Viewer?action=UPDATE&amp;creator=factset&amp;DYN_ARGS=TRUE&amp;DOC_NAME=FAT:FQL_AUDITING_CLIENT_TEMPLATE.FAT&amp;display_string=Audit&amp;VAR:KEY=ULSJOLSFOZ&amp;VAR:QUERY=RkZfQ0FQRVgoUVRSLC0xUSk=&amp;WINDOW=FIRST_POPUP&amp;HEIGHT=450&amp;WIDTH=450&amp;START_MAXIMIZED=FALS","E&amp;VAR:CALENDAR=US&amp;VAR:SYMBOL=CQP&amp;VAR:INDEX=0"}</definedName>
    <definedName name="_183__FDSAUDITLINK__" localSheetId="1" hidden="1">{"fdsup://directions/FAT Viewer?action=UPDATE&amp;creator=factset&amp;DYN_ARGS=TRUE&amp;DOC_NAME=FAT:FQL_AUDITING_CLIENT_TEMPLATE.FAT&amp;display_string=Audit&amp;VAR:KEY=KHEXYBOZUL&amp;VAR:QUERY=RkZfQ0FQRVgoUVRSLC0yUSk=&amp;WINDOW=FIRST_POPUP&amp;HEIGHT=450&amp;WIDTH=450&amp;START_MAXIMIZED=FALS","E&amp;VAR:CALENDAR=US&amp;VAR:SYMBOL=CQP&amp;VAR:INDEX=0"}</definedName>
    <definedName name="_183__FDSAUDITLINK__" localSheetId="3" hidden="1">{"fdsup://directions/FAT Viewer?action=UPDATE&amp;creator=factset&amp;DYN_ARGS=TRUE&amp;DOC_NAME=FAT:FQL_AUDITING_CLIENT_TEMPLATE.FAT&amp;display_string=Audit&amp;VAR:KEY=KHEXYBOZUL&amp;VAR:QUERY=RkZfQ0FQRVgoUVRSLC0yUSk=&amp;WINDOW=FIRST_POPUP&amp;HEIGHT=450&amp;WIDTH=450&amp;START_MAXIMIZED=FALS","E&amp;VAR:CALENDAR=US&amp;VAR:SYMBOL=CQP&amp;VAR:INDEX=0"}</definedName>
    <definedName name="_183__FDSAUDITLINK__" hidden="1">{"fdsup://directions/FAT Viewer?action=UPDATE&amp;creator=factset&amp;DYN_ARGS=TRUE&amp;DOC_NAME=FAT:FQL_AUDITING_CLIENT_TEMPLATE.FAT&amp;display_string=Audit&amp;VAR:KEY=KHEXYBOZUL&amp;VAR:QUERY=RkZfQ0FQRVgoUVRSLC0yUSk=&amp;WINDOW=FIRST_POPUP&amp;HEIGHT=450&amp;WIDTH=450&amp;START_MAXIMIZED=FALS","E&amp;VAR:CALENDAR=US&amp;VAR:SYMBOL=CQP&amp;VAR:INDEX=0"}</definedName>
    <definedName name="_184__FDSAUDITLINK__" localSheetId="1" hidden="1">{"fdsup://directions/FAT Viewer?action=UPDATE&amp;creator=factset&amp;DYN_ARGS=TRUE&amp;DOC_NAME=FAT:FQL_AUDITING_CLIENT_TEMPLATE.FAT&amp;display_string=Audit&amp;VAR:KEY=AXCFMPYZQP&amp;VAR:QUERY=RkZfQ0FQRVgoUVRSLC0zUSk=&amp;WINDOW=FIRST_POPUP&amp;HEIGHT=450&amp;WIDTH=450&amp;START_MAXIMIZED=FALS","E&amp;VAR:CALENDAR=US&amp;VAR:SYMBOL=CQP&amp;VAR:INDEX=0"}</definedName>
    <definedName name="_184__FDSAUDITLINK__" localSheetId="3" hidden="1">{"fdsup://directions/FAT Viewer?action=UPDATE&amp;creator=factset&amp;DYN_ARGS=TRUE&amp;DOC_NAME=FAT:FQL_AUDITING_CLIENT_TEMPLATE.FAT&amp;display_string=Audit&amp;VAR:KEY=AXCFMPYZQP&amp;VAR:QUERY=RkZfQ0FQRVgoUVRSLC0zUSk=&amp;WINDOW=FIRST_POPUP&amp;HEIGHT=450&amp;WIDTH=450&amp;START_MAXIMIZED=FALS","E&amp;VAR:CALENDAR=US&amp;VAR:SYMBOL=CQP&amp;VAR:INDEX=0"}</definedName>
    <definedName name="_184__FDSAUDITLINK__" hidden="1">{"fdsup://directions/FAT Viewer?action=UPDATE&amp;creator=factset&amp;DYN_ARGS=TRUE&amp;DOC_NAME=FAT:FQL_AUDITING_CLIENT_TEMPLATE.FAT&amp;display_string=Audit&amp;VAR:KEY=AXCFMPYZQP&amp;VAR:QUERY=RkZfQ0FQRVgoUVRSLC0zUSk=&amp;WINDOW=FIRST_POPUP&amp;HEIGHT=450&amp;WIDTH=450&amp;START_MAXIMIZED=FALS","E&amp;VAR:CALENDAR=US&amp;VAR:SYMBOL=CQP&amp;VAR:INDEX=0"}</definedName>
    <definedName name="_185__FDSAUDITLINK__" localSheetId="1" hidden="1">{"fdsup://directions/FAT Viewer?action=UPDATE&amp;creator=factset&amp;DYN_ARGS=TRUE&amp;DOC_NAME=FAT:FQL_AUDITING_CLIENT_TEMPLATE.FAT&amp;display_string=Audit&amp;VAR:KEY=ITQBODQZYH&amp;VAR:QUERY=RkZfQ0FQRVgoUVRSLDBRKQ==&amp;WINDOW=FIRST_POPUP&amp;HEIGHT=450&amp;WIDTH=450&amp;START_MAXIMIZED=FALS","E&amp;VAR:CALENDAR=US&amp;VAR:SYMBOL=CPNO&amp;VAR:INDEX=0"}</definedName>
    <definedName name="_185__FDSAUDITLINK__" localSheetId="3" hidden="1">{"fdsup://directions/FAT Viewer?action=UPDATE&amp;creator=factset&amp;DYN_ARGS=TRUE&amp;DOC_NAME=FAT:FQL_AUDITING_CLIENT_TEMPLATE.FAT&amp;display_string=Audit&amp;VAR:KEY=ITQBODQZYH&amp;VAR:QUERY=RkZfQ0FQRVgoUVRSLDBRKQ==&amp;WINDOW=FIRST_POPUP&amp;HEIGHT=450&amp;WIDTH=450&amp;START_MAXIMIZED=FALS","E&amp;VAR:CALENDAR=US&amp;VAR:SYMBOL=CPNO&amp;VAR:INDEX=0"}</definedName>
    <definedName name="_185__FDSAUDITLINK__" hidden="1">{"fdsup://directions/FAT Viewer?action=UPDATE&amp;creator=factset&amp;DYN_ARGS=TRUE&amp;DOC_NAME=FAT:FQL_AUDITING_CLIENT_TEMPLATE.FAT&amp;display_string=Audit&amp;VAR:KEY=ITQBODQZYH&amp;VAR:QUERY=RkZfQ0FQRVgoUVRSLDBRKQ==&amp;WINDOW=FIRST_POPUP&amp;HEIGHT=450&amp;WIDTH=450&amp;START_MAXIMIZED=FALS","E&amp;VAR:CALENDAR=US&amp;VAR:SYMBOL=CPNO&amp;VAR:INDEX=0"}</definedName>
    <definedName name="_186__FDSAUDITLINK__" localSheetId="1" hidden="1">{"fdsup://directions/FAT Viewer?action=UPDATE&amp;creator=factset&amp;DYN_ARGS=TRUE&amp;DOC_NAME=FAT:FQL_AUDITING_CLIENT_TEMPLATE.FAT&amp;display_string=Audit&amp;VAR:KEY=YRCZEBGRML&amp;VAR:QUERY=RkZfQ0FQRVgoUVRSLC0xUSk=&amp;WINDOW=FIRST_POPUP&amp;HEIGHT=450&amp;WIDTH=450&amp;START_MAXIMIZED=FALS","E&amp;VAR:CALENDAR=US&amp;VAR:SYMBOL=CPNO&amp;VAR:INDEX=0"}</definedName>
    <definedName name="_186__FDSAUDITLINK__" localSheetId="3" hidden="1">{"fdsup://directions/FAT Viewer?action=UPDATE&amp;creator=factset&amp;DYN_ARGS=TRUE&amp;DOC_NAME=FAT:FQL_AUDITING_CLIENT_TEMPLATE.FAT&amp;display_string=Audit&amp;VAR:KEY=YRCZEBGRML&amp;VAR:QUERY=RkZfQ0FQRVgoUVRSLC0xUSk=&amp;WINDOW=FIRST_POPUP&amp;HEIGHT=450&amp;WIDTH=450&amp;START_MAXIMIZED=FALS","E&amp;VAR:CALENDAR=US&amp;VAR:SYMBOL=CPNO&amp;VAR:INDEX=0"}</definedName>
    <definedName name="_186__FDSAUDITLINK__" hidden="1">{"fdsup://directions/FAT Viewer?action=UPDATE&amp;creator=factset&amp;DYN_ARGS=TRUE&amp;DOC_NAME=FAT:FQL_AUDITING_CLIENT_TEMPLATE.FAT&amp;display_string=Audit&amp;VAR:KEY=YRCZEBGRML&amp;VAR:QUERY=RkZfQ0FQRVgoUVRSLC0xUSk=&amp;WINDOW=FIRST_POPUP&amp;HEIGHT=450&amp;WIDTH=450&amp;START_MAXIMIZED=FALS","E&amp;VAR:CALENDAR=US&amp;VAR:SYMBOL=CPNO&amp;VAR:INDEX=0"}</definedName>
    <definedName name="_187__FDSAUDITLINK__" localSheetId="1" hidden="1">{"fdsup://directions/FAT Viewer?action=UPDATE&amp;creator=factset&amp;DYN_ARGS=TRUE&amp;DOC_NAME=FAT:FQL_AUDITING_CLIENT_TEMPLATE.FAT&amp;display_string=Audit&amp;VAR:KEY=IFQZWBGXGF&amp;VAR:QUERY=RkZfQ0FQRVgoUVRSLC0yUSk=&amp;WINDOW=FIRST_POPUP&amp;HEIGHT=450&amp;WIDTH=450&amp;START_MAXIMIZED=FALS","E&amp;VAR:CALENDAR=US&amp;VAR:SYMBOL=CPNO&amp;VAR:INDEX=0"}</definedName>
    <definedName name="_187__FDSAUDITLINK__" localSheetId="3" hidden="1">{"fdsup://directions/FAT Viewer?action=UPDATE&amp;creator=factset&amp;DYN_ARGS=TRUE&amp;DOC_NAME=FAT:FQL_AUDITING_CLIENT_TEMPLATE.FAT&amp;display_string=Audit&amp;VAR:KEY=IFQZWBGXGF&amp;VAR:QUERY=RkZfQ0FQRVgoUVRSLC0yUSk=&amp;WINDOW=FIRST_POPUP&amp;HEIGHT=450&amp;WIDTH=450&amp;START_MAXIMIZED=FALS","E&amp;VAR:CALENDAR=US&amp;VAR:SYMBOL=CPNO&amp;VAR:INDEX=0"}</definedName>
    <definedName name="_187__FDSAUDITLINK__" hidden="1">{"fdsup://directions/FAT Viewer?action=UPDATE&amp;creator=factset&amp;DYN_ARGS=TRUE&amp;DOC_NAME=FAT:FQL_AUDITING_CLIENT_TEMPLATE.FAT&amp;display_string=Audit&amp;VAR:KEY=IFQZWBGXGF&amp;VAR:QUERY=RkZfQ0FQRVgoUVRSLC0yUSk=&amp;WINDOW=FIRST_POPUP&amp;HEIGHT=450&amp;WIDTH=450&amp;START_MAXIMIZED=FALS","E&amp;VAR:CALENDAR=US&amp;VAR:SYMBOL=CPNO&amp;VAR:INDEX=0"}</definedName>
    <definedName name="_188__FDSAUDITLINK__" localSheetId="1" hidden="1">{"fdsup://directions/FAT Viewer?action=UPDATE&amp;creator=factset&amp;DYN_ARGS=TRUE&amp;DOC_NAME=FAT:FQL_AUDITING_CLIENT_TEMPLATE.FAT&amp;display_string=Audit&amp;VAR:KEY=KLKDEXEBOJ&amp;VAR:QUERY=RkZfQ0FQRVgoUVRSLC0zUSk=&amp;WINDOW=FIRST_POPUP&amp;HEIGHT=450&amp;WIDTH=450&amp;START_MAXIMIZED=FALS","E&amp;VAR:CALENDAR=US&amp;VAR:SYMBOL=CPNO&amp;VAR:INDEX=0"}</definedName>
    <definedName name="_188__FDSAUDITLINK__" localSheetId="3" hidden="1">{"fdsup://directions/FAT Viewer?action=UPDATE&amp;creator=factset&amp;DYN_ARGS=TRUE&amp;DOC_NAME=FAT:FQL_AUDITING_CLIENT_TEMPLATE.FAT&amp;display_string=Audit&amp;VAR:KEY=KLKDEXEBOJ&amp;VAR:QUERY=RkZfQ0FQRVgoUVRSLC0zUSk=&amp;WINDOW=FIRST_POPUP&amp;HEIGHT=450&amp;WIDTH=450&amp;START_MAXIMIZED=FALS","E&amp;VAR:CALENDAR=US&amp;VAR:SYMBOL=CPNO&amp;VAR:INDEX=0"}</definedName>
    <definedName name="_188__FDSAUDITLINK__" hidden="1">{"fdsup://directions/FAT Viewer?action=UPDATE&amp;creator=factset&amp;DYN_ARGS=TRUE&amp;DOC_NAME=FAT:FQL_AUDITING_CLIENT_TEMPLATE.FAT&amp;display_string=Audit&amp;VAR:KEY=KLKDEXEBOJ&amp;VAR:QUERY=RkZfQ0FQRVgoUVRSLC0zUSk=&amp;WINDOW=FIRST_POPUP&amp;HEIGHT=450&amp;WIDTH=450&amp;START_MAXIMIZED=FALS","E&amp;VAR:CALENDAR=US&amp;VAR:SYMBOL=CPNO&amp;VAR:INDEX=0"}</definedName>
    <definedName name="_189__FDSAUDITLINK__" localSheetId="1" hidden="1">{"fdsup://directions/FAT Viewer?action=UPDATE&amp;creator=factset&amp;DYN_ARGS=TRUE&amp;DOC_NAME=FAT:FQL_AUDITING_CLIENT_TEMPLATE.FAT&amp;display_string=Audit&amp;VAR:KEY=KBINGZKXYB&amp;VAR:QUERY=RkZfQ0FQRVgoUVRSLDBRKQ==&amp;WINDOW=FIRST_POPUP&amp;HEIGHT=450&amp;WIDTH=450&amp;START_MAXIMIZED=FALS","E&amp;VAR:CALENDAR=US&amp;VAR:SYMBOL=CPLP&amp;VAR:INDEX=0"}</definedName>
    <definedName name="_189__FDSAUDITLINK__" localSheetId="3" hidden="1">{"fdsup://directions/FAT Viewer?action=UPDATE&amp;creator=factset&amp;DYN_ARGS=TRUE&amp;DOC_NAME=FAT:FQL_AUDITING_CLIENT_TEMPLATE.FAT&amp;display_string=Audit&amp;VAR:KEY=KBINGZKXYB&amp;VAR:QUERY=RkZfQ0FQRVgoUVRSLDBRKQ==&amp;WINDOW=FIRST_POPUP&amp;HEIGHT=450&amp;WIDTH=450&amp;START_MAXIMIZED=FALS","E&amp;VAR:CALENDAR=US&amp;VAR:SYMBOL=CPLP&amp;VAR:INDEX=0"}</definedName>
    <definedName name="_189__FDSAUDITLINK__" hidden="1">{"fdsup://directions/FAT Viewer?action=UPDATE&amp;creator=factset&amp;DYN_ARGS=TRUE&amp;DOC_NAME=FAT:FQL_AUDITING_CLIENT_TEMPLATE.FAT&amp;display_string=Audit&amp;VAR:KEY=KBINGZKXYB&amp;VAR:QUERY=RkZfQ0FQRVgoUVRSLDBRKQ==&amp;WINDOW=FIRST_POPUP&amp;HEIGHT=450&amp;WIDTH=450&amp;START_MAXIMIZED=FALS","E&amp;VAR:CALENDAR=US&amp;VAR:SYMBOL=CPLP&amp;VAR:INDEX=0"}</definedName>
    <definedName name="_19__123Graph_BWAGES_BY_B_U" hidden="1">#REF!</definedName>
    <definedName name="_19__123Graph_CQRE_S_BY_CO." hidden="1">#REF!</definedName>
    <definedName name="_19__123Graph_CSUPPLIES_BY_B_U" hidden="1">#REF!</definedName>
    <definedName name="_19__123Graph_EOP75_25RETURN" hidden="1">#REF!</definedName>
    <definedName name="_19__FDSAUDITLINK__" localSheetId="1" hidden="1">{"fdsup://directions/FAT Viewer?action=UPDATE&amp;creator=factset&amp;DYN_ARGS=TRUE&amp;DOC_NAME=FAT:FQL_AUDITING_CLIENT_TEMPLATE.FAT&amp;display_string=Audit&amp;VAR:KEY=GHKPEJYZWL&amp;VAR:QUERY=RkZfQ0FQRVgoUVRSLC0yUSk=&amp;WINDOW=FIRST_POPUP&amp;HEIGHT=450&amp;WIDTH=450&amp;START_MAXIMIZED=FALS","E&amp;VAR:CALENDAR=US&amp;VAR:SYMBOL=LGCY&amp;VAR:INDEX=0"}</definedName>
    <definedName name="_19__FDSAUDITLINK__" localSheetId="3" hidden="1">{"fdsup://directions/FAT Viewer?action=UPDATE&amp;creator=factset&amp;DYN_ARGS=TRUE&amp;DOC_NAME=FAT:FQL_AUDITING_CLIENT_TEMPLATE.FAT&amp;display_string=Audit&amp;VAR:KEY=GHKPEJYZWL&amp;VAR:QUERY=RkZfQ0FQRVgoUVRSLC0yUSk=&amp;WINDOW=FIRST_POPUP&amp;HEIGHT=450&amp;WIDTH=450&amp;START_MAXIMIZED=FALS","E&amp;VAR:CALENDAR=US&amp;VAR:SYMBOL=LGCY&amp;VAR:INDEX=0"}</definedName>
    <definedName name="_19__FDSAUDITLINK__" hidden="1">{"fdsup://directions/FAT Viewer?action=UPDATE&amp;creator=factset&amp;DYN_ARGS=TRUE&amp;DOC_NAME=FAT:FQL_AUDITING_CLIENT_TEMPLATE.FAT&amp;display_string=Audit&amp;VAR:KEY=GHKPEJYZWL&amp;VAR:QUERY=RkZfQ0FQRVgoUVRSLC0yUSk=&amp;WINDOW=FIRST_POPUP&amp;HEIGHT=450&amp;WIDTH=450&amp;START_MAXIMIZED=FALS","E&amp;VAR:CALENDAR=US&amp;VAR:SYMBOL=LGCY&amp;VAR:INDEX=0"}</definedName>
    <definedName name="_190__FDSAUDITLINK__" localSheetId="1" hidden="1">{"fdsup://directions/FAT Viewer?action=UPDATE&amp;creator=factset&amp;DYN_ARGS=TRUE&amp;DOC_NAME=FAT:FQL_AUDITING_CLIENT_TEMPLATE.FAT&amp;display_string=Audit&amp;VAR:KEY=CFILUHMTOT&amp;VAR:QUERY=RkZfQ0FQRVgoUVRSLC0xUSk=&amp;WINDOW=FIRST_POPUP&amp;HEIGHT=450&amp;WIDTH=450&amp;START_MAXIMIZED=FALS","E&amp;VAR:CALENDAR=US&amp;VAR:SYMBOL=CPLP&amp;VAR:INDEX=0"}</definedName>
    <definedName name="_190__FDSAUDITLINK__" localSheetId="3" hidden="1">{"fdsup://directions/FAT Viewer?action=UPDATE&amp;creator=factset&amp;DYN_ARGS=TRUE&amp;DOC_NAME=FAT:FQL_AUDITING_CLIENT_TEMPLATE.FAT&amp;display_string=Audit&amp;VAR:KEY=CFILUHMTOT&amp;VAR:QUERY=RkZfQ0FQRVgoUVRSLC0xUSk=&amp;WINDOW=FIRST_POPUP&amp;HEIGHT=450&amp;WIDTH=450&amp;START_MAXIMIZED=FALS","E&amp;VAR:CALENDAR=US&amp;VAR:SYMBOL=CPLP&amp;VAR:INDEX=0"}</definedName>
    <definedName name="_190__FDSAUDITLINK__" hidden="1">{"fdsup://directions/FAT Viewer?action=UPDATE&amp;creator=factset&amp;DYN_ARGS=TRUE&amp;DOC_NAME=FAT:FQL_AUDITING_CLIENT_TEMPLATE.FAT&amp;display_string=Audit&amp;VAR:KEY=CFILUHMTOT&amp;VAR:QUERY=RkZfQ0FQRVgoUVRSLC0xUSk=&amp;WINDOW=FIRST_POPUP&amp;HEIGHT=450&amp;WIDTH=450&amp;START_MAXIMIZED=FALS","E&amp;VAR:CALENDAR=US&amp;VAR:SYMBOL=CPLP&amp;VAR:INDEX=0"}</definedName>
    <definedName name="_191__FDSAUDITLINK__" localSheetId="1" hidden="1">{"fdsup://directions/FAT Viewer?action=UPDATE&amp;creator=factset&amp;DYN_ARGS=TRUE&amp;DOC_NAME=FAT:FQL_AUDITING_CLIENT_TEMPLATE.FAT&amp;display_string=Audit&amp;VAR:KEY=UTYZAXQFKX&amp;VAR:QUERY=RkZfQ0FQRVgoUVRSLC0yUSk=&amp;WINDOW=FIRST_POPUP&amp;HEIGHT=450&amp;WIDTH=450&amp;START_MAXIMIZED=FALS","E&amp;VAR:CALENDAR=US&amp;VAR:SYMBOL=CPLP&amp;VAR:INDEX=0"}</definedName>
    <definedName name="_191__FDSAUDITLINK__" localSheetId="3" hidden="1">{"fdsup://directions/FAT Viewer?action=UPDATE&amp;creator=factset&amp;DYN_ARGS=TRUE&amp;DOC_NAME=FAT:FQL_AUDITING_CLIENT_TEMPLATE.FAT&amp;display_string=Audit&amp;VAR:KEY=UTYZAXQFKX&amp;VAR:QUERY=RkZfQ0FQRVgoUVRSLC0yUSk=&amp;WINDOW=FIRST_POPUP&amp;HEIGHT=450&amp;WIDTH=450&amp;START_MAXIMIZED=FALS","E&amp;VAR:CALENDAR=US&amp;VAR:SYMBOL=CPLP&amp;VAR:INDEX=0"}</definedName>
    <definedName name="_191__FDSAUDITLINK__" hidden="1">{"fdsup://directions/FAT Viewer?action=UPDATE&amp;creator=factset&amp;DYN_ARGS=TRUE&amp;DOC_NAME=FAT:FQL_AUDITING_CLIENT_TEMPLATE.FAT&amp;display_string=Audit&amp;VAR:KEY=UTYZAXQFKX&amp;VAR:QUERY=RkZfQ0FQRVgoUVRSLC0yUSk=&amp;WINDOW=FIRST_POPUP&amp;HEIGHT=450&amp;WIDTH=450&amp;START_MAXIMIZED=FALS","E&amp;VAR:CALENDAR=US&amp;VAR:SYMBOL=CPLP&amp;VAR:INDEX=0"}</definedName>
    <definedName name="_192__FDSAUDITLINK__" localSheetId="1" hidden="1">{"fdsup://directions/FAT Viewer?action=UPDATE&amp;creator=factset&amp;DYN_ARGS=TRUE&amp;DOC_NAME=FAT:FQL_AUDITING_CLIENT_TEMPLATE.FAT&amp;display_string=Audit&amp;VAR:KEY=YJUJYLOROZ&amp;VAR:QUERY=RkZfQ0FQRVgoUVRSLC0zUSk=&amp;WINDOW=FIRST_POPUP&amp;HEIGHT=450&amp;WIDTH=450&amp;START_MAXIMIZED=FALS","E&amp;VAR:CALENDAR=US&amp;VAR:SYMBOL=CPLP&amp;VAR:INDEX=0"}</definedName>
    <definedName name="_192__FDSAUDITLINK__" localSheetId="3" hidden="1">{"fdsup://directions/FAT Viewer?action=UPDATE&amp;creator=factset&amp;DYN_ARGS=TRUE&amp;DOC_NAME=FAT:FQL_AUDITING_CLIENT_TEMPLATE.FAT&amp;display_string=Audit&amp;VAR:KEY=YJUJYLOROZ&amp;VAR:QUERY=RkZfQ0FQRVgoUVRSLC0zUSk=&amp;WINDOW=FIRST_POPUP&amp;HEIGHT=450&amp;WIDTH=450&amp;START_MAXIMIZED=FALS","E&amp;VAR:CALENDAR=US&amp;VAR:SYMBOL=CPLP&amp;VAR:INDEX=0"}</definedName>
    <definedName name="_192__FDSAUDITLINK__" hidden="1">{"fdsup://directions/FAT Viewer?action=UPDATE&amp;creator=factset&amp;DYN_ARGS=TRUE&amp;DOC_NAME=FAT:FQL_AUDITING_CLIENT_TEMPLATE.FAT&amp;display_string=Audit&amp;VAR:KEY=YJUJYLOROZ&amp;VAR:QUERY=RkZfQ0FQRVgoUVRSLC0zUSk=&amp;WINDOW=FIRST_POPUP&amp;HEIGHT=450&amp;WIDTH=450&amp;START_MAXIMIZED=FALS","E&amp;VAR:CALENDAR=US&amp;VAR:SYMBOL=CPLP&amp;VAR:INDEX=0"}</definedName>
    <definedName name="_193__FDSAUDITLINK__" localSheetId="1" hidden="1">{"fdsup://directions/FAT Viewer?action=UPDATE&amp;creator=factset&amp;DYN_ARGS=TRUE&amp;DOC_NAME=FAT:FQL_AUDITING_CLIENT_TEMPLATE.FAT&amp;display_string=Audit&amp;VAR:KEY=YLOVIBWHCF&amp;VAR:QUERY=RkZfQ0FQRVgoUVRSLDBRKQ==&amp;WINDOW=FIRST_POPUP&amp;HEIGHT=450&amp;WIDTH=450&amp;START_MAXIMIZED=FALS","E&amp;VAR:CALENDAR=US&amp;VAR:SYMBOL=CMLP&amp;VAR:INDEX=0"}</definedName>
    <definedName name="_193__FDSAUDITLINK__" localSheetId="3" hidden="1">{"fdsup://directions/FAT Viewer?action=UPDATE&amp;creator=factset&amp;DYN_ARGS=TRUE&amp;DOC_NAME=FAT:FQL_AUDITING_CLIENT_TEMPLATE.FAT&amp;display_string=Audit&amp;VAR:KEY=YLOVIBWHCF&amp;VAR:QUERY=RkZfQ0FQRVgoUVRSLDBRKQ==&amp;WINDOW=FIRST_POPUP&amp;HEIGHT=450&amp;WIDTH=450&amp;START_MAXIMIZED=FALS","E&amp;VAR:CALENDAR=US&amp;VAR:SYMBOL=CMLP&amp;VAR:INDEX=0"}</definedName>
    <definedName name="_193__FDSAUDITLINK__" hidden="1">{"fdsup://directions/FAT Viewer?action=UPDATE&amp;creator=factset&amp;DYN_ARGS=TRUE&amp;DOC_NAME=FAT:FQL_AUDITING_CLIENT_TEMPLATE.FAT&amp;display_string=Audit&amp;VAR:KEY=YLOVIBWHCF&amp;VAR:QUERY=RkZfQ0FQRVgoUVRSLDBRKQ==&amp;WINDOW=FIRST_POPUP&amp;HEIGHT=450&amp;WIDTH=450&amp;START_MAXIMIZED=FALS","E&amp;VAR:CALENDAR=US&amp;VAR:SYMBOL=CMLP&amp;VAR:INDEX=0"}</definedName>
    <definedName name="_194__FDSAUDITLINK__" localSheetId="1" hidden="1">{"fdsup://directions/FAT Viewer?action=UPDATE&amp;creator=factset&amp;DYN_ARGS=TRUE&amp;DOC_NAME=FAT:FQL_AUDITING_CLIENT_TEMPLATE.FAT&amp;display_string=Audit&amp;VAR:KEY=WZKLGVKJWJ&amp;VAR:QUERY=RkZfQ0FQRVgoUVRSLC0xUSk=&amp;WINDOW=FIRST_POPUP&amp;HEIGHT=450&amp;WIDTH=450&amp;START_MAXIMIZED=FALS","E&amp;VAR:CALENDAR=US&amp;VAR:SYMBOL=CMLP&amp;VAR:INDEX=0"}</definedName>
    <definedName name="_194__FDSAUDITLINK__" localSheetId="3" hidden="1">{"fdsup://directions/FAT Viewer?action=UPDATE&amp;creator=factset&amp;DYN_ARGS=TRUE&amp;DOC_NAME=FAT:FQL_AUDITING_CLIENT_TEMPLATE.FAT&amp;display_string=Audit&amp;VAR:KEY=WZKLGVKJWJ&amp;VAR:QUERY=RkZfQ0FQRVgoUVRSLC0xUSk=&amp;WINDOW=FIRST_POPUP&amp;HEIGHT=450&amp;WIDTH=450&amp;START_MAXIMIZED=FALS","E&amp;VAR:CALENDAR=US&amp;VAR:SYMBOL=CMLP&amp;VAR:INDEX=0"}</definedName>
    <definedName name="_194__FDSAUDITLINK__" hidden="1">{"fdsup://directions/FAT Viewer?action=UPDATE&amp;creator=factset&amp;DYN_ARGS=TRUE&amp;DOC_NAME=FAT:FQL_AUDITING_CLIENT_TEMPLATE.FAT&amp;display_string=Audit&amp;VAR:KEY=WZKLGVKJWJ&amp;VAR:QUERY=RkZfQ0FQRVgoUVRSLC0xUSk=&amp;WINDOW=FIRST_POPUP&amp;HEIGHT=450&amp;WIDTH=450&amp;START_MAXIMIZED=FALS","E&amp;VAR:CALENDAR=US&amp;VAR:SYMBOL=CMLP&amp;VAR:INDEX=0"}</definedName>
    <definedName name="_195__FDSAUDITLINK__" localSheetId="1" hidden="1">{"fdsup://directions/FAT Viewer?action=UPDATE&amp;creator=factset&amp;DYN_ARGS=TRUE&amp;DOC_NAME=FAT:FQL_AUDITING_CLIENT_TEMPLATE.FAT&amp;display_string=Audit&amp;VAR:KEY=SVUZMNYNKL&amp;VAR:QUERY=RkZfQ0FQRVgoUVRSLC0yUSk=&amp;WINDOW=FIRST_POPUP&amp;HEIGHT=450&amp;WIDTH=450&amp;START_MAXIMIZED=FALS","E&amp;VAR:CALENDAR=US&amp;VAR:SYMBOL=CMLP&amp;VAR:INDEX=0"}</definedName>
    <definedName name="_195__FDSAUDITLINK__" localSheetId="3" hidden="1">{"fdsup://directions/FAT Viewer?action=UPDATE&amp;creator=factset&amp;DYN_ARGS=TRUE&amp;DOC_NAME=FAT:FQL_AUDITING_CLIENT_TEMPLATE.FAT&amp;display_string=Audit&amp;VAR:KEY=SVUZMNYNKL&amp;VAR:QUERY=RkZfQ0FQRVgoUVRSLC0yUSk=&amp;WINDOW=FIRST_POPUP&amp;HEIGHT=450&amp;WIDTH=450&amp;START_MAXIMIZED=FALS","E&amp;VAR:CALENDAR=US&amp;VAR:SYMBOL=CMLP&amp;VAR:INDEX=0"}</definedName>
    <definedName name="_195__FDSAUDITLINK__" hidden="1">{"fdsup://directions/FAT Viewer?action=UPDATE&amp;creator=factset&amp;DYN_ARGS=TRUE&amp;DOC_NAME=FAT:FQL_AUDITING_CLIENT_TEMPLATE.FAT&amp;display_string=Audit&amp;VAR:KEY=SVUZMNYNKL&amp;VAR:QUERY=RkZfQ0FQRVgoUVRSLC0yUSk=&amp;WINDOW=FIRST_POPUP&amp;HEIGHT=450&amp;WIDTH=450&amp;START_MAXIMIZED=FALS","E&amp;VAR:CALENDAR=US&amp;VAR:SYMBOL=CMLP&amp;VAR:INDEX=0"}</definedName>
    <definedName name="_196__FDSAUDITLINK__" localSheetId="1" hidden="1">{"fdsup://directions/FAT Viewer?action=UPDATE&amp;creator=factset&amp;DYN_ARGS=TRUE&amp;DOC_NAME=FAT:FQL_AUDITING_CLIENT_TEMPLATE.FAT&amp;display_string=Audit&amp;VAR:KEY=SBIXYTMDCX&amp;VAR:QUERY=RkZfQ0FQRVgoUVRSLC0zUSk=&amp;WINDOW=FIRST_POPUP&amp;HEIGHT=450&amp;WIDTH=450&amp;START_MAXIMIZED=FALS","E&amp;VAR:CALENDAR=US&amp;VAR:SYMBOL=CMLP&amp;VAR:INDEX=0"}</definedName>
    <definedName name="_196__FDSAUDITLINK__" localSheetId="3" hidden="1">{"fdsup://directions/FAT Viewer?action=UPDATE&amp;creator=factset&amp;DYN_ARGS=TRUE&amp;DOC_NAME=FAT:FQL_AUDITING_CLIENT_TEMPLATE.FAT&amp;display_string=Audit&amp;VAR:KEY=SBIXYTMDCX&amp;VAR:QUERY=RkZfQ0FQRVgoUVRSLC0zUSk=&amp;WINDOW=FIRST_POPUP&amp;HEIGHT=450&amp;WIDTH=450&amp;START_MAXIMIZED=FALS","E&amp;VAR:CALENDAR=US&amp;VAR:SYMBOL=CMLP&amp;VAR:INDEX=0"}</definedName>
    <definedName name="_196__FDSAUDITLINK__" hidden="1">{"fdsup://directions/FAT Viewer?action=UPDATE&amp;creator=factset&amp;DYN_ARGS=TRUE&amp;DOC_NAME=FAT:FQL_AUDITING_CLIENT_TEMPLATE.FAT&amp;display_string=Audit&amp;VAR:KEY=SBIXYTMDCX&amp;VAR:QUERY=RkZfQ0FQRVgoUVRSLC0zUSk=&amp;WINDOW=FIRST_POPUP&amp;HEIGHT=450&amp;WIDTH=450&amp;START_MAXIMIZED=FALS","E&amp;VAR:CALENDAR=US&amp;VAR:SYMBOL=CMLP&amp;VAR:INDEX=0"}</definedName>
    <definedName name="_197__FDSAUDITLINK__" localSheetId="1" hidden="1">{"fdsup://directions/FAT Viewer?action=UPDATE&amp;creator=factset&amp;DYN_ARGS=TRUE&amp;DOC_NAME=FAT:FQL_AUDITING_CLIENT_TEMPLATE.FAT&amp;display_string=Audit&amp;VAR:KEY=WJYXKNIHIL&amp;VAR:QUERY=RkZfQ0FQRVgoUVRSLDBRKQ==&amp;WINDOW=FIRST_POPUP&amp;HEIGHT=450&amp;WIDTH=450&amp;START_MAXIMIZED=FALS","E&amp;VAR:CALENDAR=US&amp;VAR:SYMBOL=CLMT&amp;VAR:INDEX=0"}</definedName>
    <definedName name="_197__FDSAUDITLINK__" localSheetId="3" hidden="1">{"fdsup://directions/FAT Viewer?action=UPDATE&amp;creator=factset&amp;DYN_ARGS=TRUE&amp;DOC_NAME=FAT:FQL_AUDITING_CLIENT_TEMPLATE.FAT&amp;display_string=Audit&amp;VAR:KEY=WJYXKNIHIL&amp;VAR:QUERY=RkZfQ0FQRVgoUVRSLDBRKQ==&amp;WINDOW=FIRST_POPUP&amp;HEIGHT=450&amp;WIDTH=450&amp;START_MAXIMIZED=FALS","E&amp;VAR:CALENDAR=US&amp;VAR:SYMBOL=CLMT&amp;VAR:INDEX=0"}</definedName>
    <definedName name="_197__FDSAUDITLINK__" hidden="1">{"fdsup://directions/FAT Viewer?action=UPDATE&amp;creator=factset&amp;DYN_ARGS=TRUE&amp;DOC_NAME=FAT:FQL_AUDITING_CLIENT_TEMPLATE.FAT&amp;display_string=Audit&amp;VAR:KEY=WJYXKNIHIL&amp;VAR:QUERY=RkZfQ0FQRVgoUVRSLDBRKQ==&amp;WINDOW=FIRST_POPUP&amp;HEIGHT=450&amp;WIDTH=450&amp;START_MAXIMIZED=FALS","E&amp;VAR:CALENDAR=US&amp;VAR:SYMBOL=CLMT&amp;VAR:INDEX=0"}</definedName>
    <definedName name="_198__FDSAUDITLINK__" localSheetId="1" hidden="1">{"fdsup://directions/FAT Viewer?action=UPDATE&amp;creator=factset&amp;DYN_ARGS=TRUE&amp;DOC_NAME=FAT:FQL_AUDITING_CLIENT_TEMPLATE.FAT&amp;display_string=Audit&amp;VAR:KEY=KDSXWLKXYV&amp;VAR:QUERY=RkZfQ0FQRVgoUVRSLC0xUSk=&amp;WINDOW=FIRST_POPUP&amp;HEIGHT=450&amp;WIDTH=450&amp;START_MAXIMIZED=FALS","E&amp;VAR:CALENDAR=US&amp;VAR:SYMBOL=CLMT&amp;VAR:INDEX=0"}</definedName>
    <definedName name="_198__FDSAUDITLINK__" localSheetId="3" hidden="1">{"fdsup://directions/FAT Viewer?action=UPDATE&amp;creator=factset&amp;DYN_ARGS=TRUE&amp;DOC_NAME=FAT:FQL_AUDITING_CLIENT_TEMPLATE.FAT&amp;display_string=Audit&amp;VAR:KEY=KDSXWLKXYV&amp;VAR:QUERY=RkZfQ0FQRVgoUVRSLC0xUSk=&amp;WINDOW=FIRST_POPUP&amp;HEIGHT=450&amp;WIDTH=450&amp;START_MAXIMIZED=FALS","E&amp;VAR:CALENDAR=US&amp;VAR:SYMBOL=CLMT&amp;VAR:INDEX=0"}</definedName>
    <definedName name="_198__FDSAUDITLINK__" hidden="1">{"fdsup://directions/FAT Viewer?action=UPDATE&amp;creator=factset&amp;DYN_ARGS=TRUE&amp;DOC_NAME=FAT:FQL_AUDITING_CLIENT_TEMPLATE.FAT&amp;display_string=Audit&amp;VAR:KEY=KDSXWLKXYV&amp;VAR:QUERY=RkZfQ0FQRVgoUVRSLC0xUSk=&amp;WINDOW=FIRST_POPUP&amp;HEIGHT=450&amp;WIDTH=450&amp;START_MAXIMIZED=FALS","E&amp;VAR:CALENDAR=US&amp;VAR:SYMBOL=CLMT&amp;VAR:INDEX=0"}</definedName>
    <definedName name="_199__FDSAUDITLINK__" localSheetId="1" hidden="1">{"fdsup://directions/FAT Viewer?action=UPDATE&amp;creator=factset&amp;DYN_ARGS=TRUE&amp;DOC_NAME=FAT:FQL_AUDITING_CLIENT_TEMPLATE.FAT&amp;display_string=Audit&amp;VAR:KEY=IJGBSDCNWV&amp;VAR:QUERY=RkZfQ0FQRVgoUVRSLC0yUSk=&amp;WINDOW=FIRST_POPUP&amp;HEIGHT=450&amp;WIDTH=450&amp;START_MAXIMIZED=FALS","E&amp;VAR:CALENDAR=US&amp;VAR:SYMBOL=CLMT&amp;VAR:INDEX=0"}</definedName>
    <definedName name="_199__FDSAUDITLINK__" localSheetId="3" hidden="1">{"fdsup://directions/FAT Viewer?action=UPDATE&amp;creator=factset&amp;DYN_ARGS=TRUE&amp;DOC_NAME=FAT:FQL_AUDITING_CLIENT_TEMPLATE.FAT&amp;display_string=Audit&amp;VAR:KEY=IJGBSDCNWV&amp;VAR:QUERY=RkZfQ0FQRVgoUVRSLC0yUSk=&amp;WINDOW=FIRST_POPUP&amp;HEIGHT=450&amp;WIDTH=450&amp;START_MAXIMIZED=FALS","E&amp;VAR:CALENDAR=US&amp;VAR:SYMBOL=CLMT&amp;VAR:INDEX=0"}</definedName>
    <definedName name="_199__FDSAUDITLINK__" hidden="1">{"fdsup://directions/FAT Viewer?action=UPDATE&amp;creator=factset&amp;DYN_ARGS=TRUE&amp;DOC_NAME=FAT:FQL_AUDITING_CLIENT_TEMPLATE.FAT&amp;display_string=Audit&amp;VAR:KEY=IJGBSDCNWV&amp;VAR:QUERY=RkZfQ0FQRVgoUVRSLC0yUSk=&amp;WINDOW=FIRST_POPUP&amp;HEIGHT=450&amp;WIDTH=450&amp;START_MAXIMIZED=FALS","E&amp;VAR:CALENDAR=US&amp;VAR:SYMBOL=CLMT&amp;VAR:INDEX=0"}</definedName>
    <definedName name="_1PAGEE_2">#REF!</definedName>
    <definedName name="_2__123Graph_AALL_IN_COSTS" hidden="1">#REF!</definedName>
    <definedName name="_2__123Graph_ACHART_1" hidden="1">#REF!</definedName>
    <definedName name="_2__123Graph_ACHART_3" hidden="1">#REF!</definedName>
    <definedName name="_2__123Graph_AOP75_25PRICE" hidden="1">#REF!</definedName>
    <definedName name="_2__123Graph_AQRE_S_BY_CO." hidden="1">#REF!</definedName>
    <definedName name="_2__123Graph_BCHART_1" hidden="1">#REF!</definedName>
    <definedName name="_2__123Graph_LBL_ACHART_1" hidden="1">#REF!</definedName>
    <definedName name="_2__FDSAUDITLINK__" localSheetId="1" hidden="1">{"fdsup://directions/FAT Viewer?action=UPDATE&amp;creator=factset&amp;DYN_ARGS=TRUE&amp;DOC_NAME=FAT:FQL_AUDITING_CLIENT_TEMPLATE.FAT&amp;display_string=Audit&amp;VAR:KEY=AVQZQRYTCT&amp;VAR:QUERY=RkZfQ0FQRVgoUVRSLC0xUSk=&amp;WINDOW=FIRST_POPUP&amp;HEIGHT=450&amp;WIDTH=450&amp;START_MAXIMIZED=FALS","E&amp;VAR:CALENDAR=US&amp;VAR:SYMBOL=VNR&amp;VAR:INDEX=0"}</definedName>
    <definedName name="_2__FDSAUDITLINK__" localSheetId="3" hidden="1">{"fdsup://directions/FAT Viewer?action=UPDATE&amp;creator=factset&amp;DYN_ARGS=TRUE&amp;DOC_NAME=FAT:FQL_AUDITING_CLIENT_TEMPLATE.FAT&amp;display_string=Audit&amp;VAR:KEY=AVQZQRYTCT&amp;VAR:QUERY=RkZfQ0FQRVgoUVRSLC0xUSk=&amp;WINDOW=FIRST_POPUP&amp;HEIGHT=450&amp;WIDTH=450&amp;START_MAXIMIZED=FALS","E&amp;VAR:CALENDAR=US&amp;VAR:SYMBOL=VNR&amp;VAR:INDEX=0"}</definedName>
    <definedName name="_2__FDSAUDITLINK__" hidden="1">{"fdsup://directions/FAT Viewer?action=UPDATE&amp;creator=factset&amp;DYN_ARGS=TRUE&amp;DOC_NAME=FAT:FQL_AUDITING_CLIENT_TEMPLATE.FAT&amp;display_string=Audit&amp;VAR:KEY=AVQZQRYTCT&amp;VAR:QUERY=RkZfQ0FQRVgoUVRSLC0xUSk=&amp;WINDOW=FIRST_POPUP&amp;HEIGHT=450&amp;WIDTH=450&amp;START_MAXIMIZED=FALS","E&amp;VAR:CALENDAR=US&amp;VAR:SYMBOL=VNR&amp;VAR:INDEX=0"}</definedName>
    <definedName name="_20__123Graph_CCONTRACT_BY_B_U" hidden="1">#REF!</definedName>
    <definedName name="_20__123Graph_CQRE_S_BY_TYPE" hidden="1">#REF!</definedName>
    <definedName name="_20__123Graph_CWAGES_BY_B_U" hidden="1">#REF!</definedName>
    <definedName name="_20__123Graph_FHO_MPRICE" hidden="1">#REF!</definedName>
    <definedName name="_20__FDSAUDITLINK__" localSheetId="1" hidden="1">{"fdsup://directions/FAT Viewer?action=UPDATE&amp;creator=factset&amp;DYN_ARGS=TRUE&amp;DOC_NAME=FAT:FQL_AUDITING_CLIENT_TEMPLATE.FAT&amp;display_string=Audit&amp;VAR:KEY=OZKHOVERYN&amp;VAR:QUERY=RkZfQ0FQRVgoUVRSLC0zUSk=&amp;WINDOW=FIRST_POPUP&amp;HEIGHT=450&amp;WIDTH=450&amp;START_MAXIMIZED=FALS","E&amp;VAR:CALENDAR=US&amp;VAR:SYMBOL=LGCY&amp;VAR:INDEX=0"}</definedName>
    <definedName name="_20__FDSAUDITLINK__" localSheetId="3" hidden="1">{"fdsup://directions/FAT Viewer?action=UPDATE&amp;creator=factset&amp;DYN_ARGS=TRUE&amp;DOC_NAME=FAT:FQL_AUDITING_CLIENT_TEMPLATE.FAT&amp;display_string=Audit&amp;VAR:KEY=OZKHOVERYN&amp;VAR:QUERY=RkZfQ0FQRVgoUVRSLC0zUSk=&amp;WINDOW=FIRST_POPUP&amp;HEIGHT=450&amp;WIDTH=450&amp;START_MAXIMIZED=FALS","E&amp;VAR:CALENDAR=US&amp;VAR:SYMBOL=LGCY&amp;VAR:INDEX=0"}</definedName>
    <definedName name="_20__FDSAUDITLINK__" hidden="1">{"fdsup://directions/FAT Viewer?action=UPDATE&amp;creator=factset&amp;DYN_ARGS=TRUE&amp;DOC_NAME=FAT:FQL_AUDITING_CLIENT_TEMPLATE.FAT&amp;display_string=Audit&amp;VAR:KEY=OZKHOVERYN&amp;VAR:QUERY=RkZfQ0FQRVgoUVRSLC0zUSk=&amp;WINDOW=FIRST_POPUP&amp;HEIGHT=450&amp;WIDTH=450&amp;START_MAXIMIZED=FALS","E&amp;VAR:CALENDAR=US&amp;VAR:SYMBOL=LGCY&amp;VAR:INDEX=0"}</definedName>
    <definedName name="_200__FDSAUDITLINK__" localSheetId="1" hidden="1">{"fdsup://directions/FAT Viewer?action=UPDATE&amp;creator=factset&amp;DYN_ARGS=TRUE&amp;DOC_NAME=FAT:FQL_AUDITING_CLIENT_TEMPLATE.FAT&amp;display_string=Audit&amp;VAR:KEY=WJQFOHGZCN&amp;VAR:QUERY=RkZfQ0FQRVgoUVRSLC0zUSk=&amp;WINDOW=FIRST_POPUP&amp;HEIGHT=450&amp;WIDTH=450&amp;START_MAXIMIZED=FALS","E&amp;VAR:CALENDAR=US&amp;VAR:SYMBOL=CLMT&amp;VAR:INDEX=0"}</definedName>
    <definedName name="_200__FDSAUDITLINK__" localSheetId="3" hidden="1">{"fdsup://directions/FAT Viewer?action=UPDATE&amp;creator=factset&amp;DYN_ARGS=TRUE&amp;DOC_NAME=FAT:FQL_AUDITING_CLIENT_TEMPLATE.FAT&amp;display_string=Audit&amp;VAR:KEY=WJQFOHGZCN&amp;VAR:QUERY=RkZfQ0FQRVgoUVRSLC0zUSk=&amp;WINDOW=FIRST_POPUP&amp;HEIGHT=450&amp;WIDTH=450&amp;START_MAXIMIZED=FALS","E&amp;VAR:CALENDAR=US&amp;VAR:SYMBOL=CLMT&amp;VAR:INDEX=0"}</definedName>
    <definedName name="_200__FDSAUDITLINK__" hidden="1">{"fdsup://directions/FAT Viewer?action=UPDATE&amp;creator=factset&amp;DYN_ARGS=TRUE&amp;DOC_NAME=FAT:FQL_AUDITING_CLIENT_TEMPLATE.FAT&amp;display_string=Audit&amp;VAR:KEY=WJQFOHGZCN&amp;VAR:QUERY=RkZfQ0FQRVgoUVRSLC0zUSk=&amp;WINDOW=FIRST_POPUP&amp;HEIGHT=450&amp;WIDTH=450&amp;START_MAXIMIZED=FALS","E&amp;VAR:CALENDAR=US&amp;VAR:SYMBOL=CLMT&amp;VAR:INDEX=0"}</definedName>
    <definedName name="_201__FDSAUDITLINK__" localSheetId="1" hidden="1">{"fdsup://directions/FAT Viewer?action=UPDATE&amp;creator=factset&amp;DYN_ARGS=TRUE&amp;DOC_NAME=FAT:FQL_AUDITING_CLIENT_TEMPLATE.FAT&amp;display_string=Audit&amp;VAR:KEY=ALWZINKLIP&amp;VAR:QUERY=RkZfQ0FQRVgoUVRSLDBRKQ==&amp;WINDOW=FIRST_POPUP&amp;HEIGHT=450&amp;WIDTH=450&amp;START_MAXIMIZED=FALS","E&amp;VAR:CALENDAR=US&amp;VAR:SYMBOL=CHKM&amp;VAR:INDEX=0"}</definedName>
    <definedName name="_201__FDSAUDITLINK__" localSheetId="3" hidden="1">{"fdsup://directions/FAT Viewer?action=UPDATE&amp;creator=factset&amp;DYN_ARGS=TRUE&amp;DOC_NAME=FAT:FQL_AUDITING_CLIENT_TEMPLATE.FAT&amp;display_string=Audit&amp;VAR:KEY=ALWZINKLIP&amp;VAR:QUERY=RkZfQ0FQRVgoUVRSLDBRKQ==&amp;WINDOW=FIRST_POPUP&amp;HEIGHT=450&amp;WIDTH=450&amp;START_MAXIMIZED=FALS","E&amp;VAR:CALENDAR=US&amp;VAR:SYMBOL=CHKM&amp;VAR:INDEX=0"}</definedName>
    <definedName name="_201__FDSAUDITLINK__" hidden="1">{"fdsup://directions/FAT Viewer?action=UPDATE&amp;creator=factset&amp;DYN_ARGS=TRUE&amp;DOC_NAME=FAT:FQL_AUDITING_CLIENT_TEMPLATE.FAT&amp;display_string=Audit&amp;VAR:KEY=ALWZINKLIP&amp;VAR:QUERY=RkZfQ0FQRVgoUVRSLDBRKQ==&amp;WINDOW=FIRST_POPUP&amp;HEIGHT=450&amp;WIDTH=450&amp;START_MAXIMIZED=FALS","E&amp;VAR:CALENDAR=US&amp;VAR:SYMBOL=CHKM&amp;VAR:INDEX=0"}</definedName>
    <definedName name="_202__FDSAUDITLINK__" localSheetId="1" hidden="1">{"fdsup://directions/FAT Viewer?action=UPDATE&amp;creator=factset&amp;DYN_ARGS=TRUE&amp;DOC_NAME=FAT:FQL_AUDITING_CLIENT_TEMPLATE.FAT&amp;display_string=Audit&amp;VAR:KEY=WDUXUTCLCV&amp;VAR:QUERY=RkZfQ0FQRVgoUVRSLC0xUSk=&amp;WINDOW=FIRST_POPUP&amp;HEIGHT=450&amp;WIDTH=450&amp;START_MAXIMIZED=FALS","E&amp;VAR:CALENDAR=US&amp;VAR:SYMBOL=CHKM&amp;VAR:INDEX=0"}</definedName>
    <definedName name="_202__FDSAUDITLINK__" localSheetId="3" hidden="1">{"fdsup://directions/FAT Viewer?action=UPDATE&amp;creator=factset&amp;DYN_ARGS=TRUE&amp;DOC_NAME=FAT:FQL_AUDITING_CLIENT_TEMPLATE.FAT&amp;display_string=Audit&amp;VAR:KEY=WDUXUTCLCV&amp;VAR:QUERY=RkZfQ0FQRVgoUVRSLC0xUSk=&amp;WINDOW=FIRST_POPUP&amp;HEIGHT=450&amp;WIDTH=450&amp;START_MAXIMIZED=FALS","E&amp;VAR:CALENDAR=US&amp;VAR:SYMBOL=CHKM&amp;VAR:INDEX=0"}</definedName>
    <definedName name="_202__FDSAUDITLINK__" hidden="1">{"fdsup://directions/FAT Viewer?action=UPDATE&amp;creator=factset&amp;DYN_ARGS=TRUE&amp;DOC_NAME=FAT:FQL_AUDITING_CLIENT_TEMPLATE.FAT&amp;display_string=Audit&amp;VAR:KEY=WDUXUTCLCV&amp;VAR:QUERY=RkZfQ0FQRVgoUVRSLC0xUSk=&amp;WINDOW=FIRST_POPUP&amp;HEIGHT=450&amp;WIDTH=450&amp;START_MAXIMIZED=FALS","E&amp;VAR:CALENDAR=US&amp;VAR:SYMBOL=CHKM&amp;VAR:INDEX=0"}</definedName>
    <definedName name="_203__FDSAUDITLINK__" localSheetId="1" hidden="1">{"fdsup://directions/FAT Viewer?action=UPDATE&amp;creator=factset&amp;DYN_ARGS=TRUE&amp;DOC_NAME=FAT:FQL_AUDITING_CLIENT_TEMPLATE.FAT&amp;display_string=Audit&amp;VAR:KEY=UTCFSHYRUH&amp;VAR:QUERY=RkZfQ0FQRVgoUVRSLC0yUSk=&amp;WINDOW=FIRST_POPUP&amp;HEIGHT=450&amp;WIDTH=450&amp;START_MAXIMIZED=FALS","E&amp;VAR:CALENDAR=US&amp;VAR:SYMBOL=CHKM&amp;VAR:INDEX=0"}</definedName>
    <definedName name="_203__FDSAUDITLINK__" localSheetId="3" hidden="1">{"fdsup://directions/FAT Viewer?action=UPDATE&amp;creator=factset&amp;DYN_ARGS=TRUE&amp;DOC_NAME=FAT:FQL_AUDITING_CLIENT_TEMPLATE.FAT&amp;display_string=Audit&amp;VAR:KEY=UTCFSHYRUH&amp;VAR:QUERY=RkZfQ0FQRVgoUVRSLC0yUSk=&amp;WINDOW=FIRST_POPUP&amp;HEIGHT=450&amp;WIDTH=450&amp;START_MAXIMIZED=FALS","E&amp;VAR:CALENDAR=US&amp;VAR:SYMBOL=CHKM&amp;VAR:INDEX=0"}</definedName>
    <definedName name="_203__FDSAUDITLINK__" hidden="1">{"fdsup://directions/FAT Viewer?action=UPDATE&amp;creator=factset&amp;DYN_ARGS=TRUE&amp;DOC_NAME=FAT:FQL_AUDITING_CLIENT_TEMPLATE.FAT&amp;display_string=Audit&amp;VAR:KEY=UTCFSHYRUH&amp;VAR:QUERY=RkZfQ0FQRVgoUVRSLC0yUSk=&amp;WINDOW=FIRST_POPUP&amp;HEIGHT=450&amp;WIDTH=450&amp;START_MAXIMIZED=FALS","E&amp;VAR:CALENDAR=US&amp;VAR:SYMBOL=CHKM&amp;VAR:INDEX=0"}</definedName>
    <definedName name="_204__FDSAUDITLINK__" localSheetId="1" hidden="1">{"fdsup://directions/FAT Viewer?action=UPDATE&amp;creator=factset&amp;DYN_ARGS=TRUE&amp;DOC_NAME=FAT:FQL_AUDITING_CLIENT_TEMPLATE.FAT&amp;display_string=Audit&amp;VAR:KEY=GPSDWHOVUN&amp;VAR:QUERY=RkZfQ0FQRVgoUVRSLC0zUSk=&amp;WINDOW=FIRST_POPUP&amp;HEIGHT=450&amp;WIDTH=450&amp;START_MAXIMIZED=FALS","E&amp;VAR:CALENDAR=US&amp;VAR:SYMBOL=CHKM&amp;VAR:INDEX=0"}</definedName>
    <definedName name="_204__FDSAUDITLINK__" localSheetId="3" hidden="1">{"fdsup://directions/FAT Viewer?action=UPDATE&amp;creator=factset&amp;DYN_ARGS=TRUE&amp;DOC_NAME=FAT:FQL_AUDITING_CLIENT_TEMPLATE.FAT&amp;display_string=Audit&amp;VAR:KEY=GPSDWHOVUN&amp;VAR:QUERY=RkZfQ0FQRVgoUVRSLC0zUSk=&amp;WINDOW=FIRST_POPUP&amp;HEIGHT=450&amp;WIDTH=450&amp;START_MAXIMIZED=FALS","E&amp;VAR:CALENDAR=US&amp;VAR:SYMBOL=CHKM&amp;VAR:INDEX=0"}</definedName>
    <definedName name="_204__FDSAUDITLINK__" hidden="1">{"fdsup://directions/FAT Viewer?action=UPDATE&amp;creator=factset&amp;DYN_ARGS=TRUE&amp;DOC_NAME=FAT:FQL_AUDITING_CLIENT_TEMPLATE.FAT&amp;display_string=Audit&amp;VAR:KEY=GPSDWHOVUN&amp;VAR:QUERY=RkZfQ0FQRVgoUVRSLC0zUSk=&amp;WINDOW=FIRST_POPUP&amp;HEIGHT=450&amp;WIDTH=450&amp;START_MAXIMIZED=FALS","E&amp;VAR:CALENDAR=US&amp;VAR:SYMBOL=CHKM&amp;VAR:INDEX=0"}</definedName>
    <definedName name="_205__FDSAUDITLINK__" localSheetId="1" hidden="1">{"fdsup://directions/FAT Viewer?action=UPDATE&amp;creator=factset&amp;DYN_ARGS=TRUE&amp;DOC_NAME=FAT:FQL_AUDITING_CLIENT_TEMPLATE.FAT&amp;display_string=Audit&amp;VAR:KEY=IFWDKFARMZ&amp;VAR:QUERY=RkZfQ0FQRVgoUVRSLDBRKQ==&amp;WINDOW=FIRST_POPUP&amp;HEIGHT=450&amp;WIDTH=450&amp;START_MAXIMIZED=FALS","E&amp;VAR:CALENDAR=US&amp;VAR:SYMBOL=BWP&amp;VAR:INDEX=0"}</definedName>
    <definedName name="_205__FDSAUDITLINK__" localSheetId="3" hidden="1">{"fdsup://directions/FAT Viewer?action=UPDATE&amp;creator=factset&amp;DYN_ARGS=TRUE&amp;DOC_NAME=FAT:FQL_AUDITING_CLIENT_TEMPLATE.FAT&amp;display_string=Audit&amp;VAR:KEY=IFWDKFARMZ&amp;VAR:QUERY=RkZfQ0FQRVgoUVRSLDBRKQ==&amp;WINDOW=FIRST_POPUP&amp;HEIGHT=450&amp;WIDTH=450&amp;START_MAXIMIZED=FALS","E&amp;VAR:CALENDAR=US&amp;VAR:SYMBOL=BWP&amp;VAR:INDEX=0"}</definedName>
    <definedName name="_205__FDSAUDITLINK__" hidden="1">{"fdsup://directions/FAT Viewer?action=UPDATE&amp;creator=factset&amp;DYN_ARGS=TRUE&amp;DOC_NAME=FAT:FQL_AUDITING_CLIENT_TEMPLATE.FAT&amp;display_string=Audit&amp;VAR:KEY=IFWDKFARMZ&amp;VAR:QUERY=RkZfQ0FQRVgoUVRSLDBRKQ==&amp;WINDOW=FIRST_POPUP&amp;HEIGHT=450&amp;WIDTH=450&amp;START_MAXIMIZED=FALS","E&amp;VAR:CALENDAR=US&amp;VAR:SYMBOL=BWP&amp;VAR:INDEX=0"}</definedName>
    <definedName name="_206__FDSAUDITLINK__" localSheetId="1" hidden="1">{"fdsup://directions/FAT Viewer?action=UPDATE&amp;creator=factset&amp;DYN_ARGS=TRUE&amp;DOC_NAME=FAT:FQL_AUDITING_CLIENT_TEMPLATE.FAT&amp;display_string=Audit&amp;VAR:KEY=QZMLSBKFCP&amp;VAR:QUERY=RkZfQ0FQRVgoUVRSLC0xUSk=&amp;WINDOW=FIRST_POPUP&amp;HEIGHT=450&amp;WIDTH=450&amp;START_MAXIMIZED=FALS","E&amp;VAR:CALENDAR=US&amp;VAR:SYMBOL=BWP&amp;VAR:INDEX=0"}</definedName>
    <definedName name="_206__FDSAUDITLINK__" localSheetId="3" hidden="1">{"fdsup://directions/FAT Viewer?action=UPDATE&amp;creator=factset&amp;DYN_ARGS=TRUE&amp;DOC_NAME=FAT:FQL_AUDITING_CLIENT_TEMPLATE.FAT&amp;display_string=Audit&amp;VAR:KEY=QZMLSBKFCP&amp;VAR:QUERY=RkZfQ0FQRVgoUVRSLC0xUSk=&amp;WINDOW=FIRST_POPUP&amp;HEIGHT=450&amp;WIDTH=450&amp;START_MAXIMIZED=FALS","E&amp;VAR:CALENDAR=US&amp;VAR:SYMBOL=BWP&amp;VAR:INDEX=0"}</definedName>
    <definedName name="_206__FDSAUDITLINK__" hidden="1">{"fdsup://directions/FAT Viewer?action=UPDATE&amp;creator=factset&amp;DYN_ARGS=TRUE&amp;DOC_NAME=FAT:FQL_AUDITING_CLIENT_TEMPLATE.FAT&amp;display_string=Audit&amp;VAR:KEY=QZMLSBKFCP&amp;VAR:QUERY=RkZfQ0FQRVgoUVRSLC0xUSk=&amp;WINDOW=FIRST_POPUP&amp;HEIGHT=450&amp;WIDTH=450&amp;START_MAXIMIZED=FALS","E&amp;VAR:CALENDAR=US&amp;VAR:SYMBOL=BWP&amp;VAR:INDEX=0"}</definedName>
    <definedName name="_207__FDSAUDITLINK__" localSheetId="1" hidden="1">{"fdsup://directions/FAT Viewer?action=UPDATE&amp;creator=factset&amp;DYN_ARGS=TRUE&amp;DOC_NAME=FAT:FQL_AUDITING_CLIENT_TEMPLATE.FAT&amp;display_string=Audit&amp;VAR:KEY=KPKHOLUDMB&amp;VAR:QUERY=RkZfQ0FQRVgoUVRSLC0yUSk=&amp;WINDOW=FIRST_POPUP&amp;HEIGHT=450&amp;WIDTH=450&amp;START_MAXIMIZED=FALS","E&amp;VAR:CALENDAR=US&amp;VAR:SYMBOL=BWP&amp;VAR:INDEX=0"}</definedName>
    <definedName name="_207__FDSAUDITLINK__" localSheetId="3" hidden="1">{"fdsup://directions/FAT Viewer?action=UPDATE&amp;creator=factset&amp;DYN_ARGS=TRUE&amp;DOC_NAME=FAT:FQL_AUDITING_CLIENT_TEMPLATE.FAT&amp;display_string=Audit&amp;VAR:KEY=KPKHOLUDMB&amp;VAR:QUERY=RkZfQ0FQRVgoUVRSLC0yUSk=&amp;WINDOW=FIRST_POPUP&amp;HEIGHT=450&amp;WIDTH=450&amp;START_MAXIMIZED=FALS","E&amp;VAR:CALENDAR=US&amp;VAR:SYMBOL=BWP&amp;VAR:INDEX=0"}</definedName>
    <definedName name="_207__FDSAUDITLINK__" hidden="1">{"fdsup://directions/FAT Viewer?action=UPDATE&amp;creator=factset&amp;DYN_ARGS=TRUE&amp;DOC_NAME=FAT:FQL_AUDITING_CLIENT_TEMPLATE.FAT&amp;display_string=Audit&amp;VAR:KEY=KPKHOLUDMB&amp;VAR:QUERY=RkZfQ0FQRVgoUVRSLC0yUSk=&amp;WINDOW=FIRST_POPUP&amp;HEIGHT=450&amp;WIDTH=450&amp;START_MAXIMIZED=FALS","E&amp;VAR:CALENDAR=US&amp;VAR:SYMBOL=BWP&amp;VAR:INDEX=0"}</definedName>
    <definedName name="_208__FDSAUDITLINK__" localSheetId="1" hidden="1">{"fdsup://directions/FAT Viewer?action=UPDATE&amp;creator=factset&amp;DYN_ARGS=TRUE&amp;DOC_NAME=FAT:FQL_AUDITING_CLIENT_TEMPLATE.FAT&amp;display_string=Audit&amp;VAR:KEY=YPWTABWNSP&amp;VAR:QUERY=RkZfQ0FQRVgoUVRSLC0zUSk=&amp;WINDOW=FIRST_POPUP&amp;HEIGHT=450&amp;WIDTH=450&amp;START_MAXIMIZED=FALS","E&amp;VAR:CALENDAR=US&amp;VAR:SYMBOL=BWP&amp;VAR:INDEX=0"}</definedName>
    <definedName name="_208__FDSAUDITLINK__" localSheetId="3" hidden="1">{"fdsup://directions/FAT Viewer?action=UPDATE&amp;creator=factset&amp;DYN_ARGS=TRUE&amp;DOC_NAME=FAT:FQL_AUDITING_CLIENT_TEMPLATE.FAT&amp;display_string=Audit&amp;VAR:KEY=YPWTABWNSP&amp;VAR:QUERY=RkZfQ0FQRVgoUVRSLC0zUSk=&amp;WINDOW=FIRST_POPUP&amp;HEIGHT=450&amp;WIDTH=450&amp;START_MAXIMIZED=FALS","E&amp;VAR:CALENDAR=US&amp;VAR:SYMBOL=BWP&amp;VAR:INDEX=0"}</definedName>
    <definedName name="_208__FDSAUDITLINK__" hidden="1">{"fdsup://directions/FAT Viewer?action=UPDATE&amp;creator=factset&amp;DYN_ARGS=TRUE&amp;DOC_NAME=FAT:FQL_AUDITING_CLIENT_TEMPLATE.FAT&amp;display_string=Audit&amp;VAR:KEY=YPWTABWNSP&amp;VAR:QUERY=RkZfQ0FQRVgoUVRSLC0zUSk=&amp;WINDOW=FIRST_POPUP&amp;HEIGHT=450&amp;WIDTH=450&amp;START_MAXIMIZED=FALS","E&amp;VAR:CALENDAR=US&amp;VAR:SYMBOL=BWP&amp;VAR:INDEX=0"}</definedName>
    <definedName name="_209__FDSAUDITLINK__" localSheetId="1" hidden="1">{"fdsup://directions/FAT Viewer?action=UPDATE&amp;creator=factset&amp;DYN_ARGS=TRUE&amp;DOC_NAME=FAT:FQL_AUDITING_CLIENT_TEMPLATE.FAT&amp;display_string=Audit&amp;VAR:KEY=GNQDEDIRKR&amp;VAR:QUERY=RkZfQ0FQRVgoUVRSLDBRKQ==&amp;WINDOW=FIRST_POPUP&amp;HEIGHT=450&amp;WIDTH=450&amp;START_MAXIMIZED=FALS","E&amp;VAR:CALENDAR=US&amp;VAR:SYMBOL=BPL&amp;VAR:INDEX=0"}</definedName>
    <definedName name="_209__FDSAUDITLINK__" localSheetId="3" hidden="1">{"fdsup://directions/FAT Viewer?action=UPDATE&amp;creator=factset&amp;DYN_ARGS=TRUE&amp;DOC_NAME=FAT:FQL_AUDITING_CLIENT_TEMPLATE.FAT&amp;display_string=Audit&amp;VAR:KEY=GNQDEDIRKR&amp;VAR:QUERY=RkZfQ0FQRVgoUVRSLDBRKQ==&amp;WINDOW=FIRST_POPUP&amp;HEIGHT=450&amp;WIDTH=450&amp;START_MAXIMIZED=FALS","E&amp;VAR:CALENDAR=US&amp;VAR:SYMBOL=BPL&amp;VAR:INDEX=0"}</definedName>
    <definedName name="_209__FDSAUDITLINK__" hidden="1">{"fdsup://directions/FAT Viewer?action=UPDATE&amp;creator=factset&amp;DYN_ARGS=TRUE&amp;DOC_NAME=FAT:FQL_AUDITING_CLIENT_TEMPLATE.FAT&amp;display_string=Audit&amp;VAR:KEY=GNQDEDIRKR&amp;VAR:QUERY=RkZfQ0FQRVgoUVRSLDBRKQ==&amp;WINDOW=FIRST_POPUP&amp;HEIGHT=450&amp;WIDTH=450&amp;START_MAXIMIZED=FALS","E&amp;VAR:CALENDAR=US&amp;VAR:SYMBOL=BPL&amp;VAR:INDEX=0"}</definedName>
    <definedName name="_21__123Graph_CQRE_S_BY_CO." hidden="1">#REF!</definedName>
    <definedName name="_21__123Graph_CSENS_COMPARISON" hidden="1">#REF!</definedName>
    <definedName name="_21__123Graph_DCONTRACT_BY_B_U" hidden="1">#REF!</definedName>
    <definedName name="_21__123Graph_FO_MPRICE" hidden="1">#REF!</definedName>
    <definedName name="_21__FDSAUDITLINK__" localSheetId="1" hidden="1">{"fdsup://directions/FAT Viewer?action=UPDATE&amp;creator=factset&amp;DYN_ARGS=TRUE&amp;DOC_NAME=FAT:FQL_AUDITING_CLIENT_TEMPLATE.FAT&amp;display_string=Audit&amp;VAR:KEY=KBSDWPWXMZ&amp;VAR:QUERY=RkZfQ0FQRVgoUVRSLDBRKQ==&amp;WINDOW=FIRST_POPUP&amp;HEIGHT=450&amp;WIDTH=450&amp;START_MAXIMIZED=FALS","E&amp;VAR:CALENDAR=US&amp;VAR:SYMBOL=EVEP&amp;VAR:INDEX=0"}</definedName>
    <definedName name="_21__FDSAUDITLINK__" localSheetId="3" hidden="1">{"fdsup://directions/FAT Viewer?action=UPDATE&amp;creator=factset&amp;DYN_ARGS=TRUE&amp;DOC_NAME=FAT:FQL_AUDITING_CLIENT_TEMPLATE.FAT&amp;display_string=Audit&amp;VAR:KEY=KBSDWPWXMZ&amp;VAR:QUERY=RkZfQ0FQRVgoUVRSLDBRKQ==&amp;WINDOW=FIRST_POPUP&amp;HEIGHT=450&amp;WIDTH=450&amp;START_MAXIMIZED=FALS","E&amp;VAR:CALENDAR=US&amp;VAR:SYMBOL=EVEP&amp;VAR:INDEX=0"}</definedName>
    <definedName name="_21__FDSAUDITLINK__" hidden="1">{"fdsup://directions/FAT Viewer?action=UPDATE&amp;creator=factset&amp;DYN_ARGS=TRUE&amp;DOC_NAME=FAT:FQL_AUDITING_CLIENT_TEMPLATE.FAT&amp;display_string=Audit&amp;VAR:KEY=KBSDWPWXMZ&amp;VAR:QUERY=RkZfQ0FQRVgoUVRSLDBRKQ==&amp;WINDOW=FIRST_POPUP&amp;HEIGHT=450&amp;WIDTH=450&amp;START_MAXIMIZED=FALS","E&amp;VAR:CALENDAR=US&amp;VAR:SYMBOL=EVEP&amp;VAR:INDEX=0"}</definedName>
    <definedName name="_210__FDSAUDITLINK__" localSheetId="1" hidden="1">{"fdsup://directions/FAT Viewer?action=UPDATE&amp;creator=factset&amp;DYN_ARGS=TRUE&amp;DOC_NAME=FAT:FQL_AUDITING_CLIENT_TEMPLATE.FAT&amp;display_string=Audit&amp;VAR:KEY=GJKXWJCZEP&amp;VAR:QUERY=RkZfQ0FQRVgoUVRSLC0xUSk=&amp;WINDOW=FIRST_POPUP&amp;HEIGHT=450&amp;WIDTH=450&amp;START_MAXIMIZED=FALS","E&amp;VAR:CALENDAR=US&amp;VAR:SYMBOL=BPL&amp;VAR:INDEX=0"}</definedName>
    <definedName name="_210__FDSAUDITLINK__" localSheetId="3" hidden="1">{"fdsup://directions/FAT Viewer?action=UPDATE&amp;creator=factset&amp;DYN_ARGS=TRUE&amp;DOC_NAME=FAT:FQL_AUDITING_CLIENT_TEMPLATE.FAT&amp;display_string=Audit&amp;VAR:KEY=GJKXWJCZEP&amp;VAR:QUERY=RkZfQ0FQRVgoUVRSLC0xUSk=&amp;WINDOW=FIRST_POPUP&amp;HEIGHT=450&amp;WIDTH=450&amp;START_MAXIMIZED=FALS","E&amp;VAR:CALENDAR=US&amp;VAR:SYMBOL=BPL&amp;VAR:INDEX=0"}</definedName>
    <definedName name="_210__FDSAUDITLINK__" hidden="1">{"fdsup://directions/FAT Viewer?action=UPDATE&amp;creator=factset&amp;DYN_ARGS=TRUE&amp;DOC_NAME=FAT:FQL_AUDITING_CLIENT_TEMPLATE.FAT&amp;display_string=Audit&amp;VAR:KEY=GJKXWJCZEP&amp;VAR:QUERY=RkZfQ0FQRVgoUVRSLC0xUSk=&amp;WINDOW=FIRST_POPUP&amp;HEIGHT=450&amp;WIDTH=450&amp;START_MAXIMIZED=FALS","E&amp;VAR:CALENDAR=US&amp;VAR:SYMBOL=BPL&amp;VAR:INDEX=0"}</definedName>
    <definedName name="_211__FDSAUDITLINK__" localSheetId="1" hidden="1">{"fdsup://directions/FAT Viewer?action=UPDATE&amp;creator=factset&amp;DYN_ARGS=TRUE&amp;DOC_NAME=FAT:FQL_AUDITING_CLIENT_TEMPLATE.FAT&amp;display_string=Audit&amp;VAR:KEY=SPAXABUVSH&amp;VAR:QUERY=RkZfQ0FQRVgoUVRSLC0yUSk=&amp;WINDOW=FIRST_POPUP&amp;HEIGHT=450&amp;WIDTH=450&amp;START_MAXIMIZED=FALS","E&amp;VAR:CALENDAR=US&amp;VAR:SYMBOL=BPL&amp;VAR:INDEX=0"}</definedName>
    <definedName name="_211__FDSAUDITLINK__" localSheetId="3" hidden="1">{"fdsup://directions/FAT Viewer?action=UPDATE&amp;creator=factset&amp;DYN_ARGS=TRUE&amp;DOC_NAME=FAT:FQL_AUDITING_CLIENT_TEMPLATE.FAT&amp;display_string=Audit&amp;VAR:KEY=SPAXABUVSH&amp;VAR:QUERY=RkZfQ0FQRVgoUVRSLC0yUSk=&amp;WINDOW=FIRST_POPUP&amp;HEIGHT=450&amp;WIDTH=450&amp;START_MAXIMIZED=FALS","E&amp;VAR:CALENDAR=US&amp;VAR:SYMBOL=BPL&amp;VAR:INDEX=0"}</definedName>
    <definedName name="_211__FDSAUDITLINK__" hidden="1">{"fdsup://directions/FAT Viewer?action=UPDATE&amp;creator=factset&amp;DYN_ARGS=TRUE&amp;DOC_NAME=FAT:FQL_AUDITING_CLIENT_TEMPLATE.FAT&amp;display_string=Audit&amp;VAR:KEY=SPAXABUVSH&amp;VAR:QUERY=RkZfQ0FQRVgoUVRSLC0yUSk=&amp;WINDOW=FIRST_POPUP&amp;HEIGHT=450&amp;WIDTH=450&amp;START_MAXIMIZED=FALS","E&amp;VAR:CALENDAR=US&amp;VAR:SYMBOL=BPL&amp;VAR:INDEX=0"}</definedName>
    <definedName name="_212__FDSAUDITLINK__" localSheetId="1" hidden="1">{"fdsup://directions/FAT Viewer?action=UPDATE&amp;creator=factset&amp;DYN_ARGS=TRUE&amp;DOC_NAME=FAT:FQL_AUDITING_CLIENT_TEMPLATE.FAT&amp;display_string=Audit&amp;VAR:KEY=SNYJOVEDIX&amp;VAR:QUERY=RkZfQ0FQRVgoUVRSLC0zUSk=&amp;WINDOW=FIRST_POPUP&amp;HEIGHT=450&amp;WIDTH=450&amp;START_MAXIMIZED=FALS","E&amp;VAR:CALENDAR=US&amp;VAR:SYMBOL=BPL&amp;VAR:INDEX=0"}</definedName>
    <definedName name="_212__FDSAUDITLINK__" localSheetId="3" hidden="1">{"fdsup://directions/FAT Viewer?action=UPDATE&amp;creator=factset&amp;DYN_ARGS=TRUE&amp;DOC_NAME=FAT:FQL_AUDITING_CLIENT_TEMPLATE.FAT&amp;display_string=Audit&amp;VAR:KEY=SNYJOVEDIX&amp;VAR:QUERY=RkZfQ0FQRVgoUVRSLC0zUSk=&amp;WINDOW=FIRST_POPUP&amp;HEIGHT=450&amp;WIDTH=450&amp;START_MAXIMIZED=FALS","E&amp;VAR:CALENDAR=US&amp;VAR:SYMBOL=BPL&amp;VAR:INDEX=0"}</definedName>
    <definedName name="_212__FDSAUDITLINK__" hidden="1">{"fdsup://directions/FAT Viewer?action=UPDATE&amp;creator=factset&amp;DYN_ARGS=TRUE&amp;DOC_NAME=FAT:FQL_AUDITING_CLIENT_TEMPLATE.FAT&amp;display_string=Audit&amp;VAR:KEY=SNYJOVEDIX&amp;VAR:QUERY=RkZfQ0FQRVgoUVRSLC0zUSk=&amp;WINDOW=FIRST_POPUP&amp;HEIGHT=450&amp;WIDTH=450&amp;START_MAXIMIZED=FALS","E&amp;VAR:CALENDAR=US&amp;VAR:SYMBOL=BPL&amp;VAR:INDEX=0"}</definedName>
    <definedName name="_213__FDSAUDITLINK__" localSheetId="1" hidden="1">{"fdsup://directions/FAT Viewer?action=UPDATE&amp;creator=factset&amp;DYN_ARGS=TRUE&amp;DOC_NAME=FAT:FQL_AUDITING_CLIENT_TEMPLATE.FAT&amp;display_string=Audit&amp;VAR:KEY=OVMZWVYBSL&amp;VAR:QUERY=RkZfQ0FQRVgoUVRSLDBRKQ==&amp;WINDOW=FIRST_POPUP&amp;HEIGHT=450&amp;WIDTH=450&amp;START_MAXIMIZED=FALS","E&amp;VAR:CALENDAR=US&amp;VAR:SYMBOL=BKEP&amp;VAR:INDEX=0"}</definedName>
    <definedName name="_213__FDSAUDITLINK__" localSheetId="3" hidden="1">{"fdsup://directions/FAT Viewer?action=UPDATE&amp;creator=factset&amp;DYN_ARGS=TRUE&amp;DOC_NAME=FAT:FQL_AUDITING_CLIENT_TEMPLATE.FAT&amp;display_string=Audit&amp;VAR:KEY=OVMZWVYBSL&amp;VAR:QUERY=RkZfQ0FQRVgoUVRSLDBRKQ==&amp;WINDOW=FIRST_POPUP&amp;HEIGHT=450&amp;WIDTH=450&amp;START_MAXIMIZED=FALS","E&amp;VAR:CALENDAR=US&amp;VAR:SYMBOL=BKEP&amp;VAR:INDEX=0"}</definedName>
    <definedName name="_213__FDSAUDITLINK__" hidden="1">{"fdsup://directions/FAT Viewer?action=UPDATE&amp;creator=factset&amp;DYN_ARGS=TRUE&amp;DOC_NAME=FAT:FQL_AUDITING_CLIENT_TEMPLATE.FAT&amp;display_string=Audit&amp;VAR:KEY=OVMZWVYBSL&amp;VAR:QUERY=RkZfQ0FQRVgoUVRSLDBRKQ==&amp;WINDOW=FIRST_POPUP&amp;HEIGHT=450&amp;WIDTH=450&amp;START_MAXIMIZED=FALS","E&amp;VAR:CALENDAR=US&amp;VAR:SYMBOL=BKEP&amp;VAR:INDEX=0"}</definedName>
    <definedName name="_214__FDSAUDITLINK__" localSheetId="1" hidden="1">{"fdsup://directions/FAT Viewer?action=UPDATE&amp;creator=factset&amp;DYN_ARGS=TRUE&amp;DOC_NAME=FAT:FQL_AUDITING_CLIENT_TEMPLATE.FAT&amp;display_string=Audit&amp;VAR:KEY=ETWJSXEDIP&amp;VAR:QUERY=RkZfQ0FQRVgoUVRSLC0xUSk=&amp;WINDOW=FIRST_POPUP&amp;HEIGHT=450&amp;WIDTH=450&amp;START_MAXIMIZED=FALS","E&amp;VAR:CALENDAR=US&amp;VAR:SYMBOL=BKEP&amp;VAR:INDEX=0"}</definedName>
    <definedName name="_214__FDSAUDITLINK__" localSheetId="3" hidden="1">{"fdsup://directions/FAT Viewer?action=UPDATE&amp;creator=factset&amp;DYN_ARGS=TRUE&amp;DOC_NAME=FAT:FQL_AUDITING_CLIENT_TEMPLATE.FAT&amp;display_string=Audit&amp;VAR:KEY=ETWJSXEDIP&amp;VAR:QUERY=RkZfQ0FQRVgoUVRSLC0xUSk=&amp;WINDOW=FIRST_POPUP&amp;HEIGHT=450&amp;WIDTH=450&amp;START_MAXIMIZED=FALS","E&amp;VAR:CALENDAR=US&amp;VAR:SYMBOL=BKEP&amp;VAR:INDEX=0"}</definedName>
    <definedName name="_214__FDSAUDITLINK__" hidden="1">{"fdsup://directions/FAT Viewer?action=UPDATE&amp;creator=factset&amp;DYN_ARGS=TRUE&amp;DOC_NAME=FAT:FQL_AUDITING_CLIENT_TEMPLATE.FAT&amp;display_string=Audit&amp;VAR:KEY=ETWJSXEDIP&amp;VAR:QUERY=RkZfQ0FQRVgoUVRSLC0xUSk=&amp;WINDOW=FIRST_POPUP&amp;HEIGHT=450&amp;WIDTH=450&amp;START_MAXIMIZED=FALS","E&amp;VAR:CALENDAR=US&amp;VAR:SYMBOL=BKEP&amp;VAR:INDEX=0"}</definedName>
    <definedName name="_215__FDSAUDITLINK__" localSheetId="1" hidden="1">{"fdsup://directions/FAT Viewer?action=UPDATE&amp;creator=factset&amp;DYN_ARGS=TRUE&amp;DOC_NAME=FAT:FQL_AUDITING_CLIENT_TEMPLATE.FAT&amp;display_string=Audit&amp;VAR:KEY=ENQZMFWXSL&amp;VAR:QUERY=RkZfQ0FQRVgoUVRSLC0yUSk=&amp;WINDOW=FIRST_POPUP&amp;HEIGHT=450&amp;WIDTH=450&amp;START_MAXIMIZED=FALS","E&amp;VAR:CALENDAR=US&amp;VAR:SYMBOL=BKEP&amp;VAR:INDEX=0"}</definedName>
    <definedName name="_215__FDSAUDITLINK__" localSheetId="3" hidden="1">{"fdsup://directions/FAT Viewer?action=UPDATE&amp;creator=factset&amp;DYN_ARGS=TRUE&amp;DOC_NAME=FAT:FQL_AUDITING_CLIENT_TEMPLATE.FAT&amp;display_string=Audit&amp;VAR:KEY=ENQZMFWXSL&amp;VAR:QUERY=RkZfQ0FQRVgoUVRSLC0yUSk=&amp;WINDOW=FIRST_POPUP&amp;HEIGHT=450&amp;WIDTH=450&amp;START_MAXIMIZED=FALS","E&amp;VAR:CALENDAR=US&amp;VAR:SYMBOL=BKEP&amp;VAR:INDEX=0"}</definedName>
    <definedName name="_215__FDSAUDITLINK__" hidden="1">{"fdsup://directions/FAT Viewer?action=UPDATE&amp;creator=factset&amp;DYN_ARGS=TRUE&amp;DOC_NAME=FAT:FQL_AUDITING_CLIENT_TEMPLATE.FAT&amp;display_string=Audit&amp;VAR:KEY=ENQZMFWXSL&amp;VAR:QUERY=RkZfQ0FQRVgoUVRSLC0yUSk=&amp;WINDOW=FIRST_POPUP&amp;HEIGHT=450&amp;WIDTH=450&amp;START_MAXIMIZED=FALS","E&amp;VAR:CALENDAR=US&amp;VAR:SYMBOL=BKEP&amp;VAR:INDEX=0"}</definedName>
    <definedName name="_216__FDSAUDITLINK__" localSheetId="1" hidden="1">{"fdsup://directions/FAT Viewer?action=UPDATE&amp;creator=factset&amp;DYN_ARGS=TRUE&amp;DOC_NAME=FAT:FQL_AUDITING_CLIENT_TEMPLATE.FAT&amp;display_string=Audit&amp;VAR:KEY=SHQBQZIVMX&amp;VAR:QUERY=RkZfQ0FQRVgoUVRSLC0zUSk=&amp;WINDOW=FIRST_POPUP&amp;HEIGHT=450&amp;WIDTH=450&amp;START_MAXIMIZED=FALS","E&amp;VAR:CALENDAR=US&amp;VAR:SYMBOL=BKEP&amp;VAR:INDEX=0"}</definedName>
    <definedName name="_216__FDSAUDITLINK__" localSheetId="3" hidden="1">{"fdsup://directions/FAT Viewer?action=UPDATE&amp;creator=factset&amp;DYN_ARGS=TRUE&amp;DOC_NAME=FAT:FQL_AUDITING_CLIENT_TEMPLATE.FAT&amp;display_string=Audit&amp;VAR:KEY=SHQBQZIVMX&amp;VAR:QUERY=RkZfQ0FQRVgoUVRSLC0zUSk=&amp;WINDOW=FIRST_POPUP&amp;HEIGHT=450&amp;WIDTH=450&amp;START_MAXIMIZED=FALS","E&amp;VAR:CALENDAR=US&amp;VAR:SYMBOL=BKEP&amp;VAR:INDEX=0"}</definedName>
    <definedName name="_216__FDSAUDITLINK__" hidden="1">{"fdsup://directions/FAT Viewer?action=UPDATE&amp;creator=factset&amp;DYN_ARGS=TRUE&amp;DOC_NAME=FAT:FQL_AUDITING_CLIENT_TEMPLATE.FAT&amp;display_string=Audit&amp;VAR:KEY=SHQBQZIVMX&amp;VAR:QUERY=RkZfQ0FQRVgoUVRSLC0zUSk=&amp;WINDOW=FIRST_POPUP&amp;HEIGHT=450&amp;WIDTH=450&amp;START_MAXIMIZED=FALS","E&amp;VAR:CALENDAR=US&amp;VAR:SYMBOL=BKEP&amp;VAR:INDEX=0"}</definedName>
    <definedName name="_217__FDSAUDITLINK__" localSheetId="1" hidden="1">{"fdsup://directions/FAT Viewer?action=UPDATE&amp;creator=factset&amp;DYN_ARGS=TRUE&amp;DOC_NAME=FAT:FQL_AUDITING_CLIENT_TEMPLATE.FAT&amp;display_string=Audit&amp;VAR:KEY=GBEZCBIPGH&amp;VAR:QUERY=RkZfQ0FQRVgoUVRSLDBRKQ==&amp;WINDOW=FIRST_POPUP&amp;HEIGHT=450&amp;WIDTH=450&amp;START_MAXIMIZED=FALS","E&amp;VAR:CALENDAR=US&amp;VAR:SYMBOL=ARLP&amp;VAR:INDEX=0"}</definedName>
    <definedName name="_217__FDSAUDITLINK__" localSheetId="3" hidden="1">{"fdsup://directions/FAT Viewer?action=UPDATE&amp;creator=factset&amp;DYN_ARGS=TRUE&amp;DOC_NAME=FAT:FQL_AUDITING_CLIENT_TEMPLATE.FAT&amp;display_string=Audit&amp;VAR:KEY=GBEZCBIPGH&amp;VAR:QUERY=RkZfQ0FQRVgoUVRSLDBRKQ==&amp;WINDOW=FIRST_POPUP&amp;HEIGHT=450&amp;WIDTH=450&amp;START_MAXIMIZED=FALS","E&amp;VAR:CALENDAR=US&amp;VAR:SYMBOL=ARLP&amp;VAR:INDEX=0"}</definedName>
    <definedName name="_217__FDSAUDITLINK__" hidden="1">{"fdsup://directions/FAT Viewer?action=UPDATE&amp;creator=factset&amp;DYN_ARGS=TRUE&amp;DOC_NAME=FAT:FQL_AUDITING_CLIENT_TEMPLATE.FAT&amp;display_string=Audit&amp;VAR:KEY=GBEZCBIPGH&amp;VAR:QUERY=RkZfQ0FQRVgoUVRSLDBRKQ==&amp;WINDOW=FIRST_POPUP&amp;HEIGHT=450&amp;WIDTH=450&amp;START_MAXIMIZED=FALS","E&amp;VAR:CALENDAR=US&amp;VAR:SYMBOL=ARLP&amp;VAR:INDEX=0"}</definedName>
    <definedName name="_218__FDSAUDITLINK__" localSheetId="1" hidden="1">{"fdsup://directions/FAT Viewer?action=UPDATE&amp;creator=factset&amp;DYN_ARGS=TRUE&amp;DOC_NAME=FAT:FQL_AUDITING_CLIENT_TEMPLATE.FAT&amp;display_string=Audit&amp;VAR:KEY=KZAJOTOJMH&amp;VAR:QUERY=RkZfQ0FQRVgoUVRSLC0xUSk=&amp;WINDOW=FIRST_POPUP&amp;HEIGHT=450&amp;WIDTH=450&amp;START_MAXIMIZED=FALS","E&amp;VAR:CALENDAR=US&amp;VAR:SYMBOL=ARLP&amp;VAR:INDEX=0"}</definedName>
    <definedName name="_218__FDSAUDITLINK__" localSheetId="3" hidden="1">{"fdsup://directions/FAT Viewer?action=UPDATE&amp;creator=factset&amp;DYN_ARGS=TRUE&amp;DOC_NAME=FAT:FQL_AUDITING_CLIENT_TEMPLATE.FAT&amp;display_string=Audit&amp;VAR:KEY=KZAJOTOJMH&amp;VAR:QUERY=RkZfQ0FQRVgoUVRSLC0xUSk=&amp;WINDOW=FIRST_POPUP&amp;HEIGHT=450&amp;WIDTH=450&amp;START_MAXIMIZED=FALS","E&amp;VAR:CALENDAR=US&amp;VAR:SYMBOL=ARLP&amp;VAR:INDEX=0"}</definedName>
    <definedName name="_218__FDSAUDITLINK__" hidden="1">{"fdsup://directions/FAT Viewer?action=UPDATE&amp;creator=factset&amp;DYN_ARGS=TRUE&amp;DOC_NAME=FAT:FQL_AUDITING_CLIENT_TEMPLATE.FAT&amp;display_string=Audit&amp;VAR:KEY=KZAJOTOJMH&amp;VAR:QUERY=RkZfQ0FQRVgoUVRSLC0xUSk=&amp;WINDOW=FIRST_POPUP&amp;HEIGHT=450&amp;WIDTH=450&amp;START_MAXIMIZED=FALS","E&amp;VAR:CALENDAR=US&amp;VAR:SYMBOL=ARLP&amp;VAR:INDEX=0"}</definedName>
    <definedName name="_219__FDSAUDITLINK__" localSheetId="1" hidden="1">{"fdsup://directions/FAT Viewer?action=UPDATE&amp;creator=factset&amp;DYN_ARGS=TRUE&amp;DOC_NAME=FAT:FQL_AUDITING_CLIENT_TEMPLATE.FAT&amp;display_string=Audit&amp;VAR:KEY=MXUFCXYFCH&amp;VAR:QUERY=RkZfQ0FQRVgoUVRSLC0yUSk=&amp;WINDOW=FIRST_POPUP&amp;HEIGHT=450&amp;WIDTH=450&amp;START_MAXIMIZED=FALS","E&amp;VAR:CALENDAR=US&amp;VAR:SYMBOL=ARLP&amp;VAR:INDEX=0"}</definedName>
    <definedName name="_219__FDSAUDITLINK__" localSheetId="3" hidden="1">{"fdsup://directions/FAT Viewer?action=UPDATE&amp;creator=factset&amp;DYN_ARGS=TRUE&amp;DOC_NAME=FAT:FQL_AUDITING_CLIENT_TEMPLATE.FAT&amp;display_string=Audit&amp;VAR:KEY=MXUFCXYFCH&amp;VAR:QUERY=RkZfQ0FQRVgoUVRSLC0yUSk=&amp;WINDOW=FIRST_POPUP&amp;HEIGHT=450&amp;WIDTH=450&amp;START_MAXIMIZED=FALS","E&amp;VAR:CALENDAR=US&amp;VAR:SYMBOL=ARLP&amp;VAR:INDEX=0"}</definedName>
    <definedName name="_219__FDSAUDITLINK__" hidden="1">{"fdsup://directions/FAT Viewer?action=UPDATE&amp;creator=factset&amp;DYN_ARGS=TRUE&amp;DOC_NAME=FAT:FQL_AUDITING_CLIENT_TEMPLATE.FAT&amp;display_string=Audit&amp;VAR:KEY=MXUFCXYFCH&amp;VAR:QUERY=RkZfQ0FQRVgoUVRSLC0yUSk=&amp;WINDOW=FIRST_POPUP&amp;HEIGHT=450&amp;WIDTH=450&amp;START_MAXIMIZED=FALS","E&amp;VAR:CALENDAR=US&amp;VAR:SYMBOL=ARLP&amp;VAR:INDEX=0"}</definedName>
    <definedName name="_22__123Graph_BCHART_1" hidden="1">#REF!</definedName>
    <definedName name="_22__123Graph_CQRE_S_BY_TYPE" hidden="1">#REF!</definedName>
    <definedName name="_22__123Graph_CSUPPLIES_BY_B_U" hidden="1">#REF!</definedName>
    <definedName name="_22__123Graph_DQRE_S_BY_CO." hidden="1">#REF!</definedName>
    <definedName name="_22__123Graph_FOP75_25PRICE" hidden="1">#REF!</definedName>
    <definedName name="_22__FDSAUDITLINK__" localSheetId="1" hidden="1">{"fdsup://directions/FAT Viewer?action=UPDATE&amp;creator=factset&amp;DYN_ARGS=TRUE&amp;DOC_NAME=FAT:FQL_AUDITING_CLIENT_TEMPLATE.FAT&amp;display_string=Audit&amp;VAR:KEY=KNQHUXSXOJ&amp;VAR:QUERY=RkZfQ0FQRVgoUVRSLC0xUSk=&amp;WINDOW=FIRST_POPUP&amp;HEIGHT=450&amp;WIDTH=450&amp;START_MAXIMIZED=FALS","E&amp;VAR:CALENDAR=US&amp;VAR:SYMBOL=EVEP&amp;VAR:INDEX=0"}</definedName>
    <definedName name="_22__FDSAUDITLINK__" localSheetId="3" hidden="1">{"fdsup://directions/FAT Viewer?action=UPDATE&amp;creator=factset&amp;DYN_ARGS=TRUE&amp;DOC_NAME=FAT:FQL_AUDITING_CLIENT_TEMPLATE.FAT&amp;display_string=Audit&amp;VAR:KEY=KNQHUXSXOJ&amp;VAR:QUERY=RkZfQ0FQRVgoUVRSLC0xUSk=&amp;WINDOW=FIRST_POPUP&amp;HEIGHT=450&amp;WIDTH=450&amp;START_MAXIMIZED=FALS","E&amp;VAR:CALENDAR=US&amp;VAR:SYMBOL=EVEP&amp;VAR:INDEX=0"}</definedName>
    <definedName name="_22__FDSAUDITLINK__" hidden="1">{"fdsup://directions/FAT Viewer?action=UPDATE&amp;creator=factset&amp;DYN_ARGS=TRUE&amp;DOC_NAME=FAT:FQL_AUDITING_CLIENT_TEMPLATE.FAT&amp;display_string=Audit&amp;VAR:KEY=KNQHUXSXOJ&amp;VAR:QUERY=RkZfQ0FQRVgoUVRSLC0xUSk=&amp;WINDOW=FIRST_POPUP&amp;HEIGHT=450&amp;WIDTH=450&amp;START_MAXIMIZED=FALS","E&amp;VAR:CALENDAR=US&amp;VAR:SYMBOL=EVEP&amp;VAR:INDEX=0"}</definedName>
    <definedName name="_220__FDSAUDITLINK__" localSheetId="1" hidden="1">{"fdsup://directions/FAT Viewer?action=UPDATE&amp;creator=factset&amp;DYN_ARGS=TRUE&amp;DOC_NAME=FAT:FQL_AUDITING_CLIENT_TEMPLATE.FAT&amp;display_string=Audit&amp;VAR:KEY=ILAZWDYLGN&amp;VAR:QUERY=RkZfQ0FQRVgoUVRSLC0zUSk=&amp;WINDOW=FIRST_POPUP&amp;HEIGHT=450&amp;WIDTH=450&amp;START_MAXIMIZED=FALS","E&amp;VAR:CALENDAR=US&amp;VAR:SYMBOL=ARLP&amp;VAR:INDEX=0"}</definedName>
    <definedName name="_220__FDSAUDITLINK__" localSheetId="3" hidden="1">{"fdsup://directions/FAT Viewer?action=UPDATE&amp;creator=factset&amp;DYN_ARGS=TRUE&amp;DOC_NAME=FAT:FQL_AUDITING_CLIENT_TEMPLATE.FAT&amp;display_string=Audit&amp;VAR:KEY=ILAZWDYLGN&amp;VAR:QUERY=RkZfQ0FQRVgoUVRSLC0zUSk=&amp;WINDOW=FIRST_POPUP&amp;HEIGHT=450&amp;WIDTH=450&amp;START_MAXIMIZED=FALS","E&amp;VAR:CALENDAR=US&amp;VAR:SYMBOL=ARLP&amp;VAR:INDEX=0"}</definedName>
    <definedName name="_220__FDSAUDITLINK__" hidden="1">{"fdsup://directions/FAT Viewer?action=UPDATE&amp;creator=factset&amp;DYN_ARGS=TRUE&amp;DOC_NAME=FAT:FQL_AUDITING_CLIENT_TEMPLATE.FAT&amp;display_string=Audit&amp;VAR:KEY=ILAZWDYLGN&amp;VAR:QUERY=RkZfQ0FQRVgoUVRSLC0zUSk=&amp;WINDOW=FIRST_POPUP&amp;HEIGHT=450&amp;WIDTH=450&amp;START_MAXIMIZED=FALS","E&amp;VAR:CALENDAR=US&amp;VAR:SYMBOL=ARLP&amp;VAR:INDEX=0"}</definedName>
    <definedName name="_221__FDSAUDITLINK__" localSheetId="1" hidden="1">{"fdsup://directions/FAT Viewer?action=UPDATE&amp;creator=factset&amp;DYN_ARGS=TRUE&amp;DOC_NAME=FAT:FQL_AUDITING_CLIENT_TEMPLATE.FAT&amp;display_string=Audit&amp;VAR:KEY=MDKBYZORMP&amp;VAR:QUERY=RkZfQ0FQRVgoUVRSLDBRKQ==&amp;WINDOW=FIRST_POPUP&amp;HEIGHT=450&amp;WIDTH=450&amp;START_MAXIMIZED=FALS","E&amp;VAR:CALENDAR=US&amp;VAR:SYMBOL=APU&amp;VAR:INDEX=0"}</definedName>
    <definedName name="_221__FDSAUDITLINK__" localSheetId="3" hidden="1">{"fdsup://directions/FAT Viewer?action=UPDATE&amp;creator=factset&amp;DYN_ARGS=TRUE&amp;DOC_NAME=FAT:FQL_AUDITING_CLIENT_TEMPLATE.FAT&amp;display_string=Audit&amp;VAR:KEY=MDKBYZORMP&amp;VAR:QUERY=RkZfQ0FQRVgoUVRSLDBRKQ==&amp;WINDOW=FIRST_POPUP&amp;HEIGHT=450&amp;WIDTH=450&amp;START_MAXIMIZED=FALS","E&amp;VAR:CALENDAR=US&amp;VAR:SYMBOL=APU&amp;VAR:INDEX=0"}</definedName>
    <definedName name="_221__FDSAUDITLINK__" hidden="1">{"fdsup://directions/FAT Viewer?action=UPDATE&amp;creator=factset&amp;DYN_ARGS=TRUE&amp;DOC_NAME=FAT:FQL_AUDITING_CLIENT_TEMPLATE.FAT&amp;display_string=Audit&amp;VAR:KEY=MDKBYZORMP&amp;VAR:QUERY=RkZfQ0FQRVgoUVRSLDBRKQ==&amp;WINDOW=FIRST_POPUP&amp;HEIGHT=450&amp;WIDTH=450&amp;START_MAXIMIZED=FALS","E&amp;VAR:CALENDAR=US&amp;VAR:SYMBOL=APU&amp;VAR:INDEX=0"}</definedName>
    <definedName name="_222__FDSAUDITLINK__" localSheetId="1" hidden="1">{"fdsup://directions/FAT Viewer?action=UPDATE&amp;creator=factset&amp;DYN_ARGS=TRUE&amp;DOC_NAME=FAT:FQL_AUDITING_CLIENT_TEMPLATE.FAT&amp;display_string=Audit&amp;VAR:KEY=EDSRAHIDAT&amp;VAR:QUERY=RkZfQ0FQRVgoUVRSLC0xUSk=&amp;WINDOW=FIRST_POPUP&amp;HEIGHT=450&amp;WIDTH=450&amp;START_MAXIMIZED=FALS","E&amp;VAR:CALENDAR=US&amp;VAR:SYMBOL=APU&amp;VAR:INDEX=0"}</definedName>
    <definedName name="_222__FDSAUDITLINK__" localSheetId="3" hidden="1">{"fdsup://directions/FAT Viewer?action=UPDATE&amp;creator=factset&amp;DYN_ARGS=TRUE&amp;DOC_NAME=FAT:FQL_AUDITING_CLIENT_TEMPLATE.FAT&amp;display_string=Audit&amp;VAR:KEY=EDSRAHIDAT&amp;VAR:QUERY=RkZfQ0FQRVgoUVRSLC0xUSk=&amp;WINDOW=FIRST_POPUP&amp;HEIGHT=450&amp;WIDTH=450&amp;START_MAXIMIZED=FALS","E&amp;VAR:CALENDAR=US&amp;VAR:SYMBOL=APU&amp;VAR:INDEX=0"}</definedName>
    <definedName name="_222__FDSAUDITLINK__" hidden="1">{"fdsup://directions/FAT Viewer?action=UPDATE&amp;creator=factset&amp;DYN_ARGS=TRUE&amp;DOC_NAME=FAT:FQL_AUDITING_CLIENT_TEMPLATE.FAT&amp;display_string=Audit&amp;VAR:KEY=EDSRAHIDAT&amp;VAR:QUERY=RkZfQ0FQRVgoUVRSLC0xUSk=&amp;WINDOW=FIRST_POPUP&amp;HEIGHT=450&amp;WIDTH=450&amp;START_MAXIMIZED=FALS","E&amp;VAR:CALENDAR=US&amp;VAR:SYMBOL=APU&amp;VAR:INDEX=0"}</definedName>
    <definedName name="_223__FDSAUDITLINK__" localSheetId="1" hidden="1">{"fdsup://directions/FAT Viewer?action=UPDATE&amp;creator=factset&amp;DYN_ARGS=TRUE&amp;DOC_NAME=FAT:FQL_AUDITING_CLIENT_TEMPLATE.FAT&amp;display_string=Audit&amp;VAR:KEY=YDYTENQBOT&amp;VAR:QUERY=RkZfQ0FQRVgoUVRSLC0yUSk=&amp;WINDOW=FIRST_POPUP&amp;HEIGHT=450&amp;WIDTH=450&amp;START_MAXIMIZED=FALS","E&amp;VAR:CALENDAR=US&amp;VAR:SYMBOL=APU&amp;VAR:INDEX=0"}</definedName>
    <definedName name="_223__FDSAUDITLINK__" localSheetId="3" hidden="1">{"fdsup://directions/FAT Viewer?action=UPDATE&amp;creator=factset&amp;DYN_ARGS=TRUE&amp;DOC_NAME=FAT:FQL_AUDITING_CLIENT_TEMPLATE.FAT&amp;display_string=Audit&amp;VAR:KEY=YDYTENQBOT&amp;VAR:QUERY=RkZfQ0FQRVgoUVRSLC0yUSk=&amp;WINDOW=FIRST_POPUP&amp;HEIGHT=450&amp;WIDTH=450&amp;START_MAXIMIZED=FALS","E&amp;VAR:CALENDAR=US&amp;VAR:SYMBOL=APU&amp;VAR:INDEX=0"}</definedName>
    <definedName name="_223__FDSAUDITLINK__" hidden="1">{"fdsup://directions/FAT Viewer?action=UPDATE&amp;creator=factset&amp;DYN_ARGS=TRUE&amp;DOC_NAME=FAT:FQL_AUDITING_CLIENT_TEMPLATE.FAT&amp;display_string=Audit&amp;VAR:KEY=YDYTENQBOT&amp;VAR:QUERY=RkZfQ0FQRVgoUVRSLC0yUSk=&amp;WINDOW=FIRST_POPUP&amp;HEIGHT=450&amp;WIDTH=450&amp;START_MAXIMIZED=FALS","E&amp;VAR:CALENDAR=US&amp;VAR:SYMBOL=APU&amp;VAR:INDEX=0"}</definedName>
    <definedName name="_224__FDSAUDITLINK__" localSheetId="1" hidden="1">{"fdsup://directions/FAT Viewer?action=UPDATE&amp;creator=factset&amp;DYN_ARGS=TRUE&amp;DOC_NAME=FAT:FQL_AUDITING_CLIENT_TEMPLATE.FAT&amp;display_string=Audit&amp;VAR:KEY=OHWBIJUDWP&amp;VAR:QUERY=RkZfQ0FQRVgoUVRSLC0zUSk=&amp;WINDOW=FIRST_POPUP&amp;HEIGHT=450&amp;WIDTH=450&amp;START_MAXIMIZED=FALS","E&amp;VAR:CALENDAR=US&amp;VAR:SYMBOL=APU&amp;VAR:INDEX=0"}</definedName>
    <definedName name="_224__FDSAUDITLINK__" localSheetId="3" hidden="1">{"fdsup://directions/FAT Viewer?action=UPDATE&amp;creator=factset&amp;DYN_ARGS=TRUE&amp;DOC_NAME=FAT:FQL_AUDITING_CLIENT_TEMPLATE.FAT&amp;display_string=Audit&amp;VAR:KEY=OHWBIJUDWP&amp;VAR:QUERY=RkZfQ0FQRVgoUVRSLC0zUSk=&amp;WINDOW=FIRST_POPUP&amp;HEIGHT=450&amp;WIDTH=450&amp;START_MAXIMIZED=FALS","E&amp;VAR:CALENDAR=US&amp;VAR:SYMBOL=APU&amp;VAR:INDEX=0"}</definedName>
    <definedName name="_224__FDSAUDITLINK__" hidden="1">{"fdsup://directions/FAT Viewer?action=UPDATE&amp;creator=factset&amp;DYN_ARGS=TRUE&amp;DOC_NAME=FAT:FQL_AUDITING_CLIENT_TEMPLATE.FAT&amp;display_string=Audit&amp;VAR:KEY=OHWBIJUDWP&amp;VAR:QUERY=RkZfQ0FQRVgoUVRSLC0zUSk=&amp;WINDOW=FIRST_POPUP&amp;HEIGHT=450&amp;WIDTH=450&amp;START_MAXIMIZED=FALS","E&amp;VAR:CALENDAR=US&amp;VAR:SYMBOL=APU&amp;VAR:INDEX=0"}</definedName>
    <definedName name="_225__FDSAUDITLINK__" localSheetId="1" hidden="1">{"fdsup://directions/FAT Viewer?action=UPDATE&amp;creator=factset&amp;DYN_ARGS=TRUE&amp;DOC_NAME=FAT:FQL_AUDITING_CLIENT_TEMPLATE.FAT&amp;display_string=Audit&amp;VAR:KEY=CJGBOFAPUN&amp;VAR:QUERY=RkZfQ0FQRVgoUVRSLDBRKQ==&amp;WINDOW=FIRST_POPUP&amp;HEIGHT=450&amp;WIDTH=450&amp;START_MAXIMIZED=FALS","E&amp;VAR:CALENDAR=US&amp;VAR:SYMBOL=APL&amp;VAR:INDEX=0"}</definedName>
    <definedName name="_225__FDSAUDITLINK__" localSheetId="3" hidden="1">{"fdsup://directions/FAT Viewer?action=UPDATE&amp;creator=factset&amp;DYN_ARGS=TRUE&amp;DOC_NAME=FAT:FQL_AUDITING_CLIENT_TEMPLATE.FAT&amp;display_string=Audit&amp;VAR:KEY=CJGBOFAPUN&amp;VAR:QUERY=RkZfQ0FQRVgoUVRSLDBRKQ==&amp;WINDOW=FIRST_POPUP&amp;HEIGHT=450&amp;WIDTH=450&amp;START_MAXIMIZED=FALS","E&amp;VAR:CALENDAR=US&amp;VAR:SYMBOL=APL&amp;VAR:INDEX=0"}</definedName>
    <definedName name="_225__FDSAUDITLINK__" hidden="1">{"fdsup://directions/FAT Viewer?action=UPDATE&amp;creator=factset&amp;DYN_ARGS=TRUE&amp;DOC_NAME=FAT:FQL_AUDITING_CLIENT_TEMPLATE.FAT&amp;display_string=Audit&amp;VAR:KEY=CJGBOFAPUN&amp;VAR:QUERY=RkZfQ0FQRVgoUVRSLDBRKQ==&amp;WINDOW=FIRST_POPUP&amp;HEIGHT=450&amp;WIDTH=450&amp;START_MAXIMIZED=FALS","E&amp;VAR:CALENDAR=US&amp;VAR:SYMBOL=APL&amp;VAR:INDEX=0"}</definedName>
    <definedName name="_226__FDSAUDITLINK__" localSheetId="1" hidden="1">{"fdsup://directions/FAT Viewer?action=UPDATE&amp;creator=factset&amp;DYN_ARGS=TRUE&amp;DOC_NAME=FAT:FQL_AUDITING_CLIENT_TEMPLATE.FAT&amp;display_string=Audit&amp;VAR:KEY=UJCNCDWZYH&amp;VAR:QUERY=RkZfQ0FQRVgoUVRSLC0xUSk=&amp;WINDOW=FIRST_POPUP&amp;HEIGHT=450&amp;WIDTH=450&amp;START_MAXIMIZED=FALS","E&amp;VAR:CALENDAR=US&amp;VAR:SYMBOL=APL&amp;VAR:INDEX=0"}</definedName>
    <definedName name="_226__FDSAUDITLINK__" localSheetId="3" hidden="1">{"fdsup://directions/FAT Viewer?action=UPDATE&amp;creator=factset&amp;DYN_ARGS=TRUE&amp;DOC_NAME=FAT:FQL_AUDITING_CLIENT_TEMPLATE.FAT&amp;display_string=Audit&amp;VAR:KEY=UJCNCDWZYH&amp;VAR:QUERY=RkZfQ0FQRVgoUVRSLC0xUSk=&amp;WINDOW=FIRST_POPUP&amp;HEIGHT=450&amp;WIDTH=450&amp;START_MAXIMIZED=FALS","E&amp;VAR:CALENDAR=US&amp;VAR:SYMBOL=APL&amp;VAR:INDEX=0"}</definedName>
    <definedName name="_226__FDSAUDITLINK__" hidden="1">{"fdsup://directions/FAT Viewer?action=UPDATE&amp;creator=factset&amp;DYN_ARGS=TRUE&amp;DOC_NAME=FAT:FQL_AUDITING_CLIENT_TEMPLATE.FAT&amp;display_string=Audit&amp;VAR:KEY=UJCNCDWZYH&amp;VAR:QUERY=RkZfQ0FQRVgoUVRSLC0xUSk=&amp;WINDOW=FIRST_POPUP&amp;HEIGHT=450&amp;WIDTH=450&amp;START_MAXIMIZED=FALS","E&amp;VAR:CALENDAR=US&amp;VAR:SYMBOL=APL&amp;VAR:INDEX=0"}</definedName>
    <definedName name="_227__FDSAUDITLINK__" localSheetId="1" hidden="1">{"fdsup://directions/FAT Viewer?action=UPDATE&amp;creator=factset&amp;DYN_ARGS=TRUE&amp;DOC_NAME=FAT:FQL_AUDITING_CLIENT_TEMPLATE.FAT&amp;display_string=Audit&amp;VAR:KEY=ULILIHILQP&amp;VAR:QUERY=RkZfQ0FQRVgoUVRSLC0yUSk=&amp;WINDOW=FIRST_POPUP&amp;HEIGHT=450&amp;WIDTH=450&amp;START_MAXIMIZED=FALS","E&amp;VAR:CALENDAR=US&amp;VAR:SYMBOL=APL&amp;VAR:INDEX=0"}</definedName>
    <definedName name="_227__FDSAUDITLINK__" localSheetId="3" hidden="1">{"fdsup://directions/FAT Viewer?action=UPDATE&amp;creator=factset&amp;DYN_ARGS=TRUE&amp;DOC_NAME=FAT:FQL_AUDITING_CLIENT_TEMPLATE.FAT&amp;display_string=Audit&amp;VAR:KEY=ULILIHILQP&amp;VAR:QUERY=RkZfQ0FQRVgoUVRSLC0yUSk=&amp;WINDOW=FIRST_POPUP&amp;HEIGHT=450&amp;WIDTH=450&amp;START_MAXIMIZED=FALS","E&amp;VAR:CALENDAR=US&amp;VAR:SYMBOL=APL&amp;VAR:INDEX=0"}</definedName>
    <definedName name="_227__FDSAUDITLINK__" hidden="1">{"fdsup://directions/FAT Viewer?action=UPDATE&amp;creator=factset&amp;DYN_ARGS=TRUE&amp;DOC_NAME=FAT:FQL_AUDITING_CLIENT_TEMPLATE.FAT&amp;display_string=Audit&amp;VAR:KEY=ULILIHILQP&amp;VAR:QUERY=RkZfQ0FQRVgoUVRSLC0yUSk=&amp;WINDOW=FIRST_POPUP&amp;HEIGHT=450&amp;WIDTH=450&amp;START_MAXIMIZED=FALS","E&amp;VAR:CALENDAR=US&amp;VAR:SYMBOL=APL&amp;VAR:INDEX=0"}</definedName>
    <definedName name="_228__FDSAUDITLINK__" localSheetId="1" hidden="1">{"fdsup://directions/FAT Viewer?action=UPDATE&amp;creator=factset&amp;DYN_ARGS=TRUE&amp;DOC_NAME=FAT:FQL_AUDITING_CLIENT_TEMPLATE.FAT&amp;display_string=Audit&amp;VAR:KEY=ALWBKHSXEZ&amp;VAR:QUERY=RkZfQ0FQRVgoUVRSLC0zUSk=&amp;WINDOW=FIRST_POPUP&amp;HEIGHT=450&amp;WIDTH=450&amp;START_MAXIMIZED=FALS","E&amp;VAR:CALENDAR=US&amp;VAR:SYMBOL=APL&amp;VAR:INDEX=0"}</definedName>
    <definedName name="_228__FDSAUDITLINK__" localSheetId="3" hidden="1">{"fdsup://directions/FAT Viewer?action=UPDATE&amp;creator=factset&amp;DYN_ARGS=TRUE&amp;DOC_NAME=FAT:FQL_AUDITING_CLIENT_TEMPLATE.FAT&amp;display_string=Audit&amp;VAR:KEY=ALWBKHSXEZ&amp;VAR:QUERY=RkZfQ0FQRVgoUVRSLC0zUSk=&amp;WINDOW=FIRST_POPUP&amp;HEIGHT=450&amp;WIDTH=450&amp;START_MAXIMIZED=FALS","E&amp;VAR:CALENDAR=US&amp;VAR:SYMBOL=APL&amp;VAR:INDEX=0"}</definedName>
    <definedName name="_228__FDSAUDITLINK__" hidden="1">{"fdsup://directions/FAT Viewer?action=UPDATE&amp;creator=factset&amp;DYN_ARGS=TRUE&amp;DOC_NAME=FAT:FQL_AUDITING_CLIENT_TEMPLATE.FAT&amp;display_string=Audit&amp;VAR:KEY=ALWBKHSXEZ&amp;VAR:QUERY=RkZfQ0FQRVgoUVRSLC0zUSk=&amp;WINDOW=FIRST_POPUP&amp;HEIGHT=450&amp;WIDTH=450&amp;START_MAXIMIZED=FALS","E&amp;VAR:CALENDAR=US&amp;VAR:SYMBOL=APL&amp;VAR:INDEX=0"}</definedName>
    <definedName name="_229__FDSAUDITLINK__" localSheetId="1" hidden="1">{"fdsup://directions/FAT Viewer?action=UPDATE&amp;creator=factset&amp;DYN_ARGS=TRUE&amp;DOC_NAME=FAT:FQL_AUDITING_CLIENT_TEMPLATE.FAT&amp;display_string=Audit&amp;VAR:KEY=UJKNYZOXGH&amp;VAR:QUERY=RkZfQ0FQRVgoUVRSLDBRKQ==&amp;WINDOW=FIRST_POPUP&amp;HEIGHT=450&amp;WIDTH=450&amp;START_MAXIMIZED=FALS","E&amp;VAR:CALENDAR=US&amp;VAR:SYMBOL=XTXI&amp;VAR:INDEX=0"}</definedName>
    <definedName name="_229__FDSAUDITLINK__" localSheetId="3" hidden="1">{"fdsup://directions/FAT Viewer?action=UPDATE&amp;creator=factset&amp;DYN_ARGS=TRUE&amp;DOC_NAME=FAT:FQL_AUDITING_CLIENT_TEMPLATE.FAT&amp;display_string=Audit&amp;VAR:KEY=UJKNYZOXGH&amp;VAR:QUERY=RkZfQ0FQRVgoUVRSLDBRKQ==&amp;WINDOW=FIRST_POPUP&amp;HEIGHT=450&amp;WIDTH=450&amp;START_MAXIMIZED=FALS","E&amp;VAR:CALENDAR=US&amp;VAR:SYMBOL=XTXI&amp;VAR:INDEX=0"}</definedName>
    <definedName name="_229__FDSAUDITLINK__" hidden="1">{"fdsup://directions/FAT Viewer?action=UPDATE&amp;creator=factset&amp;DYN_ARGS=TRUE&amp;DOC_NAME=FAT:FQL_AUDITING_CLIENT_TEMPLATE.FAT&amp;display_string=Audit&amp;VAR:KEY=UJKNYZOXGH&amp;VAR:QUERY=RkZfQ0FQRVgoUVRSLDBRKQ==&amp;WINDOW=FIRST_POPUP&amp;HEIGHT=450&amp;WIDTH=450&amp;START_MAXIMIZED=FALS","E&amp;VAR:CALENDAR=US&amp;VAR:SYMBOL=XTXI&amp;VAR:INDEX=0"}</definedName>
    <definedName name="_23__123Graph_CSENS_COMPARISON" hidden="1">#REF!</definedName>
    <definedName name="_23__123Graph_CWAGES_BY_B_U" hidden="1">#REF!</definedName>
    <definedName name="_23__123Graph_DSUPPLIES_BY_B_U" hidden="1">#REF!</definedName>
    <definedName name="_23__123Graph_FOP75_25RETURN" hidden="1">#REF!</definedName>
    <definedName name="_23__FDSAUDITLINK__" localSheetId="1" hidden="1">{"fdsup://directions/FAT Viewer?action=UPDATE&amp;creator=factset&amp;DYN_ARGS=TRUE&amp;DOC_NAME=FAT:FQL_AUDITING_CLIENT_TEMPLATE.FAT&amp;display_string=Audit&amp;VAR:KEY=ETKFAHIZCJ&amp;VAR:QUERY=RkZfQ0FQRVgoUVRSLC0yUSk=&amp;WINDOW=FIRST_POPUP&amp;HEIGHT=450&amp;WIDTH=450&amp;START_MAXIMIZED=FALS","E&amp;VAR:CALENDAR=US&amp;VAR:SYMBOL=EVEP&amp;VAR:INDEX=0"}</definedName>
    <definedName name="_23__FDSAUDITLINK__" localSheetId="3" hidden="1">{"fdsup://directions/FAT Viewer?action=UPDATE&amp;creator=factset&amp;DYN_ARGS=TRUE&amp;DOC_NAME=FAT:FQL_AUDITING_CLIENT_TEMPLATE.FAT&amp;display_string=Audit&amp;VAR:KEY=ETKFAHIZCJ&amp;VAR:QUERY=RkZfQ0FQRVgoUVRSLC0yUSk=&amp;WINDOW=FIRST_POPUP&amp;HEIGHT=450&amp;WIDTH=450&amp;START_MAXIMIZED=FALS","E&amp;VAR:CALENDAR=US&amp;VAR:SYMBOL=EVEP&amp;VAR:INDEX=0"}</definedName>
    <definedName name="_23__FDSAUDITLINK__" hidden="1">{"fdsup://directions/FAT Viewer?action=UPDATE&amp;creator=factset&amp;DYN_ARGS=TRUE&amp;DOC_NAME=FAT:FQL_AUDITING_CLIENT_TEMPLATE.FAT&amp;display_string=Audit&amp;VAR:KEY=ETKFAHIZCJ&amp;VAR:QUERY=RkZfQ0FQRVgoUVRSLC0yUSk=&amp;WINDOW=FIRST_POPUP&amp;HEIGHT=450&amp;WIDTH=450&amp;START_MAXIMIZED=FALS","E&amp;VAR:CALENDAR=US&amp;VAR:SYMBOL=EVEP&amp;VAR:INDEX=0"}</definedName>
    <definedName name="_230__FDSAUDITLINK__" localSheetId="1" hidden="1">{"fdsup://directions/FAT Viewer?action=UPDATE&amp;creator=factset&amp;DYN_ARGS=TRUE&amp;DOC_NAME=FAT:FQL_AUDITING_CLIENT_TEMPLATE.FAT&amp;display_string=Audit&amp;VAR:KEY=UZINYXYJIP&amp;VAR:QUERY=RkZfQ0FQRVgoUVRSLC0xUSk=&amp;WINDOW=FIRST_POPUP&amp;HEIGHT=450&amp;WIDTH=450&amp;START_MAXIMIZED=FALS","E&amp;VAR:CALENDAR=US&amp;VAR:SYMBOL=XTXI&amp;VAR:INDEX=0"}</definedName>
    <definedName name="_230__FDSAUDITLINK__" localSheetId="3" hidden="1">{"fdsup://directions/FAT Viewer?action=UPDATE&amp;creator=factset&amp;DYN_ARGS=TRUE&amp;DOC_NAME=FAT:FQL_AUDITING_CLIENT_TEMPLATE.FAT&amp;display_string=Audit&amp;VAR:KEY=UZINYXYJIP&amp;VAR:QUERY=RkZfQ0FQRVgoUVRSLC0xUSk=&amp;WINDOW=FIRST_POPUP&amp;HEIGHT=450&amp;WIDTH=450&amp;START_MAXIMIZED=FALS","E&amp;VAR:CALENDAR=US&amp;VAR:SYMBOL=XTXI&amp;VAR:INDEX=0"}</definedName>
    <definedName name="_230__FDSAUDITLINK__" hidden="1">{"fdsup://directions/FAT Viewer?action=UPDATE&amp;creator=factset&amp;DYN_ARGS=TRUE&amp;DOC_NAME=FAT:FQL_AUDITING_CLIENT_TEMPLATE.FAT&amp;display_string=Audit&amp;VAR:KEY=UZINYXYJIP&amp;VAR:QUERY=RkZfQ0FQRVgoUVRSLC0xUSk=&amp;WINDOW=FIRST_POPUP&amp;HEIGHT=450&amp;WIDTH=450&amp;START_MAXIMIZED=FALS","E&amp;VAR:CALENDAR=US&amp;VAR:SYMBOL=XTXI&amp;VAR:INDEX=0"}</definedName>
    <definedName name="_231__FDSAUDITLINK__" localSheetId="1" hidden="1">{"fdsup://directions/FAT Viewer?action=UPDATE&amp;creator=factset&amp;DYN_ARGS=TRUE&amp;DOC_NAME=FAT:FQL_AUDITING_CLIENT_TEMPLATE.FAT&amp;display_string=Audit&amp;VAR:KEY=KBUNSBMVWP&amp;VAR:QUERY=RkZfQ0FQRVgoUVRSLC0yUSk=&amp;WINDOW=FIRST_POPUP&amp;HEIGHT=450&amp;WIDTH=450&amp;START_MAXIMIZED=FALS","E&amp;VAR:CALENDAR=US&amp;VAR:SYMBOL=XTXI&amp;VAR:INDEX=0"}</definedName>
    <definedName name="_231__FDSAUDITLINK__" localSheetId="3" hidden="1">{"fdsup://directions/FAT Viewer?action=UPDATE&amp;creator=factset&amp;DYN_ARGS=TRUE&amp;DOC_NAME=FAT:FQL_AUDITING_CLIENT_TEMPLATE.FAT&amp;display_string=Audit&amp;VAR:KEY=KBUNSBMVWP&amp;VAR:QUERY=RkZfQ0FQRVgoUVRSLC0yUSk=&amp;WINDOW=FIRST_POPUP&amp;HEIGHT=450&amp;WIDTH=450&amp;START_MAXIMIZED=FALS","E&amp;VAR:CALENDAR=US&amp;VAR:SYMBOL=XTXI&amp;VAR:INDEX=0"}</definedName>
    <definedName name="_231__FDSAUDITLINK__" hidden="1">{"fdsup://directions/FAT Viewer?action=UPDATE&amp;creator=factset&amp;DYN_ARGS=TRUE&amp;DOC_NAME=FAT:FQL_AUDITING_CLIENT_TEMPLATE.FAT&amp;display_string=Audit&amp;VAR:KEY=KBUNSBMVWP&amp;VAR:QUERY=RkZfQ0FQRVgoUVRSLC0yUSk=&amp;WINDOW=FIRST_POPUP&amp;HEIGHT=450&amp;WIDTH=450&amp;START_MAXIMIZED=FALS","E&amp;VAR:CALENDAR=US&amp;VAR:SYMBOL=XTXI&amp;VAR:INDEX=0"}</definedName>
    <definedName name="_232__FDSAUDITLINK__" localSheetId="1" hidden="1">{"fdsup://directions/FAT Viewer?action=UPDATE&amp;creator=factset&amp;DYN_ARGS=TRUE&amp;DOC_NAME=FAT:FQL_AUDITING_CLIENT_TEMPLATE.FAT&amp;display_string=Audit&amp;VAR:KEY=QTIRGRCNQP&amp;VAR:QUERY=RkZfQ0FQRVgoUVRSLC0zUSk=&amp;WINDOW=FIRST_POPUP&amp;HEIGHT=450&amp;WIDTH=450&amp;START_MAXIMIZED=FALS","E&amp;VAR:CALENDAR=US&amp;VAR:SYMBOL=XTXI&amp;VAR:INDEX=0"}</definedName>
    <definedName name="_232__FDSAUDITLINK__" localSheetId="3" hidden="1">{"fdsup://directions/FAT Viewer?action=UPDATE&amp;creator=factset&amp;DYN_ARGS=TRUE&amp;DOC_NAME=FAT:FQL_AUDITING_CLIENT_TEMPLATE.FAT&amp;display_string=Audit&amp;VAR:KEY=QTIRGRCNQP&amp;VAR:QUERY=RkZfQ0FQRVgoUVRSLC0zUSk=&amp;WINDOW=FIRST_POPUP&amp;HEIGHT=450&amp;WIDTH=450&amp;START_MAXIMIZED=FALS","E&amp;VAR:CALENDAR=US&amp;VAR:SYMBOL=XTXI&amp;VAR:INDEX=0"}</definedName>
    <definedName name="_232__FDSAUDITLINK__" hidden="1">{"fdsup://directions/FAT Viewer?action=UPDATE&amp;creator=factset&amp;DYN_ARGS=TRUE&amp;DOC_NAME=FAT:FQL_AUDITING_CLIENT_TEMPLATE.FAT&amp;display_string=Audit&amp;VAR:KEY=QTIRGRCNQP&amp;VAR:QUERY=RkZfQ0FQRVgoUVRSLC0zUSk=&amp;WINDOW=FIRST_POPUP&amp;HEIGHT=450&amp;WIDTH=450&amp;START_MAXIMIZED=FALS","E&amp;VAR:CALENDAR=US&amp;VAR:SYMBOL=XTXI&amp;VAR:INDEX=0"}</definedName>
    <definedName name="_233__FDSAUDITLINK__" localSheetId="1" hidden="1">{"fdsup://directions/FAT Viewer?action=UPDATE&amp;creator=factset&amp;DYN_ARGS=TRUE&amp;DOC_NAME=FAT:FQL_AUDITING_CLIENT_TEMPLATE.FAT&amp;display_string=Audit&amp;VAR:KEY=GVGNCPODUV&amp;VAR:QUERY=RkZfQ0FQRVgoUVRSLDBRKQ==&amp;WINDOW=FIRST_POPUP&amp;HEIGHT=450&amp;WIDTH=450&amp;START_MAXIMIZED=FALS","E&amp;VAR:CALENDAR=US&amp;VAR:SYMBOL=TRGP&amp;VAR:INDEX=0"}</definedName>
    <definedName name="_233__FDSAUDITLINK__" localSheetId="3" hidden="1">{"fdsup://directions/FAT Viewer?action=UPDATE&amp;creator=factset&amp;DYN_ARGS=TRUE&amp;DOC_NAME=FAT:FQL_AUDITING_CLIENT_TEMPLATE.FAT&amp;display_string=Audit&amp;VAR:KEY=GVGNCPODUV&amp;VAR:QUERY=RkZfQ0FQRVgoUVRSLDBRKQ==&amp;WINDOW=FIRST_POPUP&amp;HEIGHT=450&amp;WIDTH=450&amp;START_MAXIMIZED=FALS","E&amp;VAR:CALENDAR=US&amp;VAR:SYMBOL=TRGP&amp;VAR:INDEX=0"}</definedName>
    <definedName name="_233__FDSAUDITLINK__" hidden="1">{"fdsup://directions/FAT Viewer?action=UPDATE&amp;creator=factset&amp;DYN_ARGS=TRUE&amp;DOC_NAME=FAT:FQL_AUDITING_CLIENT_TEMPLATE.FAT&amp;display_string=Audit&amp;VAR:KEY=GVGNCPODUV&amp;VAR:QUERY=RkZfQ0FQRVgoUVRSLDBRKQ==&amp;WINDOW=FIRST_POPUP&amp;HEIGHT=450&amp;WIDTH=450&amp;START_MAXIMIZED=FALS","E&amp;VAR:CALENDAR=US&amp;VAR:SYMBOL=TRGP&amp;VAR:INDEX=0"}</definedName>
    <definedName name="_234__FDSAUDITLINK__" localSheetId="1" hidden="1">{"fdsup://directions/FAT Viewer?action=UPDATE&amp;creator=factset&amp;DYN_ARGS=TRUE&amp;DOC_NAME=FAT:FQL_AUDITING_CLIENT_TEMPLATE.FAT&amp;display_string=Audit&amp;VAR:KEY=KXGRIVODUV&amp;VAR:QUERY=RkZfQ0FQRVgoUVRSLC0xUSk=&amp;WINDOW=FIRST_POPUP&amp;HEIGHT=450&amp;WIDTH=450&amp;START_MAXIMIZED=FALS","E&amp;VAR:CALENDAR=US&amp;VAR:SYMBOL=TRGP&amp;VAR:INDEX=0"}</definedName>
    <definedName name="_234__FDSAUDITLINK__" localSheetId="3" hidden="1">{"fdsup://directions/FAT Viewer?action=UPDATE&amp;creator=factset&amp;DYN_ARGS=TRUE&amp;DOC_NAME=FAT:FQL_AUDITING_CLIENT_TEMPLATE.FAT&amp;display_string=Audit&amp;VAR:KEY=KXGRIVODUV&amp;VAR:QUERY=RkZfQ0FQRVgoUVRSLC0xUSk=&amp;WINDOW=FIRST_POPUP&amp;HEIGHT=450&amp;WIDTH=450&amp;START_MAXIMIZED=FALS","E&amp;VAR:CALENDAR=US&amp;VAR:SYMBOL=TRGP&amp;VAR:INDEX=0"}</definedName>
    <definedName name="_234__FDSAUDITLINK__" hidden="1">{"fdsup://directions/FAT Viewer?action=UPDATE&amp;creator=factset&amp;DYN_ARGS=TRUE&amp;DOC_NAME=FAT:FQL_AUDITING_CLIENT_TEMPLATE.FAT&amp;display_string=Audit&amp;VAR:KEY=KXGRIVODUV&amp;VAR:QUERY=RkZfQ0FQRVgoUVRSLC0xUSk=&amp;WINDOW=FIRST_POPUP&amp;HEIGHT=450&amp;WIDTH=450&amp;START_MAXIMIZED=FALS","E&amp;VAR:CALENDAR=US&amp;VAR:SYMBOL=TRGP&amp;VAR:INDEX=0"}</definedName>
    <definedName name="_235__FDSAUDITLINK__" localSheetId="1" hidden="1">{"fdsup://directions/FAT Viewer?action=UPDATE&amp;creator=factset&amp;DYN_ARGS=TRUE&amp;DOC_NAME=FAT:FQL_AUDITING_CLIENT_TEMPLATE.FAT&amp;display_string=Audit&amp;VAR:KEY=CRANOROXQD&amp;VAR:QUERY=RkZfQ0FQRVgoUVRSLC0yUSk=&amp;WINDOW=FIRST_POPUP&amp;HEIGHT=450&amp;WIDTH=450&amp;START_MAXIMIZED=FALS","E&amp;VAR:CALENDAR=US&amp;VAR:SYMBOL=TRGP&amp;VAR:INDEX=0"}</definedName>
    <definedName name="_235__FDSAUDITLINK__" localSheetId="3" hidden="1">{"fdsup://directions/FAT Viewer?action=UPDATE&amp;creator=factset&amp;DYN_ARGS=TRUE&amp;DOC_NAME=FAT:FQL_AUDITING_CLIENT_TEMPLATE.FAT&amp;display_string=Audit&amp;VAR:KEY=CRANOROXQD&amp;VAR:QUERY=RkZfQ0FQRVgoUVRSLC0yUSk=&amp;WINDOW=FIRST_POPUP&amp;HEIGHT=450&amp;WIDTH=450&amp;START_MAXIMIZED=FALS","E&amp;VAR:CALENDAR=US&amp;VAR:SYMBOL=TRGP&amp;VAR:INDEX=0"}</definedName>
    <definedName name="_235__FDSAUDITLINK__" hidden="1">{"fdsup://directions/FAT Viewer?action=UPDATE&amp;creator=factset&amp;DYN_ARGS=TRUE&amp;DOC_NAME=FAT:FQL_AUDITING_CLIENT_TEMPLATE.FAT&amp;display_string=Audit&amp;VAR:KEY=CRANOROXQD&amp;VAR:QUERY=RkZfQ0FQRVgoUVRSLC0yUSk=&amp;WINDOW=FIRST_POPUP&amp;HEIGHT=450&amp;WIDTH=450&amp;START_MAXIMIZED=FALS","E&amp;VAR:CALENDAR=US&amp;VAR:SYMBOL=TRGP&amp;VAR:INDEX=0"}</definedName>
    <definedName name="_236__FDSAUDITLINK__" localSheetId="1" hidden="1">{"fdsup://directions/FAT Viewer?action=UPDATE&amp;creator=factset&amp;DYN_ARGS=TRUE&amp;DOC_NAME=FAT:FQL_AUDITING_CLIENT_TEMPLATE.FAT&amp;display_string=Audit&amp;VAR:KEY=QLUTQLCLGJ&amp;VAR:QUERY=RkZfQ0FQRVgoUVRSLC0zUSk=&amp;WINDOW=FIRST_POPUP&amp;HEIGHT=450&amp;WIDTH=450&amp;START_MAXIMIZED=FALS","E&amp;VAR:CALENDAR=US&amp;VAR:SYMBOL=TRGP&amp;VAR:INDEX=0"}</definedName>
    <definedName name="_236__FDSAUDITLINK__" localSheetId="3" hidden="1">{"fdsup://directions/FAT Viewer?action=UPDATE&amp;creator=factset&amp;DYN_ARGS=TRUE&amp;DOC_NAME=FAT:FQL_AUDITING_CLIENT_TEMPLATE.FAT&amp;display_string=Audit&amp;VAR:KEY=QLUTQLCLGJ&amp;VAR:QUERY=RkZfQ0FQRVgoUVRSLC0zUSk=&amp;WINDOW=FIRST_POPUP&amp;HEIGHT=450&amp;WIDTH=450&amp;START_MAXIMIZED=FALS","E&amp;VAR:CALENDAR=US&amp;VAR:SYMBOL=TRGP&amp;VAR:INDEX=0"}</definedName>
    <definedName name="_236__FDSAUDITLINK__" hidden="1">{"fdsup://directions/FAT Viewer?action=UPDATE&amp;creator=factset&amp;DYN_ARGS=TRUE&amp;DOC_NAME=FAT:FQL_AUDITING_CLIENT_TEMPLATE.FAT&amp;display_string=Audit&amp;VAR:KEY=QLUTQLCLGJ&amp;VAR:QUERY=RkZfQ0FQRVgoUVRSLC0zUSk=&amp;WINDOW=FIRST_POPUP&amp;HEIGHT=450&amp;WIDTH=450&amp;START_MAXIMIZED=FALS","E&amp;VAR:CALENDAR=US&amp;VAR:SYMBOL=TRGP&amp;VAR:INDEX=0"}</definedName>
    <definedName name="_237__FDSAUDITLINK__" localSheetId="1" hidden="1">{"fdsup://directions/FAT Viewer?action=UPDATE&amp;creator=factset&amp;DYN_ARGS=TRUE&amp;DOC_NAME=FAT:FQL_AUDITING_CLIENT_TEMPLATE.FAT&amp;display_string=Audit&amp;VAR:KEY=EZGTCLSBAD&amp;VAR:QUERY=RkZfQ0FQRVgoUVRSLDBRKQ==&amp;WINDOW=FIRST_POPUP&amp;HEIGHT=450&amp;WIDTH=450&amp;START_MAXIMIZED=FALS","E&amp;VAR:CALENDAR=US&amp;VAR:SYMBOL=NSH&amp;VAR:INDEX=0"}</definedName>
    <definedName name="_237__FDSAUDITLINK__" localSheetId="3" hidden="1">{"fdsup://directions/FAT Viewer?action=UPDATE&amp;creator=factset&amp;DYN_ARGS=TRUE&amp;DOC_NAME=FAT:FQL_AUDITING_CLIENT_TEMPLATE.FAT&amp;display_string=Audit&amp;VAR:KEY=EZGTCLSBAD&amp;VAR:QUERY=RkZfQ0FQRVgoUVRSLDBRKQ==&amp;WINDOW=FIRST_POPUP&amp;HEIGHT=450&amp;WIDTH=450&amp;START_MAXIMIZED=FALS","E&amp;VAR:CALENDAR=US&amp;VAR:SYMBOL=NSH&amp;VAR:INDEX=0"}</definedName>
    <definedName name="_237__FDSAUDITLINK__" hidden="1">{"fdsup://directions/FAT Viewer?action=UPDATE&amp;creator=factset&amp;DYN_ARGS=TRUE&amp;DOC_NAME=FAT:FQL_AUDITING_CLIENT_TEMPLATE.FAT&amp;display_string=Audit&amp;VAR:KEY=EZGTCLSBAD&amp;VAR:QUERY=RkZfQ0FQRVgoUVRSLDBRKQ==&amp;WINDOW=FIRST_POPUP&amp;HEIGHT=450&amp;WIDTH=450&amp;START_MAXIMIZED=FALS","E&amp;VAR:CALENDAR=US&amp;VAR:SYMBOL=NSH&amp;VAR:INDEX=0"}</definedName>
    <definedName name="_238__FDSAUDITLINK__" localSheetId="1" hidden="1">{"fdsup://directions/FAT Viewer?action=UPDATE&amp;creator=factset&amp;DYN_ARGS=TRUE&amp;DOC_NAME=FAT:FQL_AUDITING_CLIENT_TEMPLATE.FAT&amp;display_string=Audit&amp;VAR:KEY=YJKTCVWVCX&amp;VAR:QUERY=RkZfQ0FQRVgoUVRSLC0xUSk=&amp;WINDOW=FIRST_POPUP&amp;HEIGHT=450&amp;WIDTH=450&amp;START_MAXIMIZED=FALS","E&amp;VAR:CALENDAR=US&amp;VAR:SYMBOL=NSH&amp;VAR:INDEX=0"}</definedName>
    <definedName name="_238__FDSAUDITLINK__" localSheetId="3" hidden="1">{"fdsup://directions/FAT Viewer?action=UPDATE&amp;creator=factset&amp;DYN_ARGS=TRUE&amp;DOC_NAME=FAT:FQL_AUDITING_CLIENT_TEMPLATE.FAT&amp;display_string=Audit&amp;VAR:KEY=YJKTCVWVCX&amp;VAR:QUERY=RkZfQ0FQRVgoUVRSLC0xUSk=&amp;WINDOW=FIRST_POPUP&amp;HEIGHT=450&amp;WIDTH=450&amp;START_MAXIMIZED=FALS","E&amp;VAR:CALENDAR=US&amp;VAR:SYMBOL=NSH&amp;VAR:INDEX=0"}</definedName>
    <definedName name="_238__FDSAUDITLINK__" hidden="1">{"fdsup://directions/FAT Viewer?action=UPDATE&amp;creator=factset&amp;DYN_ARGS=TRUE&amp;DOC_NAME=FAT:FQL_AUDITING_CLIENT_TEMPLATE.FAT&amp;display_string=Audit&amp;VAR:KEY=YJKTCVWVCX&amp;VAR:QUERY=RkZfQ0FQRVgoUVRSLC0xUSk=&amp;WINDOW=FIRST_POPUP&amp;HEIGHT=450&amp;WIDTH=450&amp;START_MAXIMIZED=FALS","E&amp;VAR:CALENDAR=US&amp;VAR:SYMBOL=NSH&amp;VAR:INDEX=0"}</definedName>
    <definedName name="_239__FDSAUDITLINK__" localSheetId="1" hidden="1">{"fdsup://directions/FAT Viewer?action=UPDATE&amp;creator=factset&amp;DYN_ARGS=TRUE&amp;DOC_NAME=FAT:FQL_AUDITING_CLIENT_TEMPLATE.FAT&amp;display_string=Audit&amp;VAR:KEY=ENIFKRWBWP&amp;VAR:QUERY=RkZfQ0FQRVgoUVRSLC0yUSk=&amp;WINDOW=FIRST_POPUP&amp;HEIGHT=450&amp;WIDTH=450&amp;START_MAXIMIZED=FALS","E&amp;VAR:CALENDAR=US&amp;VAR:SYMBOL=NSH&amp;VAR:INDEX=0"}</definedName>
    <definedName name="_239__FDSAUDITLINK__" localSheetId="3" hidden="1">{"fdsup://directions/FAT Viewer?action=UPDATE&amp;creator=factset&amp;DYN_ARGS=TRUE&amp;DOC_NAME=FAT:FQL_AUDITING_CLIENT_TEMPLATE.FAT&amp;display_string=Audit&amp;VAR:KEY=ENIFKRWBWP&amp;VAR:QUERY=RkZfQ0FQRVgoUVRSLC0yUSk=&amp;WINDOW=FIRST_POPUP&amp;HEIGHT=450&amp;WIDTH=450&amp;START_MAXIMIZED=FALS","E&amp;VAR:CALENDAR=US&amp;VAR:SYMBOL=NSH&amp;VAR:INDEX=0"}</definedName>
    <definedName name="_239__FDSAUDITLINK__" hidden="1">{"fdsup://directions/FAT Viewer?action=UPDATE&amp;creator=factset&amp;DYN_ARGS=TRUE&amp;DOC_NAME=FAT:FQL_AUDITING_CLIENT_TEMPLATE.FAT&amp;display_string=Audit&amp;VAR:KEY=ENIFKRWBWP&amp;VAR:QUERY=RkZfQ0FQRVgoUVRSLC0yUSk=&amp;WINDOW=FIRST_POPUP&amp;HEIGHT=450&amp;WIDTH=450&amp;START_MAXIMIZED=FALS","E&amp;VAR:CALENDAR=US&amp;VAR:SYMBOL=NSH&amp;VAR:INDEX=0"}</definedName>
    <definedName name="_24__123Graph_CSUPPLIES_BY_B_U" hidden="1">#REF!</definedName>
    <definedName name="_24__123Graph_DCONTRACT_BY_B_U" hidden="1">#REF!</definedName>
    <definedName name="_24__123Graph_DWAGES_BY_B_U" hidden="1">#REF!</definedName>
    <definedName name="_24__123Graph_XCHART_1" hidden="1">#REF!</definedName>
    <definedName name="_24__FDSAUDITLINK__" localSheetId="1" hidden="1">{"fdsup://directions/FAT Viewer?action=UPDATE&amp;creator=factset&amp;DYN_ARGS=TRUE&amp;DOC_NAME=FAT:FQL_AUDITING_CLIENT_TEMPLATE.FAT&amp;display_string=Audit&amp;VAR:KEY=EZYLEXSBON&amp;VAR:QUERY=RkZfQ0FQRVgoUVRSLC0zUSk=&amp;WINDOW=FIRST_POPUP&amp;HEIGHT=450&amp;WIDTH=450&amp;START_MAXIMIZED=FALS","E&amp;VAR:CALENDAR=US&amp;VAR:SYMBOL=EVEP&amp;VAR:INDEX=0"}</definedName>
    <definedName name="_24__FDSAUDITLINK__" localSheetId="3" hidden="1">{"fdsup://directions/FAT Viewer?action=UPDATE&amp;creator=factset&amp;DYN_ARGS=TRUE&amp;DOC_NAME=FAT:FQL_AUDITING_CLIENT_TEMPLATE.FAT&amp;display_string=Audit&amp;VAR:KEY=EZYLEXSBON&amp;VAR:QUERY=RkZfQ0FQRVgoUVRSLC0zUSk=&amp;WINDOW=FIRST_POPUP&amp;HEIGHT=450&amp;WIDTH=450&amp;START_MAXIMIZED=FALS","E&amp;VAR:CALENDAR=US&amp;VAR:SYMBOL=EVEP&amp;VAR:INDEX=0"}</definedName>
    <definedName name="_24__FDSAUDITLINK__" hidden="1">{"fdsup://directions/FAT Viewer?action=UPDATE&amp;creator=factset&amp;DYN_ARGS=TRUE&amp;DOC_NAME=FAT:FQL_AUDITING_CLIENT_TEMPLATE.FAT&amp;display_string=Audit&amp;VAR:KEY=EZYLEXSBON&amp;VAR:QUERY=RkZfQ0FQRVgoUVRSLC0zUSk=&amp;WINDOW=FIRST_POPUP&amp;HEIGHT=450&amp;WIDTH=450&amp;START_MAXIMIZED=FALS","E&amp;VAR:CALENDAR=US&amp;VAR:SYMBOL=EVEP&amp;VAR:INDEX=0"}</definedName>
    <definedName name="_240__FDSAUDITLINK__" localSheetId="1" hidden="1">{"fdsup://directions/FAT Viewer?action=UPDATE&amp;creator=factset&amp;DYN_ARGS=TRUE&amp;DOC_NAME=FAT:FQL_AUDITING_CLIENT_TEMPLATE.FAT&amp;display_string=Audit&amp;VAR:KEY=CDCBWBYDQB&amp;VAR:QUERY=RkZfQ0FQRVgoUVRSLC0zUSk=&amp;WINDOW=FIRST_POPUP&amp;HEIGHT=450&amp;WIDTH=450&amp;START_MAXIMIZED=FALS","E&amp;VAR:CALENDAR=US&amp;VAR:SYMBOL=NSH&amp;VAR:INDEX=0"}</definedName>
    <definedName name="_240__FDSAUDITLINK__" localSheetId="3" hidden="1">{"fdsup://directions/FAT Viewer?action=UPDATE&amp;creator=factset&amp;DYN_ARGS=TRUE&amp;DOC_NAME=FAT:FQL_AUDITING_CLIENT_TEMPLATE.FAT&amp;display_string=Audit&amp;VAR:KEY=CDCBWBYDQB&amp;VAR:QUERY=RkZfQ0FQRVgoUVRSLC0zUSk=&amp;WINDOW=FIRST_POPUP&amp;HEIGHT=450&amp;WIDTH=450&amp;START_MAXIMIZED=FALS","E&amp;VAR:CALENDAR=US&amp;VAR:SYMBOL=NSH&amp;VAR:INDEX=0"}</definedName>
    <definedName name="_240__FDSAUDITLINK__" hidden="1">{"fdsup://directions/FAT Viewer?action=UPDATE&amp;creator=factset&amp;DYN_ARGS=TRUE&amp;DOC_NAME=FAT:FQL_AUDITING_CLIENT_TEMPLATE.FAT&amp;display_string=Audit&amp;VAR:KEY=CDCBWBYDQB&amp;VAR:QUERY=RkZfQ0FQRVgoUVRSLC0zUSk=&amp;WINDOW=FIRST_POPUP&amp;HEIGHT=450&amp;WIDTH=450&amp;START_MAXIMIZED=FALS","E&amp;VAR:CALENDAR=US&amp;VAR:SYMBOL=NSH&amp;VAR:INDEX=0"}</definedName>
    <definedName name="_241__FDSAUDITLINK__" localSheetId="1" hidden="1">{"fdsup://directions/FAT Viewer?action=UPDATE&amp;creator=factset&amp;DYN_ARGS=TRUE&amp;DOC_NAME=FAT:FQL_AUDITING_CLIENT_TEMPLATE.FAT&amp;display_string=Audit&amp;VAR:KEY=MRELINIDUN&amp;VAR:QUERY=RkZfQ0FQRVgoUVRSLDBRKQ==&amp;WINDOW=FIRST_POPUP&amp;HEIGHT=450&amp;WIDTH=450&amp;START_MAXIMIZED=FALS","E&amp;VAR:CALENDAR=US&amp;VAR:SYMBOL=KMI&amp;VAR:INDEX=0"}</definedName>
    <definedName name="_241__FDSAUDITLINK__" localSheetId="3" hidden="1">{"fdsup://directions/FAT Viewer?action=UPDATE&amp;creator=factset&amp;DYN_ARGS=TRUE&amp;DOC_NAME=FAT:FQL_AUDITING_CLIENT_TEMPLATE.FAT&amp;display_string=Audit&amp;VAR:KEY=MRELINIDUN&amp;VAR:QUERY=RkZfQ0FQRVgoUVRSLDBRKQ==&amp;WINDOW=FIRST_POPUP&amp;HEIGHT=450&amp;WIDTH=450&amp;START_MAXIMIZED=FALS","E&amp;VAR:CALENDAR=US&amp;VAR:SYMBOL=KMI&amp;VAR:INDEX=0"}</definedName>
    <definedName name="_241__FDSAUDITLINK__" hidden="1">{"fdsup://directions/FAT Viewer?action=UPDATE&amp;creator=factset&amp;DYN_ARGS=TRUE&amp;DOC_NAME=FAT:FQL_AUDITING_CLIENT_TEMPLATE.FAT&amp;display_string=Audit&amp;VAR:KEY=MRELINIDUN&amp;VAR:QUERY=RkZfQ0FQRVgoUVRSLDBRKQ==&amp;WINDOW=FIRST_POPUP&amp;HEIGHT=450&amp;WIDTH=450&amp;START_MAXIMIZED=FALS","E&amp;VAR:CALENDAR=US&amp;VAR:SYMBOL=KMI&amp;VAR:INDEX=0"}</definedName>
    <definedName name="_242__FDSAUDITLINK__" localSheetId="1" hidden="1">{"fdsup://directions/FAT Viewer?action=UPDATE&amp;creator=factset&amp;DYN_ARGS=TRUE&amp;DOC_NAME=FAT:FQL_AUDITING_CLIENT_TEMPLATE.FAT&amp;display_string=Audit&amp;VAR:KEY=IFODUDADIP&amp;VAR:QUERY=RkZfQ0FQRVgoUVRSLC0xUSk=&amp;WINDOW=FIRST_POPUP&amp;HEIGHT=450&amp;WIDTH=450&amp;START_MAXIMIZED=FALS","E&amp;VAR:CALENDAR=US&amp;VAR:SYMBOL=KMI&amp;VAR:INDEX=0"}</definedName>
    <definedName name="_242__FDSAUDITLINK__" localSheetId="3" hidden="1">{"fdsup://directions/FAT Viewer?action=UPDATE&amp;creator=factset&amp;DYN_ARGS=TRUE&amp;DOC_NAME=FAT:FQL_AUDITING_CLIENT_TEMPLATE.FAT&amp;display_string=Audit&amp;VAR:KEY=IFODUDADIP&amp;VAR:QUERY=RkZfQ0FQRVgoUVRSLC0xUSk=&amp;WINDOW=FIRST_POPUP&amp;HEIGHT=450&amp;WIDTH=450&amp;START_MAXIMIZED=FALS","E&amp;VAR:CALENDAR=US&amp;VAR:SYMBOL=KMI&amp;VAR:INDEX=0"}</definedName>
    <definedName name="_242__FDSAUDITLINK__" hidden="1">{"fdsup://directions/FAT Viewer?action=UPDATE&amp;creator=factset&amp;DYN_ARGS=TRUE&amp;DOC_NAME=FAT:FQL_AUDITING_CLIENT_TEMPLATE.FAT&amp;display_string=Audit&amp;VAR:KEY=IFODUDADIP&amp;VAR:QUERY=RkZfQ0FQRVgoUVRSLC0xUSk=&amp;WINDOW=FIRST_POPUP&amp;HEIGHT=450&amp;WIDTH=450&amp;START_MAXIMIZED=FALS","E&amp;VAR:CALENDAR=US&amp;VAR:SYMBOL=KMI&amp;VAR:INDEX=0"}</definedName>
    <definedName name="_243__FDSAUDITLINK__" localSheetId="1" hidden="1">{"fdsup://directions/FAT Viewer?action=UPDATE&amp;creator=factset&amp;DYN_ARGS=TRUE&amp;DOC_NAME=FAT:FQL_AUDITING_CLIENT_TEMPLATE.FAT&amp;display_string=Audit&amp;VAR:KEY=IVYHOZMZUD&amp;VAR:QUERY=RkZfQ0FQRVgoUVRSLC0yUSk=&amp;WINDOW=FIRST_POPUP&amp;HEIGHT=450&amp;WIDTH=450&amp;START_MAXIMIZED=FALS","E&amp;VAR:CALENDAR=US&amp;VAR:SYMBOL=KMI&amp;VAR:INDEX=0"}</definedName>
    <definedName name="_243__FDSAUDITLINK__" localSheetId="3" hidden="1">{"fdsup://directions/FAT Viewer?action=UPDATE&amp;creator=factset&amp;DYN_ARGS=TRUE&amp;DOC_NAME=FAT:FQL_AUDITING_CLIENT_TEMPLATE.FAT&amp;display_string=Audit&amp;VAR:KEY=IVYHOZMZUD&amp;VAR:QUERY=RkZfQ0FQRVgoUVRSLC0yUSk=&amp;WINDOW=FIRST_POPUP&amp;HEIGHT=450&amp;WIDTH=450&amp;START_MAXIMIZED=FALS","E&amp;VAR:CALENDAR=US&amp;VAR:SYMBOL=KMI&amp;VAR:INDEX=0"}</definedName>
    <definedName name="_243__FDSAUDITLINK__" hidden="1">{"fdsup://directions/FAT Viewer?action=UPDATE&amp;creator=factset&amp;DYN_ARGS=TRUE&amp;DOC_NAME=FAT:FQL_AUDITING_CLIENT_TEMPLATE.FAT&amp;display_string=Audit&amp;VAR:KEY=IVYHOZMZUD&amp;VAR:QUERY=RkZfQ0FQRVgoUVRSLC0yUSk=&amp;WINDOW=FIRST_POPUP&amp;HEIGHT=450&amp;WIDTH=450&amp;START_MAXIMIZED=FALS","E&amp;VAR:CALENDAR=US&amp;VAR:SYMBOL=KMI&amp;VAR:INDEX=0"}</definedName>
    <definedName name="_244__FDSAUDITLINK__" localSheetId="1" hidden="1">{"fdsup://directions/FAT Viewer?action=UPDATE&amp;creator=factset&amp;DYN_ARGS=TRUE&amp;DOC_NAME=FAT:FQL_AUDITING_CLIENT_TEMPLATE.FAT&amp;display_string=Audit&amp;VAR:KEY=KPUZOZGRKX&amp;VAR:QUERY=RkZfQ0FQRVgoUVRSLC0zUSk=&amp;WINDOW=FIRST_POPUP&amp;HEIGHT=450&amp;WIDTH=450&amp;START_MAXIMIZED=FALS","E&amp;VAR:CALENDAR=US&amp;VAR:SYMBOL=KMI&amp;VAR:INDEX=0"}</definedName>
    <definedName name="_244__FDSAUDITLINK__" localSheetId="3" hidden="1">{"fdsup://directions/FAT Viewer?action=UPDATE&amp;creator=factset&amp;DYN_ARGS=TRUE&amp;DOC_NAME=FAT:FQL_AUDITING_CLIENT_TEMPLATE.FAT&amp;display_string=Audit&amp;VAR:KEY=KPUZOZGRKX&amp;VAR:QUERY=RkZfQ0FQRVgoUVRSLC0zUSk=&amp;WINDOW=FIRST_POPUP&amp;HEIGHT=450&amp;WIDTH=450&amp;START_MAXIMIZED=FALS","E&amp;VAR:CALENDAR=US&amp;VAR:SYMBOL=KMI&amp;VAR:INDEX=0"}</definedName>
    <definedName name="_244__FDSAUDITLINK__" hidden="1">{"fdsup://directions/FAT Viewer?action=UPDATE&amp;creator=factset&amp;DYN_ARGS=TRUE&amp;DOC_NAME=FAT:FQL_AUDITING_CLIENT_TEMPLATE.FAT&amp;display_string=Audit&amp;VAR:KEY=KPUZOZGRKX&amp;VAR:QUERY=RkZfQ0FQRVgoUVRSLC0zUSk=&amp;WINDOW=FIRST_POPUP&amp;HEIGHT=450&amp;WIDTH=450&amp;START_MAXIMIZED=FALS","E&amp;VAR:CALENDAR=US&amp;VAR:SYMBOL=KMI&amp;VAR:INDEX=0"}</definedName>
    <definedName name="_245__FDSAUDITLINK__" localSheetId="1" hidden="1">{"fdsup://directions/FAT Viewer?action=UPDATE&amp;creator=factset&amp;DYN_ARGS=TRUE&amp;DOC_NAME=FAT:FQL_AUDITING_CLIENT_TEMPLATE.FAT&amp;display_string=Audit&amp;VAR:KEY=YHQTSVONSR&amp;VAR:QUERY=RkZfQ0FQRVgoUVRSLDBRKQ==&amp;WINDOW=FIRST_POPUP&amp;HEIGHT=450&amp;WIDTH=450&amp;START_MAXIMIZED=FALS","E&amp;VAR:CALENDAR=US&amp;VAR:SYMBOL=ETE&amp;VAR:INDEX=0"}</definedName>
    <definedName name="_245__FDSAUDITLINK__" localSheetId="3" hidden="1">{"fdsup://directions/FAT Viewer?action=UPDATE&amp;creator=factset&amp;DYN_ARGS=TRUE&amp;DOC_NAME=FAT:FQL_AUDITING_CLIENT_TEMPLATE.FAT&amp;display_string=Audit&amp;VAR:KEY=YHQTSVONSR&amp;VAR:QUERY=RkZfQ0FQRVgoUVRSLDBRKQ==&amp;WINDOW=FIRST_POPUP&amp;HEIGHT=450&amp;WIDTH=450&amp;START_MAXIMIZED=FALS","E&amp;VAR:CALENDAR=US&amp;VAR:SYMBOL=ETE&amp;VAR:INDEX=0"}</definedName>
    <definedName name="_245__FDSAUDITLINK__" hidden="1">{"fdsup://directions/FAT Viewer?action=UPDATE&amp;creator=factset&amp;DYN_ARGS=TRUE&amp;DOC_NAME=FAT:FQL_AUDITING_CLIENT_TEMPLATE.FAT&amp;display_string=Audit&amp;VAR:KEY=YHQTSVONSR&amp;VAR:QUERY=RkZfQ0FQRVgoUVRSLDBRKQ==&amp;WINDOW=FIRST_POPUP&amp;HEIGHT=450&amp;WIDTH=450&amp;START_MAXIMIZED=FALS","E&amp;VAR:CALENDAR=US&amp;VAR:SYMBOL=ETE&amp;VAR:INDEX=0"}</definedName>
    <definedName name="_246__FDSAUDITLINK__" localSheetId="1" hidden="1">{"fdsup://directions/FAT Viewer?action=UPDATE&amp;creator=factset&amp;DYN_ARGS=TRUE&amp;DOC_NAME=FAT:FQL_AUDITING_CLIENT_TEMPLATE.FAT&amp;display_string=Audit&amp;VAR:KEY=KLSZKFETWB&amp;VAR:QUERY=RkZfQ0FQRVgoUVRSLC0xUSk=&amp;WINDOW=FIRST_POPUP&amp;HEIGHT=450&amp;WIDTH=450&amp;START_MAXIMIZED=FALS","E&amp;VAR:CALENDAR=US&amp;VAR:SYMBOL=ETE&amp;VAR:INDEX=0"}</definedName>
    <definedName name="_246__FDSAUDITLINK__" localSheetId="3" hidden="1">{"fdsup://directions/FAT Viewer?action=UPDATE&amp;creator=factset&amp;DYN_ARGS=TRUE&amp;DOC_NAME=FAT:FQL_AUDITING_CLIENT_TEMPLATE.FAT&amp;display_string=Audit&amp;VAR:KEY=KLSZKFETWB&amp;VAR:QUERY=RkZfQ0FQRVgoUVRSLC0xUSk=&amp;WINDOW=FIRST_POPUP&amp;HEIGHT=450&amp;WIDTH=450&amp;START_MAXIMIZED=FALS","E&amp;VAR:CALENDAR=US&amp;VAR:SYMBOL=ETE&amp;VAR:INDEX=0"}</definedName>
    <definedName name="_246__FDSAUDITLINK__" hidden="1">{"fdsup://directions/FAT Viewer?action=UPDATE&amp;creator=factset&amp;DYN_ARGS=TRUE&amp;DOC_NAME=FAT:FQL_AUDITING_CLIENT_TEMPLATE.FAT&amp;display_string=Audit&amp;VAR:KEY=KLSZKFETWB&amp;VAR:QUERY=RkZfQ0FQRVgoUVRSLC0xUSk=&amp;WINDOW=FIRST_POPUP&amp;HEIGHT=450&amp;WIDTH=450&amp;START_MAXIMIZED=FALS","E&amp;VAR:CALENDAR=US&amp;VAR:SYMBOL=ETE&amp;VAR:INDEX=0"}</definedName>
    <definedName name="_247__FDSAUDITLINK__" localSheetId="1" hidden="1">{"fdsup://directions/FAT Viewer?action=UPDATE&amp;creator=factset&amp;DYN_ARGS=TRUE&amp;DOC_NAME=FAT:FQL_AUDITING_CLIENT_TEMPLATE.FAT&amp;display_string=Audit&amp;VAR:KEY=WFALUTYBGP&amp;VAR:QUERY=RkZfQ0FQRVgoUVRSLC0yUSk=&amp;WINDOW=FIRST_POPUP&amp;HEIGHT=450&amp;WIDTH=450&amp;START_MAXIMIZED=FALS","E&amp;VAR:CALENDAR=US&amp;VAR:SYMBOL=ETE&amp;VAR:INDEX=0"}</definedName>
    <definedName name="_247__FDSAUDITLINK__" localSheetId="3" hidden="1">{"fdsup://directions/FAT Viewer?action=UPDATE&amp;creator=factset&amp;DYN_ARGS=TRUE&amp;DOC_NAME=FAT:FQL_AUDITING_CLIENT_TEMPLATE.FAT&amp;display_string=Audit&amp;VAR:KEY=WFALUTYBGP&amp;VAR:QUERY=RkZfQ0FQRVgoUVRSLC0yUSk=&amp;WINDOW=FIRST_POPUP&amp;HEIGHT=450&amp;WIDTH=450&amp;START_MAXIMIZED=FALS","E&amp;VAR:CALENDAR=US&amp;VAR:SYMBOL=ETE&amp;VAR:INDEX=0"}</definedName>
    <definedName name="_247__FDSAUDITLINK__" hidden="1">{"fdsup://directions/FAT Viewer?action=UPDATE&amp;creator=factset&amp;DYN_ARGS=TRUE&amp;DOC_NAME=FAT:FQL_AUDITING_CLIENT_TEMPLATE.FAT&amp;display_string=Audit&amp;VAR:KEY=WFALUTYBGP&amp;VAR:QUERY=RkZfQ0FQRVgoUVRSLC0yUSk=&amp;WINDOW=FIRST_POPUP&amp;HEIGHT=450&amp;WIDTH=450&amp;START_MAXIMIZED=FALS","E&amp;VAR:CALENDAR=US&amp;VAR:SYMBOL=ETE&amp;VAR:INDEX=0"}</definedName>
    <definedName name="_248__FDSAUDITLINK__" localSheetId="1" hidden="1">{"fdsup://directions/FAT Viewer?action=UPDATE&amp;creator=factset&amp;DYN_ARGS=TRUE&amp;DOC_NAME=FAT:FQL_AUDITING_CLIENT_TEMPLATE.FAT&amp;display_string=Audit&amp;VAR:KEY=ODYHONQXAZ&amp;VAR:QUERY=RkZfQ0FQRVgoUVRSLC0zUSk=&amp;WINDOW=FIRST_POPUP&amp;HEIGHT=450&amp;WIDTH=450&amp;START_MAXIMIZED=FALS","E&amp;VAR:CALENDAR=US&amp;VAR:SYMBOL=ETE&amp;VAR:INDEX=0"}</definedName>
    <definedName name="_248__FDSAUDITLINK__" localSheetId="3" hidden="1">{"fdsup://directions/FAT Viewer?action=UPDATE&amp;creator=factset&amp;DYN_ARGS=TRUE&amp;DOC_NAME=FAT:FQL_AUDITING_CLIENT_TEMPLATE.FAT&amp;display_string=Audit&amp;VAR:KEY=ODYHONQXAZ&amp;VAR:QUERY=RkZfQ0FQRVgoUVRSLC0zUSk=&amp;WINDOW=FIRST_POPUP&amp;HEIGHT=450&amp;WIDTH=450&amp;START_MAXIMIZED=FALS","E&amp;VAR:CALENDAR=US&amp;VAR:SYMBOL=ETE&amp;VAR:INDEX=0"}</definedName>
    <definedName name="_248__FDSAUDITLINK__" hidden="1">{"fdsup://directions/FAT Viewer?action=UPDATE&amp;creator=factset&amp;DYN_ARGS=TRUE&amp;DOC_NAME=FAT:FQL_AUDITING_CLIENT_TEMPLATE.FAT&amp;display_string=Audit&amp;VAR:KEY=ODYHONQXAZ&amp;VAR:QUERY=RkZfQ0FQRVgoUVRSLC0zUSk=&amp;WINDOW=FIRST_POPUP&amp;HEIGHT=450&amp;WIDTH=450&amp;START_MAXIMIZED=FALS","E&amp;VAR:CALENDAR=US&amp;VAR:SYMBOL=ETE&amp;VAR:INDEX=0"}</definedName>
    <definedName name="_249__FDSAUDITLINK__" localSheetId="1" hidden="1">{"fdsup://directions/FAT Viewer?action=UPDATE&amp;creator=factset&amp;DYN_ARGS=TRUE&amp;DOC_NAME=FAT:FQL_AUDITING_CLIENT_TEMPLATE.FAT&amp;display_string=Audit&amp;VAR:KEY=YDGFSNGJUZ&amp;VAR:QUERY=RkZfQ0FQRVgoUVRSLDBRKQ==&amp;WINDOW=FIRST_POPUP&amp;HEIGHT=450&amp;WIDTH=450&amp;START_MAXIMIZED=FALS","E&amp;VAR:CALENDAR=US&amp;VAR:SYMBOL=AHGP&amp;VAR:INDEX=0"}</definedName>
    <definedName name="_249__FDSAUDITLINK__" localSheetId="3" hidden="1">{"fdsup://directions/FAT Viewer?action=UPDATE&amp;creator=factset&amp;DYN_ARGS=TRUE&amp;DOC_NAME=FAT:FQL_AUDITING_CLIENT_TEMPLATE.FAT&amp;display_string=Audit&amp;VAR:KEY=YDGFSNGJUZ&amp;VAR:QUERY=RkZfQ0FQRVgoUVRSLDBRKQ==&amp;WINDOW=FIRST_POPUP&amp;HEIGHT=450&amp;WIDTH=450&amp;START_MAXIMIZED=FALS","E&amp;VAR:CALENDAR=US&amp;VAR:SYMBOL=AHGP&amp;VAR:INDEX=0"}</definedName>
    <definedName name="_249__FDSAUDITLINK__" hidden="1">{"fdsup://directions/FAT Viewer?action=UPDATE&amp;creator=factset&amp;DYN_ARGS=TRUE&amp;DOC_NAME=FAT:FQL_AUDITING_CLIENT_TEMPLATE.FAT&amp;display_string=Audit&amp;VAR:KEY=YDGFSNGJUZ&amp;VAR:QUERY=RkZfQ0FQRVgoUVRSLDBRKQ==&amp;WINDOW=FIRST_POPUP&amp;HEIGHT=450&amp;WIDTH=450&amp;START_MAXIMIZED=FALS","E&amp;VAR:CALENDAR=US&amp;VAR:SYMBOL=AHGP&amp;VAR:INDEX=0"}</definedName>
    <definedName name="_25__123Graph_CWAGES_BY_B_U" hidden="1">#REF!</definedName>
    <definedName name="_25__123Graph_DQRE_S_BY_CO." hidden="1">#REF!</definedName>
    <definedName name="_25__123Graph_ECONTRACT_BY_B_U" hidden="1">#REF!</definedName>
    <definedName name="_25__123Graph_XOP75_25PRICE" hidden="1">#REF!</definedName>
    <definedName name="_25__FDSAUDITLINK__" localSheetId="1" hidden="1">{"fdsup://directions/FAT Viewer?action=UPDATE&amp;creator=factset&amp;DYN_ARGS=TRUE&amp;DOC_NAME=FAT:FQL_AUDITING_CLIENT_TEMPLATE.FAT&amp;display_string=Audit&amp;VAR:KEY=YBCFILUNWN&amp;VAR:QUERY=RkZfQ0FQRVgoUVRSLDBRKQ==&amp;WINDOW=FIRST_POPUP&amp;HEIGHT=450&amp;WIDTH=450&amp;START_MAXIMIZED=FALS","E&amp;VAR:CALENDAR=US&amp;VAR:SYMBOL=ENP&amp;VAR:INDEX=0"}</definedName>
    <definedName name="_25__FDSAUDITLINK__" localSheetId="3" hidden="1">{"fdsup://directions/FAT Viewer?action=UPDATE&amp;creator=factset&amp;DYN_ARGS=TRUE&amp;DOC_NAME=FAT:FQL_AUDITING_CLIENT_TEMPLATE.FAT&amp;display_string=Audit&amp;VAR:KEY=YBCFILUNWN&amp;VAR:QUERY=RkZfQ0FQRVgoUVRSLDBRKQ==&amp;WINDOW=FIRST_POPUP&amp;HEIGHT=450&amp;WIDTH=450&amp;START_MAXIMIZED=FALS","E&amp;VAR:CALENDAR=US&amp;VAR:SYMBOL=ENP&amp;VAR:INDEX=0"}</definedName>
    <definedName name="_25__FDSAUDITLINK__" hidden="1">{"fdsup://directions/FAT Viewer?action=UPDATE&amp;creator=factset&amp;DYN_ARGS=TRUE&amp;DOC_NAME=FAT:FQL_AUDITING_CLIENT_TEMPLATE.FAT&amp;display_string=Audit&amp;VAR:KEY=YBCFILUNWN&amp;VAR:QUERY=RkZfQ0FQRVgoUVRSLDBRKQ==&amp;WINDOW=FIRST_POPUP&amp;HEIGHT=450&amp;WIDTH=450&amp;START_MAXIMIZED=FALS","E&amp;VAR:CALENDAR=US&amp;VAR:SYMBOL=ENP&amp;VAR:INDEX=0"}</definedName>
    <definedName name="_250__FDSAUDITLINK__" localSheetId="1" hidden="1">{"fdsup://directions/FAT Viewer?action=UPDATE&amp;creator=factset&amp;DYN_ARGS=TRUE&amp;DOC_NAME=FAT:FQL_AUDITING_CLIENT_TEMPLATE.FAT&amp;display_string=Audit&amp;VAR:KEY=YBCBUFQRWT&amp;VAR:QUERY=RkZfQ0FQRVgoUVRSLC0xUSk=&amp;WINDOW=FIRST_POPUP&amp;HEIGHT=450&amp;WIDTH=450&amp;START_MAXIMIZED=FALS","E&amp;VAR:CALENDAR=US&amp;VAR:SYMBOL=AHGP&amp;VAR:INDEX=0"}</definedName>
    <definedName name="_250__FDSAUDITLINK__" localSheetId="3" hidden="1">{"fdsup://directions/FAT Viewer?action=UPDATE&amp;creator=factset&amp;DYN_ARGS=TRUE&amp;DOC_NAME=FAT:FQL_AUDITING_CLIENT_TEMPLATE.FAT&amp;display_string=Audit&amp;VAR:KEY=YBCBUFQRWT&amp;VAR:QUERY=RkZfQ0FQRVgoUVRSLC0xUSk=&amp;WINDOW=FIRST_POPUP&amp;HEIGHT=450&amp;WIDTH=450&amp;START_MAXIMIZED=FALS","E&amp;VAR:CALENDAR=US&amp;VAR:SYMBOL=AHGP&amp;VAR:INDEX=0"}</definedName>
    <definedName name="_250__FDSAUDITLINK__" hidden="1">{"fdsup://directions/FAT Viewer?action=UPDATE&amp;creator=factset&amp;DYN_ARGS=TRUE&amp;DOC_NAME=FAT:FQL_AUDITING_CLIENT_TEMPLATE.FAT&amp;display_string=Audit&amp;VAR:KEY=YBCBUFQRWT&amp;VAR:QUERY=RkZfQ0FQRVgoUVRSLC0xUSk=&amp;WINDOW=FIRST_POPUP&amp;HEIGHT=450&amp;WIDTH=450&amp;START_MAXIMIZED=FALS","E&amp;VAR:CALENDAR=US&amp;VAR:SYMBOL=AHGP&amp;VAR:INDEX=0"}</definedName>
    <definedName name="_251__FDSAUDITLINK__" localSheetId="1" hidden="1">{"fdsup://directions/FAT Viewer?action=UPDATE&amp;creator=factset&amp;DYN_ARGS=TRUE&amp;DOC_NAME=FAT:FQL_AUDITING_CLIENT_TEMPLATE.FAT&amp;display_string=Audit&amp;VAR:KEY=SVCFMTMNEH&amp;VAR:QUERY=RkZfQ0FQRVgoUVRSLC0yUSk=&amp;WINDOW=FIRST_POPUP&amp;HEIGHT=450&amp;WIDTH=450&amp;START_MAXIMIZED=FALS","E&amp;VAR:CALENDAR=US&amp;VAR:SYMBOL=AHGP&amp;VAR:INDEX=0"}</definedName>
    <definedName name="_251__FDSAUDITLINK__" localSheetId="3" hidden="1">{"fdsup://directions/FAT Viewer?action=UPDATE&amp;creator=factset&amp;DYN_ARGS=TRUE&amp;DOC_NAME=FAT:FQL_AUDITING_CLIENT_TEMPLATE.FAT&amp;display_string=Audit&amp;VAR:KEY=SVCFMTMNEH&amp;VAR:QUERY=RkZfQ0FQRVgoUVRSLC0yUSk=&amp;WINDOW=FIRST_POPUP&amp;HEIGHT=450&amp;WIDTH=450&amp;START_MAXIMIZED=FALS","E&amp;VAR:CALENDAR=US&amp;VAR:SYMBOL=AHGP&amp;VAR:INDEX=0"}</definedName>
    <definedName name="_251__FDSAUDITLINK__" hidden="1">{"fdsup://directions/FAT Viewer?action=UPDATE&amp;creator=factset&amp;DYN_ARGS=TRUE&amp;DOC_NAME=FAT:FQL_AUDITING_CLIENT_TEMPLATE.FAT&amp;display_string=Audit&amp;VAR:KEY=SVCFMTMNEH&amp;VAR:QUERY=RkZfQ0FQRVgoUVRSLC0yUSk=&amp;WINDOW=FIRST_POPUP&amp;HEIGHT=450&amp;WIDTH=450&amp;START_MAXIMIZED=FALS","E&amp;VAR:CALENDAR=US&amp;VAR:SYMBOL=AHGP&amp;VAR:INDEX=0"}</definedName>
    <definedName name="_252__FDSAUDITLINK__" localSheetId="1" hidden="1">{"fdsup://directions/FAT Viewer?action=UPDATE&amp;creator=factset&amp;DYN_ARGS=TRUE&amp;DOC_NAME=FAT:FQL_AUDITING_CLIENT_TEMPLATE.FAT&amp;display_string=Audit&amp;VAR:KEY=UPEPWDAVAV&amp;VAR:QUERY=RkZfQ0FQRVgoUVRSLC0zUSk=&amp;WINDOW=FIRST_POPUP&amp;HEIGHT=450&amp;WIDTH=450&amp;START_MAXIMIZED=FALS","E&amp;VAR:CALENDAR=US&amp;VAR:SYMBOL=AHGP&amp;VAR:INDEX=0"}</definedName>
    <definedName name="_252__FDSAUDITLINK__" localSheetId="3" hidden="1">{"fdsup://directions/FAT Viewer?action=UPDATE&amp;creator=factset&amp;DYN_ARGS=TRUE&amp;DOC_NAME=FAT:FQL_AUDITING_CLIENT_TEMPLATE.FAT&amp;display_string=Audit&amp;VAR:KEY=UPEPWDAVAV&amp;VAR:QUERY=RkZfQ0FQRVgoUVRSLC0zUSk=&amp;WINDOW=FIRST_POPUP&amp;HEIGHT=450&amp;WIDTH=450&amp;START_MAXIMIZED=FALS","E&amp;VAR:CALENDAR=US&amp;VAR:SYMBOL=AHGP&amp;VAR:INDEX=0"}</definedName>
    <definedName name="_252__FDSAUDITLINK__" hidden="1">{"fdsup://directions/FAT Viewer?action=UPDATE&amp;creator=factset&amp;DYN_ARGS=TRUE&amp;DOC_NAME=FAT:FQL_AUDITING_CLIENT_TEMPLATE.FAT&amp;display_string=Audit&amp;VAR:KEY=UPEPWDAVAV&amp;VAR:QUERY=RkZfQ0FQRVgoUVRSLC0zUSk=&amp;WINDOW=FIRST_POPUP&amp;HEIGHT=450&amp;WIDTH=450&amp;START_MAXIMIZED=FALS","E&amp;VAR:CALENDAR=US&amp;VAR:SYMBOL=AHGP&amp;VAR:INDEX=0"}</definedName>
    <definedName name="_253__FDSAUDITLINK__" localSheetId="1" hidden="1">{"fdsup://directions/FAT Viewer?action=UPDATE&amp;creator=factset&amp;DYN_ARGS=TRUE&amp;DOC_NAME=FAT:FQL_AUDITING_CLIENT_TEMPLATE.FAT&amp;display_string=Audit&amp;VAR:KEY=GZENALIHQZ&amp;VAR:QUERY=RkZfQ0FQRVgoUVRSLDBRKQ==&amp;WINDOW=FIRST_POPUP&amp;HEIGHT=450&amp;WIDTH=450&amp;START_MAXIMIZED=FALS","E&amp;VAR:CALENDAR=US&amp;VAR:SYMBOL=AHD&amp;VAR:INDEX=0"}</definedName>
    <definedName name="_253__FDSAUDITLINK__" localSheetId="3" hidden="1">{"fdsup://directions/FAT Viewer?action=UPDATE&amp;creator=factset&amp;DYN_ARGS=TRUE&amp;DOC_NAME=FAT:FQL_AUDITING_CLIENT_TEMPLATE.FAT&amp;display_string=Audit&amp;VAR:KEY=GZENALIHQZ&amp;VAR:QUERY=RkZfQ0FQRVgoUVRSLDBRKQ==&amp;WINDOW=FIRST_POPUP&amp;HEIGHT=450&amp;WIDTH=450&amp;START_MAXIMIZED=FALS","E&amp;VAR:CALENDAR=US&amp;VAR:SYMBOL=AHD&amp;VAR:INDEX=0"}</definedName>
    <definedName name="_253__FDSAUDITLINK__" hidden="1">{"fdsup://directions/FAT Viewer?action=UPDATE&amp;creator=factset&amp;DYN_ARGS=TRUE&amp;DOC_NAME=FAT:FQL_AUDITING_CLIENT_TEMPLATE.FAT&amp;display_string=Audit&amp;VAR:KEY=GZENALIHQZ&amp;VAR:QUERY=RkZfQ0FQRVgoUVRSLDBRKQ==&amp;WINDOW=FIRST_POPUP&amp;HEIGHT=450&amp;WIDTH=450&amp;START_MAXIMIZED=FALS","E&amp;VAR:CALENDAR=US&amp;VAR:SYMBOL=AHD&amp;VAR:INDEX=0"}</definedName>
    <definedName name="_254__FDSAUDITLINK__" localSheetId="1" hidden="1">{"fdsup://directions/FAT Viewer?action=UPDATE&amp;creator=factset&amp;DYN_ARGS=TRUE&amp;DOC_NAME=FAT:FQL_AUDITING_CLIENT_TEMPLATE.FAT&amp;display_string=Audit&amp;VAR:KEY=ANEFKFOZQB&amp;VAR:QUERY=RkZfQ0FQRVgoUVRSLC0xUSk=&amp;WINDOW=FIRST_POPUP&amp;HEIGHT=450&amp;WIDTH=450&amp;START_MAXIMIZED=FALS","E&amp;VAR:CALENDAR=US&amp;VAR:SYMBOL=AHD&amp;VAR:INDEX=0"}</definedName>
    <definedName name="_254__FDSAUDITLINK__" localSheetId="3" hidden="1">{"fdsup://directions/FAT Viewer?action=UPDATE&amp;creator=factset&amp;DYN_ARGS=TRUE&amp;DOC_NAME=FAT:FQL_AUDITING_CLIENT_TEMPLATE.FAT&amp;display_string=Audit&amp;VAR:KEY=ANEFKFOZQB&amp;VAR:QUERY=RkZfQ0FQRVgoUVRSLC0xUSk=&amp;WINDOW=FIRST_POPUP&amp;HEIGHT=450&amp;WIDTH=450&amp;START_MAXIMIZED=FALS","E&amp;VAR:CALENDAR=US&amp;VAR:SYMBOL=AHD&amp;VAR:INDEX=0"}</definedName>
    <definedName name="_254__FDSAUDITLINK__" hidden="1">{"fdsup://directions/FAT Viewer?action=UPDATE&amp;creator=factset&amp;DYN_ARGS=TRUE&amp;DOC_NAME=FAT:FQL_AUDITING_CLIENT_TEMPLATE.FAT&amp;display_string=Audit&amp;VAR:KEY=ANEFKFOZQB&amp;VAR:QUERY=RkZfQ0FQRVgoUVRSLC0xUSk=&amp;WINDOW=FIRST_POPUP&amp;HEIGHT=450&amp;WIDTH=450&amp;START_MAXIMIZED=FALS","E&amp;VAR:CALENDAR=US&amp;VAR:SYMBOL=AHD&amp;VAR:INDEX=0"}</definedName>
    <definedName name="_255__FDSAUDITLINK__" localSheetId="1" hidden="1">{"fdsup://directions/FAT Viewer?action=UPDATE&amp;creator=factset&amp;DYN_ARGS=TRUE&amp;DOC_NAME=FAT:FQL_AUDITING_CLIENT_TEMPLATE.FAT&amp;display_string=Audit&amp;VAR:KEY=WBOZKRUNWH&amp;VAR:QUERY=RkZfQ0FQRVgoUVRSLC0yUSk=&amp;WINDOW=FIRST_POPUP&amp;HEIGHT=450&amp;WIDTH=450&amp;START_MAXIMIZED=FALS","E&amp;VAR:CALENDAR=US&amp;VAR:SYMBOL=AHD&amp;VAR:INDEX=0"}</definedName>
    <definedName name="_255__FDSAUDITLINK__" localSheetId="3" hidden="1">{"fdsup://directions/FAT Viewer?action=UPDATE&amp;creator=factset&amp;DYN_ARGS=TRUE&amp;DOC_NAME=FAT:FQL_AUDITING_CLIENT_TEMPLATE.FAT&amp;display_string=Audit&amp;VAR:KEY=WBOZKRUNWH&amp;VAR:QUERY=RkZfQ0FQRVgoUVRSLC0yUSk=&amp;WINDOW=FIRST_POPUP&amp;HEIGHT=450&amp;WIDTH=450&amp;START_MAXIMIZED=FALS","E&amp;VAR:CALENDAR=US&amp;VAR:SYMBOL=AHD&amp;VAR:INDEX=0"}</definedName>
    <definedName name="_255__FDSAUDITLINK__" hidden="1">{"fdsup://directions/FAT Viewer?action=UPDATE&amp;creator=factset&amp;DYN_ARGS=TRUE&amp;DOC_NAME=FAT:FQL_AUDITING_CLIENT_TEMPLATE.FAT&amp;display_string=Audit&amp;VAR:KEY=WBOZKRUNWH&amp;VAR:QUERY=RkZfQ0FQRVgoUVRSLC0yUSk=&amp;WINDOW=FIRST_POPUP&amp;HEIGHT=450&amp;WIDTH=450&amp;START_MAXIMIZED=FALS","E&amp;VAR:CALENDAR=US&amp;VAR:SYMBOL=AHD&amp;VAR:INDEX=0"}</definedName>
    <definedName name="_256__FDSAUDITLINK__" localSheetId="1" hidden="1">{"fdsup://directions/FAT Viewer?action=UPDATE&amp;creator=factset&amp;DYN_ARGS=TRUE&amp;DOC_NAME=FAT:FQL_AUDITING_CLIENT_TEMPLATE.FAT&amp;display_string=Audit&amp;VAR:KEY=CNQPUPARQX&amp;VAR:QUERY=RkZfQ0FQRVgoUVRSLC0zUSk=&amp;WINDOW=FIRST_POPUP&amp;HEIGHT=450&amp;WIDTH=450&amp;START_MAXIMIZED=FALS","E&amp;VAR:CALENDAR=US&amp;VAR:SYMBOL=AHD&amp;VAR:INDEX=0"}</definedName>
    <definedName name="_256__FDSAUDITLINK__" localSheetId="3" hidden="1">{"fdsup://directions/FAT Viewer?action=UPDATE&amp;creator=factset&amp;DYN_ARGS=TRUE&amp;DOC_NAME=FAT:FQL_AUDITING_CLIENT_TEMPLATE.FAT&amp;display_string=Audit&amp;VAR:KEY=CNQPUPARQX&amp;VAR:QUERY=RkZfQ0FQRVgoUVRSLC0zUSk=&amp;WINDOW=FIRST_POPUP&amp;HEIGHT=450&amp;WIDTH=450&amp;START_MAXIMIZED=FALS","E&amp;VAR:CALENDAR=US&amp;VAR:SYMBOL=AHD&amp;VAR:INDEX=0"}</definedName>
    <definedName name="_256__FDSAUDITLINK__" hidden="1">{"fdsup://directions/FAT Viewer?action=UPDATE&amp;creator=factset&amp;DYN_ARGS=TRUE&amp;DOC_NAME=FAT:FQL_AUDITING_CLIENT_TEMPLATE.FAT&amp;display_string=Audit&amp;VAR:KEY=CNQPUPARQX&amp;VAR:QUERY=RkZfQ0FQRVgoUVRSLC0zUSk=&amp;WINDOW=FIRST_POPUP&amp;HEIGHT=450&amp;WIDTH=450&amp;START_MAXIMIZED=FALS","E&amp;VAR:CALENDAR=US&amp;VAR:SYMBOL=AHD&amp;VAR:INDEX=0"}</definedName>
    <definedName name="_257__FDSAUDITLINK__" localSheetId="1" hidden="1">{"fdsup://directions/FAT Viewer?action=UPDATE&amp;creator=factset&amp;DYN_ARGS=TRUE&amp;DOC_NAME=FAT:FQL_AUDITING_CLIENT_TEMPLATE.FAT&amp;display_string=Audit&amp;VAR:KEY=IRUNOBIVMN&amp;VAR:QUERY=RkZfQ0FQRVgoUVRSLDBRKQ==&amp;WINDOW=FIRST_POPUP&amp;HEIGHT=450&amp;WIDTH=450&amp;START_MAXIMIZED=FALS","E&amp;VAR:CALENDAR=US&amp;VAR:SYMBOL=EXH&amp;VAR:INDEX=0"}</definedName>
    <definedName name="_257__FDSAUDITLINK__" localSheetId="3" hidden="1">{"fdsup://directions/FAT Viewer?action=UPDATE&amp;creator=factset&amp;DYN_ARGS=TRUE&amp;DOC_NAME=FAT:FQL_AUDITING_CLIENT_TEMPLATE.FAT&amp;display_string=Audit&amp;VAR:KEY=IRUNOBIVMN&amp;VAR:QUERY=RkZfQ0FQRVgoUVRSLDBRKQ==&amp;WINDOW=FIRST_POPUP&amp;HEIGHT=450&amp;WIDTH=450&amp;START_MAXIMIZED=FALS","E&amp;VAR:CALENDAR=US&amp;VAR:SYMBOL=EXH&amp;VAR:INDEX=0"}</definedName>
    <definedName name="_257__FDSAUDITLINK__" hidden="1">{"fdsup://directions/FAT Viewer?action=UPDATE&amp;creator=factset&amp;DYN_ARGS=TRUE&amp;DOC_NAME=FAT:FQL_AUDITING_CLIENT_TEMPLATE.FAT&amp;display_string=Audit&amp;VAR:KEY=IRUNOBIVMN&amp;VAR:QUERY=RkZfQ0FQRVgoUVRSLDBRKQ==&amp;WINDOW=FIRST_POPUP&amp;HEIGHT=450&amp;WIDTH=450&amp;START_MAXIMIZED=FALS","E&amp;VAR:CALENDAR=US&amp;VAR:SYMBOL=EXH&amp;VAR:INDEX=0"}</definedName>
    <definedName name="_258__FDSAUDITLINK__" localSheetId="1" hidden="1">{"fdsup://directions/FAT Viewer?action=UPDATE&amp;creator=factset&amp;DYN_ARGS=TRUE&amp;DOC_NAME=FAT:FQL_AUDITING_CLIENT_TEMPLATE.FAT&amp;display_string=Audit&amp;VAR:KEY=ILCHSVMLSV&amp;VAR:QUERY=RkZfQ0FQRVgoUVRSLC0xUSk=&amp;WINDOW=FIRST_POPUP&amp;HEIGHT=450&amp;WIDTH=450&amp;START_MAXIMIZED=FALS","E&amp;VAR:CALENDAR=US&amp;VAR:SYMBOL=EXH&amp;VAR:INDEX=0"}</definedName>
    <definedName name="_258__FDSAUDITLINK__" localSheetId="3" hidden="1">{"fdsup://directions/FAT Viewer?action=UPDATE&amp;creator=factset&amp;DYN_ARGS=TRUE&amp;DOC_NAME=FAT:FQL_AUDITING_CLIENT_TEMPLATE.FAT&amp;display_string=Audit&amp;VAR:KEY=ILCHSVMLSV&amp;VAR:QUERY=RkZfQ0FQRVgoUVRSLC0xUSk=&amp;WINDOW=FIRST_POPUP&amp;HEIGHT=450&amp;WIDTH=450&amp;START_MAXIMIZED=FALS","E&amp;VAR:CALENDAR=US&amp;VAR:SYMBOL=EXH&amp;VAR:INDEX=0"}</definedName>
    <definedName name="_258__FDSAUDITLINK__" hidden="1">{"fdsup://directions/FAT Viewer?action=UPDATE&amp;creator=factset&amp;DYN_ARGS=TRUE&amp;DOC_NAME=FAT:FQL_AUDITING_CLIENT_TEMPLATE.FAT&amp;display_string=Audit&amp;VAR:KEY=ILCHSVMLSV&amp;VAR:QUERY=RkZfQ0FQRVgoUVRSLC0xUSk=&amp;WINDOW=FIRST_POPUP&amp;HEIGHT=450&amp;WIDTH=450&amp;START_MAXIMIZED=FALS","E&amp;VAR:CALENDAR=US&amp;VAR:SYMBOL=EXH&amp;VAR:INDEX=0"}</definedName>
    <definedName name="_259__FDSAUDITLINK__" localSheetId="1" hidden="1">{"fdsup://directions/FAT Viewer?action=UPDATE&amp;creator=factset&amp;DYN_ARGS=TRUE&amp;DOC_NAME=FAT:FQL_AUDITING_CLIENT_TEMPLATE.FAT&amp;display_string=Audit&amp;VAR:KEY=WDCBKNWDAH&amp;VAR:QUERY=RkZfQ0FQRVgoUVRSLC0yUSk=&amp;WINDOW=FIRST_POPUP&amp;HEIGHT=450&amp;WIDTH=450&amp;START_MAXIMIZED=FALS","E&amp;VAR:CALENDAR=US&amp;VAR:SYMBOL=EXH&amp;VAR:INDEX=0"}</definedName>
    <definedName name="_259__FDSAUDITLINK__" localSheetId="3" hidden="1">{"fdsup://directions/FAT Viewer?action=UPDATE&amp;creator=factset&amp;DYN_ARGS=TRUE&amp;DOC_NAME=FAT:FQL_AUDITING_CLIENT_TEMPLATE.FAT&amp;display_string=Audit&amp;VAR:KEY=WDCBKNWDAH&amp;VAR:QUERY=RkZfQ0FQRVgoUVRSLC0yUSk=&amp;WINDOW=FIRST_POPUP&amp;HEIGHT=450&amp;WIDTH=450&amp;START_MAXIMIZED=FALS","E&amp;VAR:CALENDAR=US&amp;VAR:SYMBOL=EXH&amp;VAR:INDEX=0"}</definedName>
    <definedName name="_259__FDSAUDITLINK__" hidden="1">{"fdsup://directions/FAT Viewer?action=UPDATE&amp;creator=factset&amp;DYN_ARGS=TRUE&amp;DOC_NAME=FAT:FQL_AUDITING_CLIENT_TEMPLATE.FAT&amp;display_string=Audit&amp;VAR:KEY=WDCBKNWDAH&amp;VAR:QUERY=RkZfQ0FQRVgoUVRSLC0yUSk=&amp;WINDOW=FIRST_POPUP&amp;HEIGHT=450&amp;WIDTH=450&amp;START_MAXIMIZED=FALS","E&amp;VAR:CALENDAR=US&amp;VAR:SYMBOL=EXH&amp;VAR:INDEX=0"}</definedName>
    <definedName name="_26__123Graph_DCONTRACT_BY_B_U" hidden="1">#REF!</definedName>
    <definedName name="_26__123Graph_DSUPPLIES_BY_B_U" hidden="1">#REF!</definedName>
    <definedName name="_26__123Graph_EQRE_S_BY_CO." hidden="1">#REF!</definedName>
    <definedName name="_26__123Graph_XOP75_25RETURN" hidden="1">#REF!</definedName>
    <definedName name="_26__FDSAUDITLINK__" localSheetId="1" hidden="1">{"fdsup://directions/FAT Viewer?action=UPDATE&amp;creator=factset&amp;DYN_ARGS=TRUE&amp;DOC_NAME=FAT:FQL_AUDITING_CLIENT_TEMPLATE.FAT&amp;display_string=Audit&amp;VAR:KEY=SFUXURANYB&amp;VAR:QUERY=RkZfQ0FQRVgoUVRSLC0xUSk=&amp;WINDOW=FIRST_POPUP&amp;HEIGHT=450&amp;WIDTH=450&amp;START_MAXIMIZED=FALS","E&amp;VAR:CALENDAR=US&amp;VAR:SYMBOL=ENP&amp;VAR:INDEX=0"}</definedName>
    <definedName name="_26__FDSAUDITLINK__" localSheetId="3" hidden="1">{"fdsup://directions/FAT Viewer?action=UPDATE&amp;creator=factset&amp;DYN_ARGS=TRUE&amp;DOC_NAME=FAT:FQL_AUDITING_CLIENT_TEMPLATE.FAT&amp;display_string=Audit&amp;VAR:KEY=SFUXURANYB&amp;VAR:QUERY=RkZfQ0FQRVgoUVRSLC0xUSk=&amp;WINDOW=FIRST_POPUP&amp;HEIGHT=450&amp;WIDTH=450&amp;START_MAXIMIZED=FALS","E&amp;VAR:CALENDAR=US&amp;VAR:SYMBOL=ENP&amp;VAR:INDEX=0"}</definedName>
    <definedName name="_26__FDSAUDITLINK__" hidden="1">{"fdsup://directions/FAT Viewer?action=UPDATE&amp;creator=factset&amp;DYN_ARGS=TRUE&amp;DOC_NAME=FAT:FQL_AUDITING_CLIENT_TEMPLATE.FAT&amp;display_string=Audit&amp;VAR:KEY=SFUXURANYB&amp;VAR:QUERY=RkZfQ0FQRVgoUVRSLC0xUSk=&amp;WINDOW=FIRST_POPUP&amp;HEIGHT=450&amp;WIDTH=450&amp;START_MAXIMIZED=FALS","E&amp;VAR:CALENDAR=US&amp;VAR:SYMBOL=ENP&amp;VAR:INDEX=0"}</definedName>
    <definedName name="_260__FDSAUDITLINK__" localSheetId="1" hidden="1">{"fdsup://directions/FAT Viewer?action=UPDATE&amp;creator=factset&amp;DYN_ARGS=TRUE&amp;DOC_NAME=FAT:FQL_AUDITING_CLIENT_TEMPLATE.FAT&amp;display_string=Audit&amp;VAR:KEY=UHKPODUPWH&amp;VAR:QUERY=RkZfQ0FQRVgoUVRSLC0zUSk=&amp;WINDOW=FIRST_POPUP&amp;HEIGHT=450&amp;WIDTH=450&amp;START_MAXIMIZED=FALS","E&amp;VAR:CALENDAR=US&amp;VAR:SYMBOL=EXH&amp;VAR:INDEX=0"}</definedName>
    <definedName name="_260__FDSAUDITLINK__" localSheetId="3" hidden="1">{"fdsup://directions/FAT Viewer?action=UPDATE&amp;creator=factset&amp;DYN_ARGS=TRUE&amp;DOC_NAME=FAT:FQL_AUDITING_CLIENT_TEMPLATE.FAT&amp;display_string=Audit&amp;VAR:KEY=UHKPODUPWH&amp;VAR:QUERY=RkZfQ0FQRVgoUVRSLC0zUSk=&amp;WINDOW=FIRST_POPUP&amp;HEIGHT=450&amp;WIDTH=450&amp;START_MAXIMIZED=FALS","E&amp;VAR:CALENDAR=US&amp;VAR:SYMBOL=EXH&amp;VAR:INDEX=0"}</definedName>
    <definedName name="_260__FDSAUDITLINK__" hidden="1">{"fdsup://directions/FAT Viewer?action=UPDATE&amp;creator=factset&amp;DYN_ARGS=TRUE&amp;DOC_NAME=FAT:FQL_AUDITING_CLIENT_TEMPLATE.FAT&amp;display_string=Audit&amp;VAR:KEY=UHKPODUPWH&amp;VAR:QUERY=RkZfQ0FQRVgoUVRSLC0zUSk=&amp;WINDOW=FIRST_POPUP&amp;HEIGHT=450&amp;WIDTH=450&amp;START_MAXIMIZED=FALS","E&amp;VAR:CALENDAR=US&amp;VAR:SYMBOL=EXH&amp;VAR:INDEX=0"}</definedName>
    <definedName name="_261__FDSAUDITLINK__" localSheetId="1" hidden="1">{"fdsup://directions/FAT Viewer?action=UPDATE&amp;creator=factset&amp;DYN_ARGS=TRUE&amp;DOC_NAME=FAT:FQL_AUDITING_CLIENT_TEMPLATE.FAT&amp;display_string=Audit&amp;VAR:KEY=MDWHUFCHOV&amp;VAR:QUERY=RkZfQ0FQRVgoUVRSLDBRKQ==&amp;WINDOW=FIRST_POPUP&amp;HEIGHT=450&amp;WIDTH=450&amp;START_MAXIMIZED=FALS","E&amp;VAR:CALENDAR=US&amp;VAR:SYMBOL=TIH.TO&amp;VAR:INDEX=0"}</definedName>
    <definedName name="_261__FDSAUDITLINK__" localSheetId="3" hidden="1">{"fdsup://directions/FAT Viewer?action=UPDATE&amp;creator=factset&amp;DYN_ARGS=TRUE&amp;DOC_NAME=FAT:FQL_AUDITING_CLIENT_TEMPLATE.FAT&amp;display_string=Audit&amp;VAR:KEY=MDWHUFCHOV&amp;VAR:QUERY=RkZfQ0FQRVgoUVRSLDBRKQ==&amp;WINDOW=FIRST_POPUP&amp;HEIGHT=450&amp;WIDTH=450&amp;START_MAXIMIZED=FALS","E&amp;VAR:CALENDAR=US&amp;VAR:SYMBOL=TIH.TO&amp;VAR:INDEX=0"}</definedName>
    <definedName name="_261__FDSAUDITLINK__" hidden="1">{"fdsup://directions/FAT Viewer?action=UPDATE&amp;creator=factset&amp;DYN_ARGS=TRUE&amp;DOC_NAME=FAT:FQL_AUDITING_CLIENT_TEMPLATE.FAT&amp;display_string=Audit&amp;VAR:KEY=MDWHUFCHOV&amp;VAR:QUERY=RkZfQ0FQRVgoUVRSLDBRKQ==&amp;WINDOW=FIRST_POPUP&amp;HEIGHT=450&amp;WIDTH=450&amp;START_MAXIMIZED=FALS","E&amp;VAR:CALENDAR=US&amp;VAR:SYMBOL=TIH.TO&amp;VAR:INDEX=0"}</definedName>
    <definedName name="_262">#REF!</definedName>
    <definedName name="_262__FDSAUDITLINK__" localSheetId="1" hidden="1">{"fdsup://directions/FAT Viewer?action=UPDATE&amp;creator=factset&amp;DYN_ARGS=TRUE&amp;DOC_NAME=FAT:FQL_AUDITING_CLIENT_TEMPLATE.FAT&amp;display_string=Audit&amp;VAR:KEY=OHQDWBINOJ&amp;VAR:QUERY=RkZfQ0FQRVgoUVRSLC0xUSk=&amp;WINDOW=FIRST_POPUP&amp;HEIGHT=450&amp;WIDTH=450&amp;START_MAXIMIZED=FALS","E&amp;VAR:CALENDAR=US&amp;VAR:SYMBOL=TIH.TO&amp;VAR:INDEX=0"}</definedName>
    <definedName name="_262__FDSAUDITLINK__" localSheetId="3" hidden="1">{"fdsup://directions/FAT Viewer?action=UPDATE&amp;creator=factset&amp;DYN_ARGS=TRUE&amp;DOC_NAME=FAT:FQL_AUDITING_CLIENT_TEMPLATE.FAT&amp;display_string=Audit&amp;VAR:KEY=OHQDWBINOJ&amp;VAR:QUERY=RkZfQ0FQRVgoUVRSLC0xUSk=&amp;WINDOW=FIRST_POPUP&amp;HEIGHT=450&amp;WIDTH=450&amp;START_MAXIMIZED=FALS","E&amp;VAR:CALENDAR=US&amp;VAR:SYMBOL=TIH.TO&amp;VAR:INDEX=0"}</definedName>
    <definedName name="_262__FDSAUDITLINK__" hidden="1">{"fdsup://directions/FAT Viewer?action=UPDATE&amp;creator=factset&amp;DYN_ARGS=TRUE&amp;DOC_NAME=FAT:FQL_AUDITING_CLIENT_TEMPLATE.FAT&amp;display_string=Audit&amp;VAR:KEY=OHQDWBINOJ&amp;VAR:QUERY=RkZfQ0FQRVgoUVRSLC0xUSk=&amp;WINDOW=FIRST_POPUP&amp;HEIGHT=450&amp;WIDTH=450&amp;START_MAXIMIZED=FALS","E&amp;VAR:CALENDAR=US&amp;VAR:SYMBOL=TIH.TO&amp;VAR:INDEX=0"}</definedName>
    <definedName name="_262A">#REF!</definedName>
    <definedName name="_262B">#REF!</definedName>
    <definedName name="_263">#REF!</definedName>
    <definedName name="_263__FDSAUDITLINK__" localSheetId="1" hidden="1">{"fdsup://directions/FAT Viewer?action=UPDATE&amp;creator=factset&amp;DYN_ARGS=TRUE&amp;DOC_NAME=FAT:FQL_AUDITING_CLIENT_TEMPLATE.FAT&amp;display_string=Audit&amp;VAR:KEY=OFUXUVUJWN&amp;VAR:QUERY=RkZfQ0FQRVgoUVRSLC0yUSk=&amp;WINDOW=FIRST_POPUP&amp;HEIGHT=450&amp;WIDTH=450&amp;START_MAXIMIZED=FALS","E&amp;VAR:CALENDAR=US&amp;VAR:SYMBOL=TIH.TO&amp;VAR:INDEX=0"}</definedName>
    <definedName name="_263__FDSAUDITLINK__" localSheetId="3" hidden="1">{"fdsup://directions/FAT Viewer?action=UPDATE&amp;creator=factset&amp;DYN_ARGS=TRUE&amp;DOC_NAME=FAT:FQL_AUDITING_CLIENT_TEMPLATE.FAT&amp;display_string=Audit&amp;VAR:KEY=OFUXUVUJWN&amp;VAR:QUERY=RkZfQ0FQRVgoUVRSLC0yUSk=&amp;WINDOW=FIRST_POPUP&amp;HEIGHT=450&amp;WIDTH=450&amp;START_MAXIMIZED=FALS","E&amp;VAR:CALENDAR=US&amp;VAR:SYMBOL=TIH.TO&amp;VAR:INDEX=0"}</definedName>
    <definedName name="_263__FDSAUDITLINK__" hidden="1">{"fdsup://directions/FAT Viewer?action=UPDATE&amp;creator=factset&amp;DYN_ARGS=TRUE&amp;DOC_NAME=FAT:FQL_AUDITING_CLIENT_TEMPLATE.FAT&amp;display_string=Audit&amp;VAR:KEY=OFUXUVUJWN&amp;VAR:QUERY=RkZfQ0FQRVgoUVRSLC0yUSk=&amp;WINDOW=FIRST_POPUP&amp;HEIGHT=450&amp;WIDTH=450&amp;START_MAXIMIZED=FALS","E&amp;VAR:CALENDAR=US&amp;VAR:SYMBOL=TIH.TO&amp;VAR:INDEX=0"}</definedName>
    <definedName name="_263A">#REF!</definedName>
    <definedName name="_263B">#REF!</definedName>
    <definedName name="_264__FDSAUDITLINK__" localSheetId="1" hidden="1">{"fdsup://directions/FAT Viewer?action=UPDATE&amp;creator=factset&amp;DYN_ARGS=TRUE&amp;DOC_NAME=FAT:FQL_AUDITING_CLIENT_TEMPLATE.FAT&amp;display_string=Audit&amp;VAR:KEY=IRGPYRITKB&amp;VAR:QUERY=RkZfQ0FQRVgoUVRSLC0zUSk=&amp;WINDOW=FIRST_POPUP&amp;HEIGHT=450&amp;WIDTH=450&amp;START_MAXIMIZED=FALS","E&amp;VAR:CALENDAR=US&amp;VAR:SYMBOL=TIH.TO&amp;VAR:INDEX=0"}</definedName>
    <definedName name="_264__FDSAUDITLINK__" localSheetId="3" hidden="1">{"fdsup://directions/FAT Viewer?action=UPDATE&amp;creator=factset&amp;DYN_ARGS=TRUE&amp;DOC_NAME=FAT:FQL_AUDITING_CLIENT_TEMPLATE.FAT&amp;display_string=Audit&amp;VAR:KEY=IRGPYRITKB&amp;VAR:QUERY=RkZfQ0FQRVgoUVRSLC0zUSk=&amp;WINDOW=FIRST_POPUP&amp;HEIGHT=450&amp;WIDTH=450&amp;START_MAXIMIZED=FALS","E&amp;VAR:CALENDAR=US&amp;VAR:SYMBOL=TIH.TO&amp;VAR:INDEX=0"}</definedName>
    <definedName name="_264__FDSAUDITLINK__" hidden="1">{"fdsup://directions/FAT Viewer?action=UPDATE&amp;creator=factset&amp;DYN_ARGS=TRUE&amp;DOC_NAME=FAT:FQL_AUDITING_CLIENT_TEMPLATE.FAT&amp;display_string=Audit&amp;VAR:KEY=IRGPYRITKB&amp;VAR:QUERY=RkZfQ0FQRVgoUVRSLC0zUSk=&amp;WINDOW=FIRST_POPUP&amp;HEIGHT=450&amp;WIDTH=450&amp;START_MAXIMIZED=FALS","E&amp;VAR:CALENDAR=US&amp;VAR:SYMBOL=TIH.TO&amp;VAR:INDEX=0"}</definedName>
    <definedName name="_265__FDSAUDITLINK__" localSheetId="1" hidden="1">{"fdsup://directions/FAT Viewer?action=UPDATE&amp;creator=factset&amp;DYN_ARGS=TRUE&amp;DOC_NAME=FAT:FQL_AUDITING_CLIENT_TEMPLATE.FAT&amp;display_string=Audit&amp;VAR:KEY=WTONQHQDUZ&amp;VAR:QUERY=RkZfQ0FQRVgoUVRSLDBRKQ==&amp;WINDOW=FIRST_POPUP&amp;HEIGHT=450&amp;WIDTH=450&amp;START_MAXIMIZED=FALS","E&amp;VAR:CALENDAR=US&amp;VAR:SYMBOL=NGS&amp;VAR:INDEX=0"}</definedName>
    <definedName name="_265__FDSAUDITLINK__" localSheetId="3" hidden="1">{"fdsup://directions/FAT Viewer?action=UPDATE&amp;creator=factset&amp;DYN_ARGS=TRUE&amp;DOC_NAME=FAT:FQL_AUDITING_CLIENT_TEMPLATE.FAT&amp;display_string=Audit&amp;VAR:KEY=WTONQHQDUZ&amp;VAR:QUERY=RkZfQ0FQRVgoUVRSLDBRKQ==&amp;WINDOW=FIRST_POPUP&amp;HEIGHT=450&amp;WIDTH=450&amp;START_MAXIMIZED=FALS","E&amp;VAR:CALENDAR=US&amp;VAR:SYMBOL=NGS&amp;VAR:INDEX=0"}</definedName>
    <definedName name="_265__FDSAUDITLINK__" hidden="1">{"fdsup://directions/FAT Viewer?action=UPDATE&amp;creator=factset&amp;DYN_ARGS=TRUE&amp;DOC_NAME=FAT:FQL_AUDITING_CLIENT_TEMPLATE.FAT&amp;display_string=Audit&amp;VAR:KEY=WTONQHQDUZ&amp;VAR:QUERY=RkZfQ0FQRVgoUVRSLDBRKQ==&amp;WINDOW=FIRST_POPUP&amp;HEIGHT=450&amp;WIDTH=450&amp;START_MAXIMIZED=FALS","E&amp;VAR:CALENDAR=US&amp;VAR:SYMBOL=NGS&amp;VAR:INDEX=0"}</definedName>
    <definedName name="_266__FDSAUDITLINK__" localSheetId="1" hidden="1">{"fdsup://directions/FAT Viewer?action=UPDATE&amp;creator=factset&amp;DYN_ARGS=TRUE&amp;DOC_NAME=FAT:FQL_AUDITING_CLIENT_TEMPLATE.FAT&amp;display_string=Audit&amp;VAR:KEY=QJOLOPGHWH&amp;VAR:QUERY=RkZfQ0FQRVgoUVRSLC0xUSk=&amp;WINDOW=FIRST_POPUP&amp;HEIGHT=450&amp;WIDTH=450&amp;START_MAXIMIZED=FALS","E&amp;VAR:CALENDAR=US&amp;VAR:SYMBOL=NGS&amp;VAR:INDEX=0"}</definedName>
    <definedName name="_266__FDSAUDITLINK__" localSheetId="3" hidden="1">{"fdsup://directions/FAT Viewer?action=UPDATE&amp;creator=factset&amp;DYN_ARGS=TRUE&amp;DOC_NAME=FAT:FQL_AUDITING_CLIENT_TEMPLATE.FAT&amp;display_string=Audit&amp;VAR:KEY=QJOLOPGHWH&amp;VAR:QUERY=RkZfQ0FQRVgoUVRSLC0xUSk=&amp;WINDOW=FIRST_POPUP&amp;HEIGHT=450&amp;WIDTH=450&amp;START_MAXIMIZED=FALS","E&amp;VAR:CALENDAR=US&amp;VAR:SYMBOL=NGS&amp;VAR:INDEX=0"}</definedName>
    <definedName name="_266__FDSAUDITLINK__" hidden="1">{"fdsup://directions/FAT Viewer?action=UPDATE&amp;creator=factset&amp;DYN_ARGS=TRUE&amp;DOC_NAME=FAT:FQL_AUDITING_CLIENT_TEMPLATE.FAT&amp;display_string=Audit&amp;VAR:KEY=QJOLOPGHWH&amp;VAR:QUERY=RkZfQ0FQRVgoUVRSLC0xUSk=&amp;WINDOW=FIRST_POPUP&amp;HEIGHT=450&amp;WIDTH=450&amp;START_MAXIMIZED=FALS","E&amp;VAR:CALENDAR=US&amp;VAR:SYMBOL=NGS&amp;VAR:INDEX=0"}</definedName>
    <definedName name="_267__FDSAUDITLINK__" localSheetId="1" hidden="1">{"fdsup://directions/FAT Viewer?action=UPDATE&amp;creator=factset&amp;DYN_ARGS=TRUE&amp;DOC_NAME=FAT:FQL_AUDITING_CLIENT_TEMPLATE.FAT&amp;display_string=Audit&amp;VAR:KEY=KFEZCLCRSD&amp;VAR:QUERY=RkZfQ0FQRVgoUVRSLC0yUSk=&amp;WINDOW=FIRST_POPUP&amp;HEIGHT=450&amp;WIDTH=450&amp;START_MAXIMIZED=FALS","E&amp;VAR:CALENDAR=US&amp;VAR:SYMBOL=NGS&amp;VAR:INDEX=0"}</definedName>
    <definedName name="_267__FDSAUDITLINK__" localSheetId="3" hidden="1">{"fdsup://directions/FAT Viewer?action=UPDATE&amp;creator=factset&amp;DYN_ARGS=TRUE&amp;DOC_NAME=FAT:FQL_AUDITING_CLIENT_TEMPLATE.FAT&amp;display_string=Audit&amp;VAR:KEY=KFEZCLCRSD&amp;VAR:QUERY=RkZfQ0FQRVgoUVRSLC0yUSk=&amp;WINDOW=FIRST_POPUP&amp;HEIGHT=450&amp;WIDTH=450&amp;START_MAXIMIZED=FALS","E&amp;VAR:CALENDAR=US&amp;VAR:SYMBOL=NGS&amp;VAR:INDEX=0"}</definedName>
    <definedName name="_267__FDSAUDITLINK__" hidden="1">{"fdsup://directions/FAT Viewer?action=UPDATE&amp;creator=factset&amp;DYN_ARGS=TRUE&amp;DOC_NAME=FAT:FQL_AUDITING_CLIENT_TEMPLATE.FAT&amp;display_string=Audit&amp;VAR:KEY=KFEZCLCRSD&amp;VAR:QUERY=RkZfQ0FQRVgoUVRSLC0yUSk=&amp;WINDOW=FIRST_POPUP&amp;HEIGHT=450&amp;WIDTH=450&amp;START_MAXIMIZED=FALS","E&amp;VAR:CALENDAR=US&amp;VAR:SYMBOL=NGS&amp;VAR:INDEX=0"}</definedName>
    <definedName name="_268__FDSAUDITLINK__" localSheetId="1" hidden="1">{"fdsup://directions/FAT Viewer?action=UPDATE&amp;creator=factset&amp;DYN_ARGS=TRUE&amp;DOC_NAME=FAT:FQL_AUDITING_CLIENT_TEMPLATE.FAT&amp;display_string=Audit&amp;VAR:KEY=OPCBYLCVWF&amp;VAR:QUERY=RkZfQ0FQRVgoUVRSLC0zUSk=&amp;WINDOW=FIRST_POPUP&amp;HEIGHT=450&amp;WIDTH=450&amp;START_MAXIMIZED=FALS","E&amp;VAR:CALENDAR=US&amp;VAR:SYMBOL=NGS&amp;VAR:INDEX=0"}</definedName>
    <definedName name="_268__FDSAUDITLINK__" localSheetId="3" hidden="1">{"fdsup://directions/FAT Viewer?action=UPDATE&amp;creator=factset&amp;DYN_ARGS=TRUE&amp;DOC_NAME=FAT:FQL_AUDITING_CLIENT_TEMPLATE.FAT&amp;display_string=Audit&amp;VAR:KEY=OPCBYLCVWF&amp;VAR:QUERY=RkZfQ0FQRVgoUVRSLC0zUSk=&amp;WINDOW=FIRST_POPUP&amp;HEIGHT=450&amp;WIDTH=450&amp;START_MAXIMIZED=FALS","E&amp;VAR:CALENDAR=US&amp;VAR:SYMBOL=NGS&amp;VAR:INDEX=0"}</definedName>
    <definedName name="_268__FDSAUDITLINK__" hidden="1">{"fdsup://directions/FAT Viewer?action=UPDATE&amp;creator=factset&amp;DYN_ARGS=TRUE&amp;DOC_NAME=FAT:FQL_AUDITING_CLIENT_TEMPLATE.FAT&amp;display_string=Audit&amp;VAR:KEY=OPCBYLCVWF&amp;VAR:QUERY=RkZfQ0FQRVgoUVRSLC0zUSk=&amp;WINDOW=FIRST_POPUP&amp;HEIGHT=450&amp;WIDTH=450&amp;START_MAXIMIZED=FALS","E&amp;VAR:CALENDAR=US&amp;VAR:SYMBOL=NGS&amp;VAR:INDEX=0"}</definedName>
    <definedName name="_269__FDSAUDITLINK__" localSheetId="1" hidden="1">{"fdsup://directions/FAT Viewer?action=UPDATE&amp;creator=factset&amp;DYN_ARGS=TRUE&amp;DOC_NAME=FAT:FQL_AUDITING_CLIENT_TEMPLATE.FAT&amp;display_string=Audit&amp;VAR:KEY=MZMZIRGRQD&amp;VAR:QUERY=RkZfQ0FQRVgoUVRSLDBRKQ==&amp;WINDOW=FIRST_POPUP&amp;HEIGHT=450&amp;WIDTH=450&amp;START_MAXIMIZED=FALS","E&amp;VAR:CALENDAR=US&amp;VAR:SYMBOL=TTI&amp;VAR:INDEX=0"}</definedName>
    <definedName name="_269__FDSAUDITLINK__" localSheetId="3" hidden="1">{"fdsup://directions/FAT Viewer?action=UPDATE&amp;creator=factset&amp;DYN_ARGS=TRUE&amp;DOC_NAME=FAT:FQL_AUDITING_CLIENT_TEMPLATE.FAT&amp;display_string=Audit&amp;VAR:KEY=MZMZIRGRQD&amp;VAR:QUERY=RkZfQ0FQRVgoUVRSLDBRKQ==&amp;WINDOW=FIRST_POPUP&amp;HEIGHT=450&amp;WIDTH=450&amp;START_MAXIMIZED=FALS","E&amp;VAR:CALENDAR=US&amp;VAR:SYMBOL=TTI&amp;VAR:INDEX=0"}</definedName>
    <definedName name="_269__FDSAUDITLINK__" hidden="1">{"fdsup://directions/FAT Viewer?action=UPDATE&amp;creator=factset&amp;DYN_ARGS=TRUE&amp;DOC_NAME=FAT:FQL_AUDITING_CLIENT_TEMPLATE.FAT&amp;display_string=Audit&amp;VAR:KEY=MZMZIRGRQD&amp;VAR:QUERY=RkZfQ0FQRVgoUVRSLDBRKQ==&amp;WINDOW=FIRST_POPUP&amp;HEIGHT=450&amp;WIDTH=450&amp;START_MAXIMIZED=FALS","E&amp;VAR:CALENDAR=US&amp;VAR:SYMBOL=TTI&amp;VAR:INDEX=0"}</definedName>
    <definedName name="_27__123Graph_DQRE_S_BY_CO." hidden="1">#REF!</definedName>
    <definedName name="_27__123Graph_DWAGES_BY_B_U" hidden="1">#REF!</definedName>
    <definedName name="_27__123Graph_ESUPPLIES_BY_B_U" hidden="1">#REF!</definedName>
    <definedName name="_27__FDSAUDITLINK__" localSheetId="1" hidden="1">{"fdsup://directions/FAT Viewer?action=UPDATE&amp;creator=factset&amp;DYN_ARGS=TRUE&amp;DOC_NAME=FAT:FQL_AUDITING_CLIENT_TEMPLATE.FAT&amp;display_string=Audit&amp;VAR:KEY=CNWVYNAVGH&amp;VAR:QUERY=RkZfQ0FQRVgoUVRSLC0yUSk=&amp;WINDOW=FIRST_POPUP&amp;HEIGHT=450&amp;WIDTH=450&amp;START_MAXIMIZED=FALS","E&amp;VAR:CALENDAR=US&amp;VAR:SYMBOL=ENP&amp;VAR:INDEX=0"}</definedName>
    <definedName name="_27__FDSAUDITLINK__" localSheetId="3" hidden="1">{"fdsup://directions/FAT Viewer?action=UPDATE&amp;creator=factset&amp;DYN_ARGS=TRUE&amp;DOC_NAME=FAT:FQL_AUDITING_CLIENT_TEMPLATE.FAT&amp;display_string=Audit&amp;VAR:KEY=CNWVYNAVGH&amp;VAR:QUERY=RkZfQ0FQRVgoUVRSLC0yUSk=&amp;WINDOW=FIRST_POPUP&amp;HEIGHT=450&amp;WIDTH=450&amp;START_MAXIMIZED=FALS","E&amp;VAR:CALENDAR=US&amp;VAR:SYMBOL=ENP&amp;VAR:INDEX=0"}</definedName>
    <definedName name="_27__FDSAUDITLINK__" hidden="1">{"fdsup://directions/FAT Viewer?action=UPDATE&amp;creator=factset&amp;DYN_ARGS=TRUE&amp;DOC_NAME=FAT:FQL_AUDITING_CLIENT_TEMPLATE.FAT&amp;display_string=Audit&amp;VAR:KEY=CNWVYNAVGH&amp;VAR:QUERY=RkZfQ0FQRVgoUVRSLC0yUSk=&amp;WINDOW=FIRST_POPUP&amp;HEIGHT=450&amp;WIDTH=450&amp;START_MAXIMIZED=FALS","E&amp;VAR:CALENDAR=US&amp;VAR:SYMBOL=ENP&amp;VAR:INDEX=0"}</definedName>
    <definedName name="_270__FDSAUDITLINK__" localSheetId="1" hidden="1">{"fdsup://directions/FAT Viewer?action=UPDATE&amp;creator=factset&amp;DYN_ARGS=TRUE&amp;DOC_NAME=FAT:FQL_AUDITING_CLIENT_TEMPLATE.FAT&amp;display_string=Audit&amp;VAR:KEY=OLWNEPKPEB&amp;VAR:QUERY=RkZfQ0FQRVgoUVRSLC0xUSk=&amp;WINDOW=FIRST_POPUP&amp;HEIGHT=450&amp;WIDTH=450&amp;START_MAXIMIZED=FALS","E&amp;VAR:CALENDAR=US&amp;VAR:SYMBOL=TTI&amp;VAR:INDEX=0"}</definedName>
    <definedName name="_270__FDSAUDITLINK__" localSheetId="3" hidden="1">{"fdsup://directions/FAT Viewer?action=UPDATE&amp;creator=factset&amp;DYN_ARGS=TRUE&amp;DOC_NAME=FAT:FQL_AUDITING_CLIENT_TEMPLATE.FAT&amp;display_string=Audit&amp;VAR:KEY=OLWNEPKPEB&amp;VAR:QUERY=RkZfQ0FQRVgoUVRSLC0xUSk=&amp;WINDOW=FIRST_POPUP&amp;HEIGHT=450&amp;WIDTH=450&amp;START_MAXIMIZED=FALS","E&amp;VAR:CALENDAR=US&amp;VAR:SYMBOL=TTI&amp;VAR:INDEX=0"}</definedName>
    <definedName name="_270__FDSAUDITLINK__" hidden="1">{"fdsup://directions/FAT Viewer?action=UPDATE&amp;creator=factset&amp;DYN_ARGS=TRUE&amp;DOC_NAME=FAT:FQL_AUDITING_CLIENT_TEMPLATE.FAT&amp;display_string=Audit&amp;VAR:KEY=OLWNEPKPEB&amp;VAR:QUERY=RkZfQ0FQRVgoUVRSLC0xUSk=&amp;WINDOW=FIRST_POPUP&amp;HEIGHT=450&amp;WIDTH=450&amp;START_MAXIMIZED=FALS","E&amp;VAR:CALENDAR=US&amp;VAR:SYMBOL=TTI&amp;VAR:INDEX=0"}</definedName>
    <definedName name="_271__FDSAUDITLINK__" localSheetId="1" hidden="1">{"fdsup://directions/FAT Viewer?action=UPDATE&amp;creator=factset&amp;DYN_ARGS=TRUE&amp;DOC_NAME=FAT:FQL_AUDITING_CLIENT_TEMPLATE.FAT&amp;display_string=Audit&amp;VAR:KEY=GTKDCPCRGJ&amp;VAR:QUERY=RkZfQ0FQRVgoUVRSLC0yUSk=&amp;WINDOW=FIRST_POPUP&amp;HEIGHT=450&amp;WIDTH=450&amp;START_MAXIMIZED=FALS","E&amp;VAR:CALENDAR=US&amp;VAR:SYMBOL=TTI&amp;VAR:INDEX=0"}</definedName>
    <definedName name="_271__FDSAUDITLINK__" localSheetId="3" hidden="1">{"fdsup://directions/FAT Viewer?action=UPDATE&amp;creator=factset&amp;DYN_ARGS=TRUE&amp;DOC_NAME=FAT:FQL_AUDITING_CLIENT_TEMPLATE.FAT&amp;display_string=Audit&amp;VAR:KEY=GTKDCPCRGJ&amp;VAR:QUERY=RkZfQ0FQRVgoUVRSLC0yUSk=&amp;WINDOW=FIRST_POPUP&amp;HEIGHT=450&amp;WIDTH=450&amp;START_MAXIMIZED=FALS","E&amp;VAR:CALENDAR=US&amp;VAR:SYMBOL=TTI&amp;VAR:INDEX=0"}</definedName>
    <definedName name="_271__FDSAUDITLINK__" hidden="1">{"fdsup://directions/FAT Viewer?action=UPDATE&amp;creator=factset&amp;DYN_ARGS=TRUE&amp;DOC_NAME=FAT:FQL_AUDITING_CLIENT_TEMPLATE.FAT&amp;display_string=Audit&amp;VAR:KEY=GTKDCPCRGJ&amp;VAR:QUERY=RkZfQ0FQRVgoUVRSLC0yUSk=&amp;WINDOW=FIRST_POPUP&amp;HEIGHT=450&amp;WIDTH=450&amp;START_MAXIMIZED=FALS","E&amp;VAR:CALENDAR=US&amp;VAR:SYMBOL=TTI&amp;VAR:INDEX=0"}</definedName>
    <definedName name="_272__FDSAUDITLINK__" localSheetId="1" hidden="1">{"fdsup://directions/FAT Viewer?action=UPDATE&amp;creator=factset&amp;DYN_ARGS=TRUE&amp;DOC_NAME=FAT:FQL_AUDITING_CLIENT_TEMPLATE.FAT&amp;display_string=Audit&amp;VAR:KEY=WFAZYZAZOH&amp;VAR:QUERY=RkZfQ0FQRVgoUVRSLC0zUSk=&amp;WINDOW=FIRST_POPUP&amp;HEIGHT=450&amp;WIDTH=450&amp;START_MAXIMIZED=FALS","E&amp;VAR:CALENDAR=US&amp;VAR:SYMBOL=TTI&amp;VAR:INDEX=0"}</definedName>
    <definedName name="_272__FDSAUDITLINK__" localSheetId="3" hidden="1">{"fdsup://directions/FAT Viewer?action=UPDATE&amp;creator=factset&amp;DYN_ARGS=TRUE&amp;DOC_NAME=FAT:FQL_AUDITING_CLIENT_TEMPLATE.FAT&amp;display_string=Audit&amp;VAR:KEY=WFAZYZAZOH&amp;VAR:QUERY=RkZfQ0FQRVgoUVRSLC0zUSk=&amp;WINDOW=FIRST_POPUP&amp;HEIGHT=450&amp;WIDTH=450&amp;START_MAXIMIZED=FALS","E&amp;VAR:CALENDAR=US&amp;VAR:SYMBOL=TTI&amp;VAR:INDEX=0"}</definedName>
    <definedName name="_272__FDSAUDITLINK__" hidden="1">{"fdsup://directions/FAT Viewer?action=UPDATE&amp;creator=factset&amp;DYN_ARGS=TRUE&amp;DOC_NAME=FAT:FQL_AUDITING_CLIENT_TEMPLATE.FAT&amp;display_string=Audit&amp;VAR:KEY=WFAZYZAZOH&amp;VAR:QUERY=RkZfQ0FQRVgoUVRSLC0zUSk=&amp;WINDOW=FIRST_POPUP&amp;HEIGHT=450&amp;WIDTH=450&amp;START_MAXIMIZED=FALS","E&amp;VAR:CALENDAR=US&amp;VAR:SYMBOL=TTI&amp;VAR:INDEX=0"}</definedName>
    <definedName name="_28__123Graph_DSUPPLIES_BY_B_U" hidden="1">#REF!</definedName>
    <definedName name="_28__123Graph_ECONTRACT_BY_B_U" hidden="1">#REF!</definedName>
    <definedName name="_28__123Graph_EWAGES_BY_B_U" hidden="1">#REF!</definedName>
    <definedName name="_28__FDSAUDITLINK__" localSheetId="1" hidden="1">{"fdsup://directions/FAT Viewer?action=UPDATE&amp;creator=factset&amp;DYN_ARGS=TRUE&amp;DOC_NAME=FAT:FQL_AUDITING_CLIENT_TEMPLATE.FAT&amp;display_string=Audit&amp;VAR:KEY=YRMPIDWTSD&amp;VAR:QUERY=RkZfQ0FQRVgoUVRSLC0zUSk=&amp;WINDOW=FIRST_POPUP&amp;HEIGHT=450&amp;WIDTH=450&amp;START_MAXIMIZED=FALS","E&amp;VAR:CALENDAR=US&amp;VAR:SYMBOL=ENP&amp;VAR:INDEX=0"}</definedName>
    <definedName name="_28__FDSAUDITLINK__" localSheetId="3" hidden="1">{"fdsup://directions/FAT Viewer?action=UPDATE&amp;creator=factset&amp;DYN_ARGS=TRUE&amp;DOC_NAME=FAT:FQL_AUDITING_CLIENT_TEMPLATE.FAT&amp;display_string=Audit&amp;VAR:KEY=YRMPIDWTSD&amp;VAR:QUERY=RkZfQ0FQRVgoUVRSLC0zUSk=&amp;WINDOW=FIRST_POPUP&amp;HEIGHT=450&amp;WIDTH=450&amp;START_MAXIMIZED=FALS","E&amp;VAR:CALENDAR=US&amp;VAR:SYMBOL=ENP&amp;VAR:INDEX=0"}</definedName>
    <definedName name="_28__FDSAUDITLINK__" hidden="1">{"fdsup://directions/FAT Viewer?action=UPDATE&amp;creator=factset&amp;DYN_ARGS=TRUE&amp;DOC_NAME=FAT:FQL_AUDITING_CLIENT_TEMPLATE.FAT&amp;display_string=Audit&amp;VAR:KEY=YRMPIDWTSD&amp;VAR:QUERY=RkZfQ0FQRVgoUVRSLC0zUSk=&amp;WINDOW=FIRST_POPUP&amp;HEIGHT=450&amp;WIDTH=450&amp;START_MAXIMIZED=FALS","E&amp;VAR:CALENDAR=US&amp;VAR:SYMBOL=ENP&amp;VAR:INDEX=0"}</definedName>
    <definedName name="_29__123Graph_DWAGES_BY_B_U" hidden="1">#REF!</definedName>
    <definedName name="_29__123Graph_EQRE_S_BY_CO." hidden="1">#REF!</definedName>
    <definedName name="_29__123Graph_FCONTRACT_BY_B_U" hidden="1">#REF!</definedName>
    <definedName name="_29__FDSAUDITLINK__" localSheetId="1" hidden="1">{"fdsup://directions/FAT Viewer?action=UPDATE&amp;creator=factset&amp;DYN_ARGS=TRUE&amp;DOC_NAME=FAT:FQL_AUDITING_CLIENT_TEMPLATE.FAT&amp;display_string=Audit&amp;VAR:KEY=IJUHMJENAX&amp;VAR:QUERY=RkZfQ0FQRVgoUVRSLDBRKQ==&amp;WINDOW=FIRST_POPUP&amp;HEIGHT=450&amp;WIDTH=450&amp;START_MAXIMIZED=FALS","E&amp;VAR:CALENDAR=US&amp;VAR:SYMBOL=BBEP&amp;VAR:INDEX=0"}</definedName>
    <definedName name="_29__FDSAUDITLINK__" localSheetId="3" hidden="1">{"fdsup://directions/FAT Viewer?action=UPDATE&amp;creator=factset&amp;DYN_ARGS=TRUE&amp;DOC_NAME=FAT:FQL_AUDITING_CLIENT_TEMPLATE.FAT&amp;display_string=Audit&amp;VAR:KEY=IJUHMJENAX&amp;VAR:QUERY=RkZfQ0FQRVgoUVRSLDBRKQ==&amp;WINDOW=FIRST_POPUP&amp;HEIGHT=450&amp;WIDTH=450&amp;START_MAXIMIZED=FALS","E&amp;VAR:CALENDAR=US&amp;VAR:SYMBOL=BBEP&amp;VAR:INDEX=0"}</definedName>
    <definedName name="_29__FDSAUDITLINK__" hidden="1">{"fdsup://directions/FAT Viewer?action=UPDATE&amp;creator=factset&amp;DYN_ARGS=TRUE&amp;DOC_NAME=FAT:FQL_AUDITING_CLIENT_TEMPLATE.FAT&amp;display_string=Audit&amp;VAR:KEY=IJUHMJENAX&amp;VAR:QUERY=RkZfQ0FQRVgoUVRSLDBRKQ==&amp;WINDOW=FIRST_POPUP&amp;HEIGHT=450&amp;WIDTH=450&amp;START_MAXIMIZED=FALS","E&amp;VAR:CALENDAR=US&amp;VAR:SYMBOL=BBEP&amp;VAR:INDEX=0"}</definedName>
    <definedName name="_3__123Graph_ACHART_17" hidden="1">#REF!</definedName>
    <definedName name="_3__123Graph_AOP75_25RETURN" hidden="1">#REF!</definedName>
    <definedName name="_3__123Graph_AQRE_S_BY_TYPE" hidden="1">#REF!</definedName>
    <definedName name="_3__123Graph_BALL_IN_COSTS" hidden="1">#REF!</definedName>
    <definedName name="_3__123Graph_BCHART_1" hidden="1">#REF!</definedName>
    <definedName name="_3__123Graph_LBL_ACHART_1" hidden="1">#REF!</definedName>
    <definedName name="_3__123Graph_XCHART_1" hidden="1">#REF!</definedName>
    <definedName name="_3__FDSAUDITLINK__" localSheetId="1" hidden="1">{"fdsup://directions/FAT Viewer?action=UPDATE&amp;creator=factset&amp;DYN_ARGS=TRUE&amp;DOC_NAME=FAT:FQL_AUDITING_CLIENT_TEMPLATE.FAT&amp;display_string=Audit&amp;VAR:KEY=ETUFKPINAF&amp;VAR:QUERY=RkZfQ0FQRVgoUVRSLC0yUSk=&amp;WINDOW=FIRST_POPUP&amp;HEIGHT=450&amp;WIDTH=450&amp;START_MAXIMIZED=FALS","E&amp;VAR:CALENDAR=US&amp;VAR:SYMBOL=VNR&amp;VAR:INDEX=0"}</definedName>
    <definedName name="_3__FDSAUDITLINK__" localSheetId="3" hidden="1">{"fdsup://directions/FAT Viewer?action=UPDATE&amp;creator=factset&amp;DYN_ARGS=TRUE&amp;DOC_NAME=FAT:FQL_AUDITING_CLIENT_TEMPLATE.FAT&amp;display_string=Audit&amp;VAR:KEY=ETUFKPINAF&amp;VAR:QUERY=RkZfQ0FQRVgoUVRSLC0yUSk=&amp;WINDOW=FIRST_POPUP&amp;HEIGHT=450&amp;WIDTH=450&amp;START_MAXIMIZED=FALS","E&amp;VAR:CALENDAR=US&amp;VAR:SYMBOL=VNR&amp;VAR:INDEX=0"}</definedName>
    <definedName name="_3__FDSAUDITLINK__" hidden="1">{"fdsup://directions/FAT Viewer?action=UPDATE&amp;creator=factset&amp;DYN_ARGS=TRUE&amp;DOC_NAME=FAT:FQL_AUDITING_CLIENT_TEMPLATE.FAT&amp;display_string=Audit&amp;VAR:KEY=ETUFKPINAF&amp;VAR:QUERY=RkZfQ0FQRVgoUVRSLC0yUSk=&amp;WINDOW=FIRST_POPUP&amp;HEIGHT=450&amp;WIDTH=450&amp;START_MAXIMIZED=FALS","E&amp;VAR:CALENDAR=US&amp;VAR:SYMBOL=VNR&amp;VAR:INDEX=0"}</definedName>
    <definedName name="_30__123Graph_ECONTRACT_BY_B_U" hidden="1">#REF!</definedName>
    <definedName name="_30__123Graph_ESUPPLIES_BY_B_U" hidden="1">#REF!</definedName>
    <definedName name="_30__123Graph_FQRE_S_BY_CO." hidden="1">#REF!</definedName>
    <definedName name="_30__FDSAUDITLINK__" localSheetId="1" hidden="1">{"fdsup://directions/FAT Viewer?action=UPDATE&amp;creator=factset&amp;DYN_ARGS=TRUE&amp;DOC_NAME=FAT:FQL_AUDITING_CLIENT_TEMPLATE.FAT&amp;display_string=Audit&amp;VAR:KEY=MNIZYREHEB&amp;VAR:QUERY=RkZfQ0FQRVgoUVRSLC0xUSk=&amp;WINDOW=FIRST_POPUP&amp;HEIGHT=450&amp;WIDTH=450&amp;START_MAXIMIZED=FALS","E&amp;VAR:CALENDAR=US&amp;VAR:SYMBOL=BBEP&amp;VAR:INDEX=0"}</definedName>
    <definedName name="_30__FDSAUDITLINK__" localSheetId="3" hidden="1">{"fdsup://directions/FAT Viewer?action=UPDATE&amp;creator=factset&amp;DYN_ARGS=TRUE&amp;DOC_NAME=FAT:FQL_AUDITING_CLIENT_TEMPLATE.FAT&amp;display_string=Audit&amp;VAR:KEY=MNIZYREHEB&amp;VAR:QUERY=RkZfQ0FQRVgoUVRSLC0xUSk=&amp;WINDOW=FIRST_POPUP&amp;HEIGHT=450&amp;WIDTH=450&amp;START_MAXIMIZED=FALS","E&amp;VAR:CALENDAR=US&amp;VAR:SYMBOL=BBEP&amp;VAR:INDEX=0"}</definedName>
    <definedName name="_30__FDSAUDITLINK__" hidden="1">{"fdsup://directions/FAT Viewer?action=UPDATE&amp;creator=factset&amp;DYN_ARGS=TRUE&amp;DOC_NAME=FAT:FQL_AUDITING_CLIENT_TEMPLATE.FAT&amp;display_string=Audit&amp;VAR:KEY=MNIZYREHEB&amp;VAR:QUERY=RkZfQ0FQRVgoUVRSLC0xUSk=&amp;WINDOW=FIRST_POPUP&amp;HEIGHT=450&amp;WIDTH=450&amp;START_MAXIMIZED=FALS","E&amp;VAR:CALENDAR=US&amp;VAR:SYMBOL=BBEP&amp;VAR:INDEX=0"}</definedName>
    <definedName name="_31__123Graph_EQRE_S_BY_CO." hidden="1">#REF!</definedName>
    <definedName name="_31__123Graph_EWAGES_BY_B_U" hidden="1">#REF!</definedName>
    <definedName name="_31__123Graph_FSUPPLIES_BY_B_U" hidden="1">#REF!</definedName>
    <definedName name="_31__FDSAUDITLINK__" localSheetId="1" hidden="1">{"fdsup://directions/FAT Viewer?action=UPDATE&amp;creator=factset&amp;DYN_ARGS=TRUE&amp;DOC_NAME=FAT:FQL_AUDITING_CLIENT_TEMPLATE.FAT&amp;display_string=Audit&amp;VAR:KEY=SNSFGJCNOX&amp;VAR:QUERY=RkZfQ0FQRVgoUVRSLC0yUSk=&amp;WINDOW=FIRST_POPUP&amp;HEIGHT=450&amp;WIDTH=450&amp;START_MAXIMIZED=FALS","E&amp;VAR:CALENDAR=US&amp;VAR:SYMBOL=BBEP&amp;VAR:INDEX=0"}</definedName>
    <definedName name="_31__FDSAUDITLINK__" localSheetId="3" hidden="1">{"fdsup://directions/FAT Viewer?action=UPDATE&amp;creator=factset&amp;DYN_ARGS=TRUE&amp;DOC_NAME=FAT:FQL_AUDITING_CLIENT_TEMPLATE.FAT&amp;display_string=Audit&amp;VAR:KEY=SNSFGJCNOX&amp;VAR:QUERY=RkZfQ0FQRVgoUVRSLC0yUSk=&amp;WINDOW=FIRST_POPUP&amp;HEIGHT=450&amp;WIDTH=450&amp;START_MAXIMIZED=FALS","E&amp;VAR:CALENDAR=US&amp;VAR:SYMBOL=BBEP&amp;VAR:INDEX=0"}</definedName>
    <definedName name="_31__FDSAUDITLINK__" hidden="1">{"fdsup://directions/FAT Viewer?action=UPDATE&amp;creator=factset&amp;DYN_ARGS=TRUE&amp;DOC_NAME=FAT:FQL_AUDITING_CLIENT_TEMPLATE.FAT&amp;display_string=Audit&amp;VAR:KEY=SNSFGJCNOX&amp;VAR:QUERY=RkZfQ0FQRVgoUVRSLC0yUSk=&amp;WINDOW=FIRST_POPUP&amp;HEIGHT=450&amp;WIDTH=450&amp;START_MAXIMIZED=FALS","E&amp;VAR:CALENDAR=US&amp;VAR:SYMBOL=BBEP&amp;VAR:INDEX=0"}</definedName>
    <definedName name="_32__123Graph_ESUPPLIES_BY_B_U" hidden="1">#REF!</definedName>
    <definedName name="_32__123Graph_FCONTRACT_BY_B_U" hidden="1">#REF!</definedName>
    <definedName name="_32__123Graph_FWAGES_BY_B_U" hidden="1">#REF!</definedName>
    <definedName name="_32__FDSAUDITLINK__" localSheetId="1" hidden="1">{"fdsup://directions/FAT Viewer?action=UPDATE&amp;creator=factset&amp;DYN_ARGS=TRUE&amp;DOC_NAME=FAT:FQL_AUDITING_CLIENT_TEMPLATE.FAT&amp;display_string=Audit&amp;VAR:KEY=OLQPCZMVYF&amp;VAR:QUERY=RkZfQ0FQRVgoUVRSLC0zUSk=&amp;WINDOW=FIRST_POPUP&amp;HEIGHT=450&amp;WIDTH=450&amp;START_MAXIMIZED=FALS","E&amp;VAR:CALENDAR=US&amp;VAR:SYMBOL=BBEP&amp;VAR:INDEX=0"}</definedName>
    <definedName name="_32__FDSAUDITLINK__" localSheetId="3" hidden="1">{"fdsup://directions/FAT Viewer?action=UPDATE&amp;creator=factset&amp;DYN_ARGS=TRUE&amp;DOC_NAME=FAT:FQL_AUDITING_CLIENT_TEMPLATE.FAT&amp;display_string=Audit&amp;VAR:KEY=OLQPCZMVYF&amp;VAR:QUERY=RkZfQ0FQRVgoUVRSLC0zUSk=&amp;WINDOW=FIRST_POPUP&amp;HEIGHT=450&amp;WIDTH=450&amp;START_MAXIMIZED=FALS","E&amp;VAR:CALENDAR=US&amp;VAR:SYMBOL=BBEP&amp;VAR:INDEX=0"}</definedName>
    <definedName name="_32__FDSAUDITLINK__" hidden="1">{"fdsup://directions/FAT Viewer?action=UPDATE&amp;creator=factset&amp;DYN_ARGS=TRUE&amp;DOC_NAME=FAT:FQL_AUDITING_CLIENT_TEMPLATE.FAT&amp;display_string=Audit&amp;VAR:KEY=OLQPCZMVYF&amp;VAR:QUERY=RkZfQ0FQRVgoUVRSLC0zUSk=&amp;WINDOW=FIRST_POPUP&amp;HEIGHT=450&amp;WIDTH=450&amp;START_MAXIMIZED=FALS","E&amp;VAR:CALENDAR=US&amp;VAR:SYMBOL=BBEP&amp;VAR:INDEX=0"}</definedName>
    <definedName name="_33__123Graph_EWAGES_BY_B_U" hidden="1">#REF!</definedName>
    <definedName name="_33__123Graph_FQRE_S_BY_CO." hidden="1">#REF!</definedName>
    <definedName name="_33__123Graph_XCONTRACT_BY_B_U" hidden="1">#REF!</definedName>
    <definedName name="_33__FDSAUDITLINK__" localSheetId="1" hidden="1">{"fdsup://directions/FAT Viewer?action=UPDATE&amp;creator=factset&amp;DYN_ARGS=TRUE&amp;DOC_NAME=FAT:FQL_AUDITING_CLIENT_TEMPLATE.FAT&amp;display_string=Audit&amp;VAR:KEY=STWROFIJSF&amp;VAR:QUERY=RkZfQ0FQRVgoUVRSLDBRKQ==&amp;WINDOW=FIRST_POPUP&amp;HEIGHT=450&amp;WIDTH=450&amp;START_MAXIMIZED=FALS","E&amp;VAR:CALENDAR=US&amp;VAR:SYMBOL=XTEX&amp;VAR:INDEX=0"}</definedName>
    <definedName name="_33__FDSAUDITLINK__" localSheetId="3" hidden="1">{"fdsup://directions/FAT Viewer?action=UPDATE&amp;creator=factset&amp;DYN_ARGS=TRUE&amp;DOC_NAME=FAT:FQL_AUDITING_CLIENT_TEMPLATE.FAT&amp;display_string=Audit&amp;VAR:KEY=STWROFIJSF&amp;VAR:QUERY=RkZfQ0FQRVgoUVRSLDBRKQ==&amp;WINDOW=FIRST_POPUP&amp;HEIGHT=450&amp;WIDTH=450&amp;START_MAXIMIZED=FALS","E&amp;VAR:CALENDAR=US&amp;VAR:SYMBOL=XTEX&amp;VAR:INDEX=0"}</definedName>
    <definedName name="_33__FDSAUDITLINK__" hidden="1">{"fdsup://directions/FAT Viewer?action=UPDATE&amp;creator=factset&amp;DYN_ARGS=TRUE&amp;DOC_NAME=FAT:FQL_AUDITING_CLIENT_TEMPLATE.FAT&amp;display_string=Audit&amp;VAR:KEY=STWROFIJSF&amp;VAR:QUERY=RkZfQ0FQRVgoUVRSLDBRKQ==&amp;WINDOW=FIRST_POPUP&amp;HEIGHT=450&amp;WIDTH=450&amp;START_MAXIMIZED=FALS","E&amp;VAR:CALENDAR=US&amp;VAR:SYMBOL=XTEX&amp;VAR:INDEX=0"}</definedName>
    <definedName name="_34__123Graph_FCONTRACT_BY_B_U" hidden="1">#REF!</definedName>
    <definedName name="_34__123Graph_FSUPPLIES_BY_B_U" hidden="1">#REF!</definedName>
    <definedName name="_34__123Graph_XQRE_S_BY_CO." hidden="1">#REF!</definedName>
    <definedName name="_34__FDSAUDITLINK__" localSheetId="1" hidden="1">{"fdsup://directions/FAT Viewer?action=UPDATE&amp;creator=factset&amp;DYN_ARGS=TRUE&amp;DOC_NAME=FAT:FQL_AUDITING_CLIENT_TEMPLATE.FAT&amp;display_string=Audit&amp;VAR:KEY=KDUREDIREH&amp;VAR:QUERY=RkZfQ0FQRVgoUVRSLC0xUSk=&amp;WINDOW=FIRST_POPUP&amp;HEIGHT=450&amp;WIDTH=450&amp;START_MAXIMIZED=FALS","E&amp;VAR:CALENDAR=US&amp;VAR:SYMBOL=XTEX&amp;VAR:INDEX=0"}</definedName>
    <definedName name="_34__FDSAUDITLINK__" localSheetId="3" hidden="1">{"fdsup://directions/FAT Viewer?action=UPDATE&amp;creator=factset&amp;DYN_ARGS=TRUE&amp;DOC_NAME=FAT:FQL_AUDITING_CLIENT_TEMPLATE.FAT&amp;display_string=Audit&amp;VAR:KEY=KDUREDIREH&amp;VAR:QUERY=RkZfQ0FQRVgoUVRSLC0xUSk=&amp;WINDOW=FIRST_POPUP&amp;HEIGHT=450&amp;WIDTH=450&amp;START_MAXIMIZED=FALS","E&amp;VAR:CALENDAR=US&amp;VAR:SYMBOL=XTEX&amp;VAR:INDEX=0"}</definedName>
    <definedName name="_34__FDSAUDITLINK__" hidden="1">{"fdsup://directions/FAT Viewer?action=UPDATE&amp;creator=factset&amp;DYN_ARGS=TRUE&amp;DOC_NAME=FAT:FQL_AUDITING_CLIENT_TEMPLATE.FAT&amp;display_string=Audit&amp;VAR:KEY=KDUREDIREH&amp;VAR:QUERY=RkZfQ0FQRVgoUVRSLC0xUSk=&amp;WINDOW=FIRST_POPUP&amp;HEIGHT=450&amp;WIDTH=450&amp;START_MAXIMIZED=FALS","E&amp;VAR:CALENDAR=US&amp;VAR:SYMBOL=XTEX&amp;VAR:INDEX=0"}</definedName>
    <definedName name="_35__123Graph_FQRE_S_BY_CO." hidden="1">#REF!</definedName>
    <definedName name="_35__123Graph_FWAGES_BY_B_U" hidden="1">#REF!</definedName>
    <definedName name="_35__123Graph_XQRE_S_BY_TYPE" hidden="1">#REF!</definedName>
    <definedName name="_35__FDSAUDITLINK__" localSheetId="1" hidden="1">{"fdsup://directions/FAT Viewer?action=UPDATE&amp;creator=factset&amp;DYN_ARGS=TRUE&amp;DOC_NAME=FAT:FQL_AUDITING_CLIENT_TEMPLATE.FAT&amp;display_string=Audit&amp;VAR:KEY=ETMVMHIFML&amp;VAR:QUERY=RkZfQ0FQRVgoUVRSLC0yUSk=&amp;WINDOW=FIRST_POPUP&amp;HEIGHT=450&amp;WIDTH=450&amp;START_MAXIMIZED=FALS","E&amp;VAR:CALENDAR=US&amp;VAR:SYMBOL=XTEX&amp;VAR:INDEX=0"}</definedName>
    <definedName name="_35__FDSAUDITLINK__" localSheetId="3" hidden="1">{"fdsup://directions/FAT Viewer?action=UPDATE&amp;creator=factset&amp;DYN_ARGS=TRUE&amp;DOC_NAME=FAT:FQL_AUDITING_CLIENT_TEMPLATE.FAT&amp;display_string=Audit&amp;VAR:KEY=ETMVMHIFML&amp;VAR:QUERY=RkZfQ0FQRVgoUVRSLC0yUSk=&amp;WINDOW=FIRST_POPUP&amp;HEIGHT=450&amp;WIDTH=450&amp;START_MAXIMIZED=FALS","E&amp;VAR:CALENDAR=US&amp;VAR:SYMBOL=XTEX&amp;VAR:INDEX=0"}</definedName>
    <definedName name="_35__FDSAUDITLINK__" hidden="1">{"fdsup://directions/FAT Viewer?action=UPDATE&amp;creator=factset&amp;DYN_ARGS=TRUE&amp;DOC_NAME=FAT:FQL_AUDITING_CLIENT_TEMPLATE.FAT&amp;display_string=Audit&amp;VAR:KEY=ETMVMHIFML&amp;VAR:QUERY=RkZfQ0FQRVgoUVRSLC0yUSk=&amp;WINDOW=FIRST_POPUP&amp;HEIGHT=450&amp;WIDTH=450&amp;START_MAXIMIZED=FALS","E&amp;VAR:CALENDAR=US&amp;VAR:SYMBOL=XTEX&amp;VAR:INDEX=0"}</definedName>
    <definedName name="_36__123Graph_FSUPPLIES_BY_B_U" hidden="1">#REF!</definedName>
    <definedName name="_36__123Graph_XCONTRACT_BY_B_U" hidden="1">#REF!</definedName>
    <definedName name="_36__123Graph_XSUPPLIES_BY_B_U" hidden="1">#REF!</definedName>
    <definedName name="_36__FDSAUDITLINK__" localSheetId="1" hidden="1">{"fdsup://directions/FAT Viewer?action=UPDATE&amp;creator=factset&amp;DYN_ARGS=TRUE&amp;DOC_NAME=FAT:FQL_AUDITING_CLIENT_TEMPLATE.FAT&amp;display_string=Audit&amp;VAR:KEY=CRMZGXMZGJ&amp;VAR:QUERY=RkZfQ0FQRVgoUVRSLC0zUSk=&amp;WINDOW=FIRST_POPUP&amp;HEIGHT=450&amp;WIDTH=450&amp;START_MAXIMIZED=FALS","E&amp;VAR:CALENDAR=US&amp;VAR:SYMBOL=XTEX&amp;VAR:INDEX=0"}</definedName>
    <definedName name="_36__FDSAUDITLINK__" localSheetId="3" hidden="1">{"fdsup://directions/FAT Viewer?action=UPDATE&amp;creator=factset&amp;DYN_ARGS=TRUE&amp;DOC_NAME=FAT:FQL_AUDITING_CLIENT_TEMPLATE.FAT&amp;display_string=Audit&amp;VAR:KEY=CRMZGXMZGJ&amp;VAR:QUERY=RkZfQ0FQRVgoUVRSLC0zUSk=&amp;WINDOW=FIRST_POPUP&amp;HEIGHT=450&amp;WIDTH=450&amp;START_MAXIMIZED=FALS","E&amp;VAR:CALENDAR=US&amp;VAR:SYMBOL=XTEX&amp;VAR:INDEX=0"}</definedName>
    <definedName name="_36__FDSAUDITLINK__" hidden="1">{"fdsup://directions/FAT Viewer?action=UPDATE&amp;creator=factset&amp;DYN_ARGS=TRUE&amp;DOC_NAME=FAT:FQL_AUDITING_CLIENT_TEMPLATE.FAT&amp;display_string=Audit&amp;VAR:KEY=CRMZGXMZGJ&amp;VAR:QUERY=RkZfQ0FQRVgoUVRSLC0zUSk=&amp;WINDOW=FIRST_POPUP&amp;HEIGHT=450&amp;WIDTH=450&amp;START_MAXIMIZED=FALS","E&amp;VAR:CALENDAR=US&amp;VAR:SYMBOL=XTEX&amp;VAR:INDEX=0"}</definedName>
    <definedName name="_37__123Graph_ACHART_1" hidden="1">#REF!</definedName>
    <definedName name="_37__123Graph_FWAGES_BY_B_U" hidden="1">#REF!</definedName>
    <definedName name="_37__123Graph_XQRE_S_BY_CO." hidden="1">#REF!</definedName>
    <definedName name="_37__123Graph_XTAX_CREDIT" hidden="1">#REF!</definedName>
    <definedName name="_37__FDSAUDITLINK__" localSheetId="1" hidden="1">{"fdsup://directions/FAT Viewer?action=UPDATE&amp;creator=factset&amp;DYN_ARGS=TRUE&amp;DOC_NAME=FAT:FQL_AUDITING_CLIENT_TEMPLATE.FAT&amp;display_string=Audit&amp;VAR:KEY=MTUFABETWX&amp;VAR:QUERY=RkZfQ0FQRVgoUVRSLDBRKQ==&amp;WINDOW=FIRST_POPUP&amp;HEIGHT=450&amp;WIDTH=450&amp;START_MAXIMIZED=FALS","E&amp;VAR:CALENDAR=US&amp;VAR:SYMBOL=WPZ&amp;VAR:INDEX=0"}</definedName>
    <definedName name="_37__FDSAUDITLINK__" localSheetId="3" hidden="1">{"fdsup://directions/FAT Viewer?action=UPDATE&amp;creator=factset&amp;DYN_ARGS=TRUE&amp;DOC_NAME=FAT:FQL_AUDITING_CLIENT_TEMPLATE.FAT&amp;display_string=Audit&amp;VAR:KEY=MTUFABETWX&amp;VAR:QUERY=RkZfQ0FQRVgoUVRSLDBRKQ==&amp;WINDOW=FIRST_POPUP&amp;HEIGHT=450&amp;WIDTH=450&amp;START_MAXIMIZED=FALS","E&amp;VAR:CALENDAR=US&amp;VAR:SYMBOL=WPZ&amp;VAR:INDEX=0"}</definedName>
    <definedName name="_37__FDSAUDITLINK__" hidden="1">{"fdsup://directions/FAT Viewer?action=UPDATE&amp;creator=factset&amp;DYN_ARGS=TRUE&amp;DOC_NAME=FAT:FQL_AUDITING_CLIENT_TEMPLATE.FAT&amp;display_string=Audit&amp;VAR:KEY=MTUFABETWX&amp;VAR:QUERY=RkZfQ0FQRVgoUVRSLDBRKQ==&amp;WINDOW=FIRST_POPUP&amp;HEIGHT=450&amp;WIDTH=450&amp;START_MAXIMIZED=FALS","E&amp;VAR:CALENDAR=US&amp;VAR:SYMBOL=WPZ&amp;VAR:INDEX=0"}</definedName>
    <definedName name="_38__123Graph_XCONTRACT_BY_B_U" hidden="1">#REF!</definedName>
    <definedName name="_38__123Graph_XQRE_S_BY_TYPE" hidden="1">#REF!</definedName>
    <definedName name="_38__FDSAUDITLINK__" localSheetId="1" hidden="1">{"fdsup://directions/FAT Viewer?action=UPDATE&amp;creator=factset&amp;DYN_ARGS=TRUE&amp;DOC_NAME=FAT:FQL_AUDITING_CLIENT_TEMPLATE.FAT&amp;display_string=Audit&amp;VAR:KEY=ABALGZCVQZ&amp;VAR:QUERY=RkZfQ0FQRVgoUVRSLC0xUSk=&amp;WINDOW=FIRST_POPUP&amp;HEIGHT=450&amp;WIDTH=450&amp;START_MAXIMIZED=FALS","E&amp;VAR:CALENDAR=US&amp;VAR:SYMBOL=WPZ&amp;VAR:INDEX=0"}</definedName>
    <definedName name="_38__FDSAUDITLINK__" localSheetId="3" hidden="1">{"fdsup://directions/FAT Viewer?action=UPDATE&amp;creator=factset&amp;DYN_ARGS=TRUE&amp;DOC_NAME=FAT:FQL_AUDITING_CLIENT_TEMPLATE.FAT&amp;display_string=Audit&amp;VAR:KEY=ABALGZCVQZ&amp;VAR:QUERY=RkZfQ0FQRVgoUVRSLC0xUSk=&amp;WINDOW=FIRST_POPUP&amp;HEIGHT=450&amp;WIDTH=450&amp;START_MAXIMIZED=FALS","E&amp;VAR:CALENDAR=US&amp;VAR:SYMBOL=WPZ&amp;VAR:INDEX=0"}</definedName>
    <definedName name="_38__FDSAUDITLINK__" hidden="1">{"fdsup://directions/FAT Viewer?action=UPDATE&amp;creator=factset&amp;DYN_ARGS=TRUE&amp;DOC_NAME=FAT:FQL_AUDITING_CLIENT_TEMPLATE.FAT&amp;display_string=Audit&amp;VAR:KEY=ABALGZCVQZ&amp;VAR:QUERY=RkZfQ0FQRVgoUVRSLC0xUSk=&amp;WINDOW=FIRST_POPUP&amp;HEIGHT=450&amp;WIDTH=450&amp;START_MAXIMIZED=FALS","E&amp;VAR:CALENDAR=US&amp;VAR:SYMBOL=WPZ&amp;VAR:INDEX=0"}</definedName>
    <definedName name="_39__123Graph_XQRE_S_BY_CO." hidden="1">#REF!</definedName>
    <definedName name="_39__123Graph_XSUPPLIES_BY_B_U" hidden="1">#REF!</definedName>
    <definedName name="_39__FDSAUDITLINK__" localSheetId="1" hidden="1">{"fdsup://directions/FAT Viewer?action=UPDATE&amp;creator=factset&amp;DYN_ARGS=TRUE&amp;DOC_NAME=FAT:FQL_AUDITING_CLIENT_TEMPLATE.FAT&amp;display_string=Audit&amp;VAR:KEY=KTSTYDABQH&amp;VAR:QUERY=RkZfQ0FQRVgoUVRSLC0yUSk=&amp;WINDOW=FIRST_POPUP&amp;HEIGHT=450&amp;WIDTH=450&amp;START_MAXIMIZED=FALS","E&amp;VAR:CALENDAR=US&amp;VAR:SYMBOL=WPZ&amp;VAR:INDEX=0"}</definedName>
    <definedName name="_39__FDSAUDITLINK__" localSheetId="3" hidden="1">{"fdsup://directions/FAT Viewer?action=UPDATE&amp;creator=factset&amp;DYN_ARGS=TRUE&amp;DOC_NAME=FAT:FQL_AUDITING_CLIENT_TEMPLATE.FAT&amp;display_string=Audit&amp;VAR:KEY=KTSTYDABQH&amp;VAR:QUERY=RkZfQ0FQRVgoUVRSLC0yUSk=&amp;WINDOW=FIRST_POPUP&amp;HEIGHT=450&amp;WIDTH=450&amp;START_MAXIMIZED=FALS","E&amp;VAR:CALENDAR=US&amp;VAR:SYMBOL=WPZ&amp;VAR:INDEX=0"}</definedName>
    <definedName name="_39__FDSAUDITLINK__" hidden="1">{"fdsup://directions/FAT Viewer?action=UPDATE&amp;creator=factset&amp;DYN_ARGS=TRUE&amp;DOC_NAME=FAT:FQL_AUDITING_CLIENT_TEMPLATE.FAT&amp;display_string=Audit&amp;VAR:KEY=KTSTYDABQH&amp;VAR:QUERY=RkZfQ0FQRVgoUVRSLC0yUSk=&amp;WINDOW=FIRST_POPUP&amp;HEIGHT=450&amp;WIDTH=450&amp;START_MAXIMIZED=FALS","E&amp;VAR:CALENDAR=US&amp;VAR:SYMBOL=WPZ&amp;VAR:INDEX=0"}</definedName>
    <definedName name="_4__123Graph_ACONTRACT_BY_B_U" hidden="1">#REF!</definedName>
    <definedName name="_4__123Graph_ASENS_COMPARISON" hidden="1">#REF!</definedName>
    <definedName name="_4__123Graph_BCHART_1" hidden="1">#REF!</definedName>
    <definedName name="_4__123Graph_BCHART_3" hidden="1">#REF!</definedName>
    <definedName name="_4__123Graph_XALL_IN_COSTS" hidden="1">#REF!</definedName>
    <definedName name="_4__123Graph_XCHART_1" hidden="1">#REF!</definedName>
    <definedName name="_4__FDSAUDITLINK__" localSheetId="1" hidden="1">{"fdsup://directions/FAT Viewer?action=UPDATE&amp;creator=factset&amp;DYN_ARGS=TRUE&amp;DOC_NAME=FAT:FQL_AUDITING_CLIENT_TEMPLATE.FAT&amp;display_string=Audit&amp;VAR:KEY=MDWNWPQNIH&amp;VAR:QUERY=RkZfQ0FQRVgoUVRSLC0zUSk=&amp;WINDOW=FIRST_POPUP&amp;HEIGHT=450&amp;WIDTH=450&amp;START_MAXIMIZED=FALS","E&amp;VAR:CALENDAR=US&amp;VAR:SYMBOL=VNR&amp;VAR:INDEX=0"}</definedName>
    <definedName name="_4__FDSAUDITLINK__" localSheetId="3" hidden="1">{"fdsup://directions/FAT Viewer?action=UPDATE&amp;creator=factset&amp;DYN_ARGS=TRUE&amp;DOC_NAME=FAT:FQL_AUDITING_CLIENT_TEMPLATE.FAT&amp;display_string=Audit&amp;VAR:KEY=MDWNWPQNIH&amp;VAR:QUERY=RkZfQ0FQRVgoUVRSLC0zUSk=&amp;WINDOW=FIRST_POPUP&amp;HEIGHT=450&amp;WIDTH=450&amp;START_MAXIMIZED=FALS","E&amp;VAR:CALENDAR=US&amp;VAR:SYMBOL=VNR&amp;VAR:INDEX=0"}</definedName>
    <definedName name="_4__FDSAUDITLINK__" hidden="1">{"fdsup://directions/FAT Viewer?action=UPDATE&amp;creator=factset&amp;DYN_ARGS=TRUE&amp;DOC_NAME=FAT:FQL_AUDITING_CLIENT_TEMPLATE.FAT&amp;display_string=Audit&amp;VAR:KEY=MDWNWPQNIH&amp;VAR:QUERY=RkZfQ0FQRVgoUVRSLC0zUSk=&amp;WINDOW=FIRST_POPUP&amp;HEIGHT=450&amp;WIDTH=450&amp;START_MAXIMIZED=FALS","E&amp;VAR:CALENDAR=US&amp;VAR:SYMBOL=VNR&amp;VAR:INDEX=0"}</definedName>
    <definedName name="_40__123Graph_XQRE_S_BY_TYPE" hidden="1">#REF!</definedName>
    <definedName name="_40__123Graph_XTAX_CREDIT" hidden="1">#REF!</definedName>
    <definedName name="_40__FDSAUDITLINK__" localSheetId="1" hidden="1">{"fdsup://directions/FAT Viewer?action=UPDATE&amp;creator=factset&amp;DYN_ARGS=TRUE&amp;DOC_NAME=FAT:FQL_AUDITING_CLIENT_TEMPLATE.FAT&amp;display_string=Audit&amp;VAR:KEY=QDWJIZMZWJ&amp;VAR:QUERY=RkZfQ0FQRVgoUVRSLC0zUSk=&amp;WINDOW=FIRST_POPUP&amp;HEIGHT=450&amp;WIDTH=450&amp;START_MAXIMIZED=FALS","E&amp;VAR:CALENDAR=US&amp;VAR:SYMBOL=WPZ&amp;VAR:INDEX=0"}</definedName>
    <definedName name="_40__FDSAUDITLINK__" localSheetId="3" hidden="1">{"fdsup://directions/FAT Viewer?action=UPDATE&amp;creator=factset&amp;DYN_ARGS=TRUE&amp;DOC_NAME=FAT:FQL_AUDITING_CLIENT_TEMPLATE.FAT&amp;display_string=Audit&amp;VAR:KEY=QDWJIZMZWJ&amp;VAR:QUERY=RkZfQ0FQRVgoUVRSLC0zUSk=&amp;WINDOW=FIRST_POPUP&amp;HEIGHT=450&amp;WIDTH=450&amp;START_MAXIMIZED=FALS","E&amp;VAR:CALENDAR=US&amp;VAR:SYMBOL=WPZ&amp;VAR:INDEX=0"}</definedName>
    <definedName name="_40__FDSAUDITLINK__" hidden="1">{"fdsup://directions/FAT Viewer?action=UPDATE&amp;creator=factset&amp;DYN_ARGS=TRUE&amp;DOC_NAME=FAT:FQL_AUDITING_CLIENT_TEMPLATE.FAT&amp;display_string=Audit&amp;VAR:KEY=QDWJIZMZWJ&amp;VAR:QUERY=RkZfQ0FQRVgoUVRSLC0zUSk=&amp;WINDOW=FIRST_POPUP&amp;HEIGHT=450&amp;WIDTH=450&amp;START_MAXIMIZED=FALS","E&amp;VAR:CALENDAR=US&amp;VAR:SYMBOL=WPZ&amp;VAR:INDEX=0"}</definedName>
    <definedName name="_41__123Graph_XSUPPLIES_BY_B_U" hidden="1">#REF!</definedName>
    <definedName name="_41__FDSAUDITLINK__" localSheetId="1" hidden="1">{"fdsup://directions/FAT Viewer?action=UPDATE&amp;creator=factset&amp;DYN_ARGS=TRUE&amp;DOC_NAME=FAT:FQL_AUDITING_CLIENT_TEMPLATE.FAT&amp;display_string=Audit&amp;VAR:KEY=YFMJKLGFGP&amp;VAR:QUERY=RkZfQ0FQRVgoUVRSLDBRKQ==&amp;WINDOW=FIRST_POPUP&amp;HEIGHT=450&amp;WIDTH=450&amp;START_MAXIMIZED=FALS","E&amp;VAR:CALENDAR=US&amp;VAR:SYMBOL=WES&amp;VAR:INDEX=0"}</definedName>
    <definedName name="_41__FDSAUDITLINK__" localSheetId="3" hidden="1">{"fdsup://directions/FAT Viewer?action=UPDATE&amp;creator=factset&amp;DYN_ARGS=TRUE&amp;DOC_NAME=FAT:FQL_AUDITING_CLIENT_TEMPLATE.FAT&amp;display_string=Audit&amp;VAR:KEY=YFMJKLGFGP&amp;VAR:QUERY=RkZfQ0FQRVgoUVRSLDBRKQ==&amp;WINDOW=FIRST_POPUP&amp;HEIGHT=450&amp;WIDTH=450&amp;START_MAXIMIZED=FALS","E&amp;VAR:CALENDAR=US&amp;VAR:SYMBOL=WES&amp;VAR:INDEX=0"}</definedName>
    <definedName name="_41__FDSAUDITLINK__" hidden="1">{"fdsup://directions/FAT Viewer?action=UPDATE&amp;creator=factset&amp;DYN_ARGS=TRUE&amp;DOC_NAME=FAT:FQL_AUDITING_CLIENT_TEMPLATE.FAT&amp;display_string=Audit&amp;VAR:KEY=YFMJKLGFGP&amp;VAR:QUERY=RkZfQ0FQRVgoUVRSLDBRKQ==&amp;WINDOW=FIRST_POPUP&amp;HEIGHT=450&amp;WIDTH=450&amp;START_MAXIMIZED=FALS","E&amp;VAR:CALENDAR=US&amp;VAR:SYMBOL=WES&amp;VAR:INDEX=0"}</definedName>
    <definedName name="_42__123Graph_XTAX_CREDIT" hidden="1">#REF!</definedName>
    <definedName name="_42__FDSAUDITLINK__" localSheetId="1" hidden="1">{"fdsup://directions/FAT Viewer?action=UPDATE&amp;creator=factset&amp;DYN_ARGS=TRUE&amp;DOC_NAME=FAT:FQL_AUDITING_CLIENT_TEMPLATE.FAT&amp;display_string=Audit&amp;VAR:KEY=EVMVITULQV&amp;VAR:QUERY=RkZfQ0FQRVgoUVRSLC0xUSk=&amp;WINDOW=FIRST_POPUP&amp;HEIGHT=450&amp;WIDTH=450&amp;START_MAXIMIZED=FALS","E&amp;VAR:CALENDAR=US&amp;VAR:SYMBOL=WES&amp;VAR:INDEX=0"}</definedName>
    <definedName name="_42__FDSAUDITLINK__" localSheetId="3" hidden="1">{"fdsup://directions/FAT Viewer?action=UPDATE&amp;creator=factset&amp;DYN_ARGS=TRUE&amp;DOC_NAME=FAT:FQL_AUDITING_CLIENT_TEMPLATE.FAT&amp;display_string=Audit&amp;VAR:KEY=EVMVITULQV&amp;VAR:QUERY=RkZfQ0FQRVgoUVRSLC0xUSk=&amp;WINDOW=FIRST_POPUP&amp;HEIGHT=450&amp;WIDTH=450&amp;START_MAXIMIZED=FALS","E&amp;VAR:CALENDAR=US&amp;VAR:SYMBOL=WES&amp;VAR:INDEX=0"}</definedName>
    <definedName name="_42__FDSAUDITLINK__" hidden="1">{"fdsup://directions/FAT Viewer?action=UPDATE&amp;creator=factset&amp;DYN_ARGS=TRUE&amp;DOC_NAME=FAT:FQL_AUDITING_CLIENT_TEMPLATE.FAT&amp;display_string=Audit&amp;VAR:KEY=EVMVITULQV&amp;VAR:QUERY=RkZfQ0FQRVgoUVRSLC0xUSk=&amp;WINDOW=FIRST_POPUP&amp;HEIGHT=450&amp;WIDTH=450&amp;START_MAXIMIZED=FALS","E&amp;VAR:CALENDAR=US&amp;VAR:SYMBOL=WES&amp;VAR:INDEX=0"}</definedName>
    <definedName name="_43__FDSAUDITLINK__" localSheetId="1" hidden="1">{"fdsup://directions/FAT Viewer?action=UPDATE&amp;creator=factset&amp;DYN_ARGS=TRUE&amp;DOC_NAME=FAT:FQL_AUDITING_CLIENT_TEMPLATE.FAT&amp;display_string=Audit&amp;VAR:KEY=AZSVKVINOD&amp;VAR:QUERY=RkZfQ0FQRVgoUVRSLC0yUSk=&amp;WINDOW=FIRST_POPUP&amp;HEIGHT=450&amp;WIDTH=450&amp;START_MAXIMIZED=FALS","E&amp;VAR:CALENDAR=US&amp;VAR:SYMBOL=WES&amp;VAR:INDEX=0"}</definedName>
    <definedName name="_43__FDSAUDITLINK__" localSheetId="3" hidden="1">{"fdsup://directions/FAT Viewer?action=UPDATE&amp;creator=factset&amp;DYN_ARGS=TRUE&amp;DOC_NAME=FAT:FQL_AUDITING_CLIENT_TEMPLATE.FAT&amp;display_string=Audit&amp;VAR:KEY=AZSVKVINOD&amp;VAR:QUERY=RkZfQ0FQRVgoUVRSLC0yUSk=&amp;WINDOW=FIRST_POPUP&amp;HEIGHT=450&amp;WIDTH=450&amp;START_MAXIMIZED=FALS","E&amp;VAR:CALENDAR=US&amp;VAR:SYMBOL=WES&amp;VAR:INDEX=0"}</definedName>
    <definedName name="_43__FDSAUDITLINK__" hidden="1">{"fdsup://directions/FAT Viewer?action=UPDATE&amp;creator=factset&amp;DYN_ARGS=TRUE&amp;DOC_NAME=FAT:FQL_AUDITING_CLIENT_TEMPLATE.FAT&amp;display_string=Audit&amp;VAR:KEY=AZSVKVINOD&amp;VAR:QUERY=RkZfQ0FQRVgoUVRSLC0yUSk=&amp;WINDOW=FIRST_POPUP&amp;HEIGHT=450&amp;WIDTH=450&amp;START_MAXIMIZED=FALS","E&amp;VAR:CALENDAR=US&amp;VAR:SYMBOL=WES&amp;VAR:INDEX=0"}</definedName>
    <definedName name="_44__FDSAUDITLINK__" localSheetId="1" hidden="1">{"fdsup://directions/FAT Viewer?action=UPDATE&amp;creator=factset&amp;DYN_ARGS=TRUE&amp;DOC_NAME=FAT:FQL_AUDITING_CLIENT_TEMPLATE.FAT&amp;display_string=Audit&amp;VAR:KEY=CZWFQBERIZ&amp;VAR:QUERY=RkZfQ0FQRVgoUVRSLC0zUSk=&amp;WINDOW=FIRST_POPUP&amp;HEIGHT=450&amp;WIDTH=450&amp;START_MAXIMIZED=FALS","E&amp;VAR:CALENDAR=US&amp;VAR:SYMBOL=WES&amp;VAR:INDEX=0"}</definedName>
    <definedName name="_44__FDSAUDITLINK__" localSheetId="3" hidden="1">{"fdsup://directions/FAT Viewer?action=UPDATE&amp;creator=factset&amp;DYN_ARGS=TRUE&amp;DOC_NAME=FAT:FQL_AUDITING_CLIENT_TEMPLATE.FAT&amp;display_string=Audit&amp;VAR:KEY=CZWFQBERIZ&amp;VAR:QUERY=RkZfQ0FQRVgoUVRSLC0zUSk=&amp;WINDOW=FIRST_POPUP&amp;HEIGHT=450&amp;WIDTH=450&amp;START_MAXIMIZED=FALS","E&amp;VAR:CALENDAR=US&amp;VAR:SYMBOL=WES&amp;VAR:INDEX=0"}</definedName>
    <definedName name="_44__FDSAUDITLINK__" hidden="1">{"fdsup://directions/FAT Viewer?action=UPDATE&amp;creator=factset&amp;DYN_ARGS=TRUE&amp;DOC_NAME=FAT:FQL_AUDITING_CLIENT_TEMPLATE.FAT&amp;display_string=Audit&amp;VAR:KEY=CZWFQBERIZ&amp;VAR:QUERY=RkZfQ0FQRVgoUVRSLC0zUSk=&amp;WINDOW=FIRST_POPUP&amp;HEIGHT=450&amp;WIDTH=450&amp;START_MAXIMIZED=FALS","E&amp;VAR:CALENDAR=US&amp;VAR:SYMBOL=WES&amp;VAR:INDEX=0"}</definedName>
    <definedName name="_45__FDSAUDITLINK__" localSheetId="1" hidden="1">{"fdsup://directions/FAT Viewer?action=UPDATE&amp;creator=factset&amp;DYN_ARGS=TRUE&amp;DOC_NAME=FAT:FQL_AUDITING_CLIENT_TEMPLATE.FAT&amp;display_string=Audit&amp;VAR:KEY=OFIZMPANOL&amp;VAR:QUERY=RkZfQ0FQRVgoUVRSLDBRKQ==&amp;WINDOW=FIRST_POPUP&amp;HEIGHT=450&amp;WIDTH=450&amp;START_MAXIMIZED=FALS","E&amp;VAR:CALENDAR=US&amp;VAR:SYMBOL=TOO&amp;VAR:INDEX=0"}</definedName>
    <definedName name="_45__FDSAUDITLINK__" localSheetId="3" hidden="1">{"fdsup://directions/FAT Viewer?action=UPDATE&amp;creator=factset&amp;DYN_ARGS=TRUE&amp;DOC_NAME=FAT:FQL_AUDITING_CLIENT_TEMPLATE.FAT&amp;display_string=Audit&amp;VAR:KEY=OFIZMPANOL&amp;VAR:QUERY=RkZfQ0FQRVgoUVRSLDBRKQ==&amp;WINDOW=FIRST_POPUP&amp;HEIGHT=450&amp;WIDTH=450&amp;START_MAXIMIZED=FALS","E&amp;VAR:CALENDAR=US&amp;VAR:SYMBOL=TOO&amp;VAR:INDEX=0"}</definedName>
    <definedName name="_45__FDSAUDITLINK__" hidden="1">{"fdsup://directions/FAT Viewer?action=UPDATE&amp;creator=factset&amp;DYN_ARGS=TRUE&amp;DOC_NAME=FAT:FQL_AUDITING_CLIENT_TEMPLATE.FAT&amp;display_string=Audit&amp;VAR:KEY=OFIZMPANOL&amp;VAR:QUERY=RkZfQ0FQRVgoUVRSLDBRKQ==&amp;WINDOW=FIRST_POPUP&amp;HEIGHT=450&amp;WIDTH=450&amp;START_MAXIMIZED=FALS","E&amp;VAR:CALENDAR=US&amp;VAR:SYMBOL=TOO&amp;VAR:INDEX=0"}</definedName>
    <definedName name="_46__FDSAUDITLINK__" localSheetId="1" hidden="1">{"fdsup://directions/FAT Viewer?action=UPDATE&amp;creator=factset&amp;DYN_ARGS=TRUE&amp;DOC_NAME=FAT:FQL_AUDITING_CLIENT_TEMPLATE.FAT&amp;display_string=Audit&amp;VAR:KEY=QDYPCNUPAH&amp;VAR:QUERY=RkZfQ0FQRVgoUVRSLC0xUSk=&amp;WINDOW=FIRST_POPUP&amp;HEIGHT=450&amp;WIDTH=450&amp;START_MAXIMIZED=FALS","E&amp;VAR:CALENDAR=US&amp;VAR:SYMBOL=TOO&amp;VAR:INDEX=0"}</definedName>
    <definedName name="_46__FDSAUDITLINK__" localSheetId="3" hidden="1">{"fdsup://directions/FAT Viewer?action=UPDATE&amp;creator=factset&amp;DYN_ARGS=TRUE&amp;DOC_NAME=FAT:FQL_AUDITING_CLIENT_TEMPLATE.FAT&amp;display_string=Audit&amp;VAR:KEY=QDYPCNUPAH&amp;VAR:QUERY=RkZfQ0FQRVgoUVRSLC0xUSk=&amp;WINDOW=FIRST_POPUP&amp;HEIGHT=450&amp;WIDTH=450&amp;START_MAXIMIZED=FALS","E&amp;VAR:CALENDAR=US&amp;VAR:SYMBOL=TOO&amp;VAR:INDEX=0"}</definedName>
    <definedName name="_46__FDSAUDITLINK__" hidden="1">{"fdsup://directions/FAT Viewer?action=UPDATE&amp;creator=factset&amp;DYN_ARGS=TRUE&amp;DOC_NAME=FAT:FQL_AUDITING_CLIENT_TEMPLATE.FAT&amp;display_string=Audit&amp;VAR:KEY=QDYPCNUPAH&amp;VAR:QUERY=RkZfQ0FQRVgoUVRSLC0xUSk=&amp;WINDOW=FIRST_POPUP&amp;HEIGHT=450&amp;WIDTH=450&amp;START_MAXIMIZED=FALS","E&amp;VAR:CALENDAR=US&amp;VAR:SYMBOL=TOO&amp;VAR:INDEX=0"}</definedName>
    <definedName name="_47__FDSAUDITLINK__" localSheetId="1" hidden="1">{"fdsup://directions/FAT Viewer?action=UPDATE&amp;creator=factset&amp;DYN_ARGS=TRUE&amp;DOC_NAME=FAT:FQL_AUDITING_CLIENT_TEMPLATE.FAT&amp;display_string=Audit&amp;VAR:KEY=IZALYPYPUX&amp;VAR:QUERY=RkZfQ0FQRVgoUVRSLC0yUSk=&amp;WINDOW=FIRST_POPUP&amp;HEIGHT=450&amp;WIDTH=450&amp;START_MAXIMIZED=FALS","E&amp;VAR:CALENDAR=US&amp;VAR:SYMBOL=TOO&amp;VAR:INDEX=0"}</definedName>
    <definedName name="_47__FDSAUDITLINK__" localSheetId="3" hidden="1">{"fdsup://directions/FAT Viewer?action=UPDATE&amp;creator=factset&amp;DYN_ARGS=TRUE&amp;DOC_NAME=FAT:FQL_AUDITING_CLIENT_TEMPLATE.FAT&amp;display_string=Audit&amp;VAR:KEY=IZALYPYPUX&amp;VAR:QUERY=RkZfQ0FQRVgoUVRSLC0yUSk=&amp;WINDOW=FIRST_POPUP&amp;HEIGHT=450&amp;WIDTH=450&amp;START_MAXIMIZED=FALS","E&amp;VAR:CALENDAR=US&amp;VAR:SYMBOL=TOO&amp;VAR:INDEX=0"}</definedName>
    <definedName name="_47__FDSAUDITLINK__" hidden="1">{"fdsup://directions/FAT Viewer?action=UPDATE&amp;creator=factset&amp;DYN_ARGS=TRUE&amp;DOC_NAME=FAT:FQL_AUDITING_CLIENT_TEMPLATE.FAT&amp;display_string=Audit&amp;VAR:KEY=IZALYPYPUX&amp;VAR:QUERY=RkZfQ0FQRVgoUVRSLC0yUSk=&amp;WINDOW=FIRST_POPUP&amp;HEIGHT=450&amp;WIDTH=450&amp;START_MAXIMIZED=FALS","E&amp;VAR:CALENDAR=US&amp;VAR:SYMBOL=TOO&amp;VAR:INDEX=0"}</definedName>
    <definedName name="_48__FDSAUDITLINK__" localSheetId="1" hidden="1">{"fdsup://directions/FAT Viewer?action=UPDATE&amp;creator=factset&amp;DYN_ARGS=TRUE&amp;DOC_NAME=FAT:FQL_AUDITING_CLIENT_TEMPLATE.FAT&amp;display_string=Audit&amp;VAR:KEY=CLEZKNMJKL&amp;VAR:QUERY=RkZfQ0FQRVgoUVRSLC0zUSk=&amp;WINDOW=FIRST_POPUP&amp;HEIGHT=450&amp;WIDTH=450&amp;START_MAXIMIZED=FALS","E&amp;VAR:CALENDAR=US&amp;VAR:SYMBOL=TOO&amp;VAR:INDEX=0"}</definedName>
    <definedName name="_48__FDSAUDITLINK__" localSheetId="3" hidden="1">{"fdsup://directions/FAT Viewer?action=UPDATE&amp;creator=factset&amp;DYN_ARGS=TRUE&amp;DOC_NAME=FAT:FQL_AUDITING_CLIENT_TEMPLATE.FAT&amp;display_string=Audit&amp;VAR:KEY=CLEZKNMJKL&amp;VAR:QUERY=RkZfQ0FQRVgoUVRSLC0zUSk=&amp;WINDOW=FIRST_POPUP&amp;HEIGHT=450&amp;WIDTH=450&amp;START_MAXIMIZED=FALS","E&amp;VAR:CALENDAR=US&amp;VAR:SYMBOL=TOO&amp;VAR:INDEX=0"}</definedName>
    <definedName name="_48__FDSAUDITLINK__" hidden="1">{"fdsup://directions/FAT Viewer?action=UPDATE&amp;creator=factset&amp;DYN_ARGS=TRUE&amp;DOC_NAME=FAT:FQL_AUDITING_CLIENT_TEMPLATE.FAT&amp;display_string=Audit&amp;VAR:KEY=CLEZKNMJKL&amp;VAR:QUERY=RkZfQ0FQRVgoUVRSLC0zUSk=&amp;WINDOW=FIRST_POPUP&amp;HEIGHT=450&amp;WIDTH=450&amp;START_MAXIMIZED=FALS","E&amp;VAR:CALENDAR=US&amp;VAR:SYMBOL=TOO&amp;VAR:INDEX=0"}</definedName>
    <definedName name="_49__FDSAUDITLINK__" localSheetId="1" hidden="1">{"fdsup://directions/FAT Viewer?action=UPDATE&amp;creator=factset&amp;DYN_ARGS=TRUE&amp;DOC_NAME=FAT:FQL_AUDITING_CLIENT_TEMPLATE.FAT&amp;display_string=Audit&amp;VAR:KEY=ORETOLEDWJ&amp;VAR:QUERY=RkZfQ0FQRVgoUVRSLDBRKQ==&amp;WINDOW=FIRST_POPUP&amp;HEIGHT=450&amp;WIDTH=450&amp;START_MAXIMIZED=FALS","E&amp;VAR:CALENDAR=US&amp;VAR:SYMBOL=TLP&amp;VAR:INDEX=0"}</definedName>
    <definedName name="_49__FDSAUDITLINK__" localSheetId="3" hidden="1">{"fdsup://directions/FAT Viewer?action=UPDATE&amp;creator=factset&amp;DYN_ARGS=TRUE&amp;DOC_NAME=FAT:FQL_AUDITING_CLIENT_TEMPLATE.FAT&amp;display_string=Audit&amp;VAR:KEY=ORETOLEDWJ&amp;VAR:QUERY=RkZfQ0FQRVgoUVRSLDBRKQ==&amp;WINDOW=FIRST_POPUP&amp;HEIGHT=450&amp;WIDTH=450&amp;START_MAXIMIZED=FALS","E&amp;VAR:CALENDAR=US&amp;VAR:SYMBOL=TLP&amp;VAR:INDEX=0"}</definedName>
    <definedName name="_49__FDSAUDITLINK__" hidden="1">{"fdsup://directions/FAT Viewer?action=UPDATE&amp;creator=factset&amp;DYN_ARGS=TRUE&amp;DOC_NAME=FAT:FQL_AUDITING_CLIENT_TEMPLATE.FAT&amp;display_string=Audit&amp;VAR:KEY=ORETOLEDWJ&amp;VAR:QUERY=RkZfQ0FQRVgoUVRSLDBRKQ==&amp;WINDOW=FIRST_POPUP&amp;HEIGHT=450&amp;WIDTH=450&amp;START_MAXIMIZED=FALS","E&amp;VAR:CALENDAR=US&amp;VAR:SYMBOL=TLP&amp;VAR:INDEX=0"}</definedName>
    <definedName name="_5__123Graph_ACHART_17" hidden="1">#REF!</definedName>
    <definedName name="_5__123Graph_AQRE_S_BY_CO." hidden="1">#REF!</definedName>
    <definedName name="_5__123Graph_ASUPPLIES_BY_B_U" hidden="1">#REF!</definedName>
    <definedName name="_5__123Graph_BOP75_25PRICE" hidden="1">#REF!</definedName>
    <definedName name="_5__123Graph_CCHART_1" hidden="1">#REF!</definedName>
    <definedName name="_5__FDSAUDITLINK__" localSheetId="1" hidden="1">{"fdsup://directions/FAT Viewer?action=UPDATE&amp;creator=factset&amp;DYN_ARGS=TRUE&amp;DOC_NAME=FAT:FQL_AUDITING_CLIENT_TEMPLATE.FAT&amp;display_string=Audit&amp;VAR:KEY=QJEFSLIVYR&amp;VAR:QUERY=RkZfQ0FQRVgoUVRSLDBRKQ==&amp;WINDOW=FIRST_POPUP&amp;HEIGHT=450&amp;WIDTH=450&amp;START_MAXIMIZED=FALS","E&amp;VAR:CALENDAR=US&amp;VAR:SYMBOL=QRE&amp;VAR:INDEX=0"}</definedName>
    <definedName name="_5__FDSAUDITLINK__" localSheetId="3" hidden="1">{"fdsup://directions/FAT Viewer?action=UPDATE&amp;creator=factset&amp;DYN_ARGS=TRUE&amp;DOC_NAME=FAT:FQL_AUDITING_CLIENT_TEMPLATE.FAT&amp;display_string=Audit&amp;VAR:KEY=QJEFSLIVYR&amp;VAR:QUERY=RkZfQ0FQRVgoUVRSLDBRKQ==&amp;WINDOW=FIRST_POPUP&amp;HEIGHT=450&amp;WIDTH=450&amp;START_MAXIMIZED=FALS","E&amp;VAR:CALENDAR=US&amp;VAR:SYMBOL=QRE&amp;VAR:INDEX=0"}</definedName>
    <definedName name="_5__FDSAUDITLINK__" hidden="1">{"fdsup://directions/FAT Viewer?action=UPDATE&amp;creator=factset&amp;DYN_ARGS=TRUE&amp;DOC_NAME=FAT:FQL_AUDITING_CLIENT_TEMPLATE.FAT&amp;display_string=Audit&amp;VAR:KEY=QJEFSLIVYR&amp;VAR:QUERY=RkZfQ0FQRVgoUVRSLDBRKQ==&amp;WINDOW=FIRST_POPUP&amp;HEIGHT=450&amp;WIDTH=450&amp;START_MAXIMIZED=FALS","E&amp;VAR:CALENDAR=US&amp;VAR:SYMBOL=QRE&amp;VAR:INDEX=0"}</definedName>
    <definedName name="_5_0_0Cwvu.GREY_A" hidden="1">#REF!</definedName>
    <definedName name="_50__FDSAUDITLINK__" localSheetId="1" hidden="1">{"fdsup://directions/FAT Viewer?action=UPDATE&amp;creator=factset&amp;DYN_ARGS=TRUE&amp;DOC_NAME=FAT:FQL_AUDITING_CLIENT_TEMPLATE.FAT&amp;display_string=Audit&amp;VAR:KEY=IFEJUTUPOH&amp;VAR:QUERY=RkZfQ0FQRVgoUVRSLC0xUSk=&amp;WINDOW=FIRST_POPUP&amp;HEIGHT=450&amp;WIDTH=450&amp;START_MAXIMIZED=FALS","E&amp;VAR:CALENDAR=US&amp;VAR:SYMBOL=TLP&amp;VAR:INDEX=0"}</definedName>
    <definedName name="_50__FDSAUDITLINK__" localSheetId="3" hidden="1">{"fdsup://directions/FAT Viewer?action=UPDATE&amp;creator=factset&amp;DYN_ARGS=TRUE&amp;DOC_NAME=FAT:FQL_AUDITING_CLIENT_TEMPLATE.FAT&amp;display_string=Audit&amp;VAR:KEY=IFEJUTUPOH&amp;VAR:QUERY=RkZfQ0FQRVgoUVRSLC0xUSk=&amp;WINDOW=FIRST_POPUP&amp;HEIGHT=450&amp;WIDTH=450&amp;START_MAXIMIZED=FALS","E&amp;VAR:CALENDAR=US&amp;VAR:SYMBOL=TLP&amp;VAR:INDEX=0"}</definedName>
    <definedName name="_50__FDSAUDITLINK__" hidden="1">{"fdsup://directions/FAT Viewer?action=UPDATE&amp;creator=factset&amp;DYN_ARGS=TRUE&amp;DOC_NAME=FAT:FQL_AUDITING_CLIENT_TEMPLATE.FAT&amp;display_string=Audit&amp;VAR:KEY=IFEJUTUPOH&amp;VAR:QUERY=RkZfQ0FQRVgoUVRSLC0xUSk=&amp;WINDOW=FIRST_POPUP&amp;HEIGHT=450&amp;WIDTH=450&amp;START_MAXIMIZED=FALS","E&amp;VAR:CALENDAR=US&amp;VAR:SYMBOL=TLP&amp;VAR:INDEX=0"}</definedName>
    <definedName name="_51__FDSAUDITLINK__" localSheetId="1" hidden="1">{"fdsup://directions/FAT Viewer?action=UPDATE&amp;creator=factset&amp;DYN_ARGS=TRUE&amp;DOC_NAME=FAT:FQL_AUDITING_CLIENT_TEMPLATE.FAT&amp;display_string=Audit&amp;VAR:KEY=SLSPOJUTYT&amp;VAR:QUERY=RkZfQ0FQRVgoUVRSLC0yUSk=&amp;WINDOW=FIRST_POPUP&amp;HEIGHT=450&amp;WIDTH=450&amp;START_MAXIMIZED=FALS","E&amp;VAR:CALENDAR=US&amp;VAR:SYMBOL=TLP&amp;VAR:INDEX=0"}</definedName>
    <definedName name="_51__FDSAUDITLINK__" localSheetId="3" hidden="1">{"fdsup://directions/FAT Viewer?action=UPDATE&amp;creator=factset&amp;DYN_ARGS=TRUE&amp;DOC_NAME=FAT:FQL_AUDITING_CLIENT_TEMPLATE.FAT&amp;display_string=Audit&amp;VAR:KEY=SLSPOJUTYT&amp;VAR:QUERY=RkZfQ0FQRVgoUVRSLC0yUSk=&amp;WINDOW=FIRST_POPUP&amp;HEIGHT=450&amp;WIDTH=450&amp;START_MAXIMIZED=FALS","E&amp;VAR:CALENDAR=US&amp;VAR:SYMBOL=TLP&amp;VAR:INDEX=0"}</definedName>
    <definedName name="_51__FDSAUDITLINK__" hidden="1">{"fdsup://directions/FAT Viewer?action=UPDATE&amp;creator=factset&amp;DYN_ARGS=TRUE&amp;DOC_NAME=FAT:FQL_AUDITING_CLIENT_TEMPLATE.FAT&amp;display_string=Audit&amp;VAR:KEY=SLSPOJUTYT&amp;VAR:QUERY=RkZfQ0FQRVgoUVRSLC0yUSk=&amp;WINDOW=FIRST_POPUP&amp;HEIGHT=450&amp;WIDTH=450&amp;START_MAXIMIZED=FALS","E&amp;VAR:CALENDAR=US&amp;VAR:SYMBOL=TLP&amp;VAR:INDEX=0"}</definedName>
    <definedName name="_52__FDSAUDITLINK__" localSheetId="1" hidden="1">{"fdsup://directions/FAT Viewer?action=UPDATE&amp;creator=factset&amp;DYN_ARGS=TRUE&amp;DOC_NAME=FAT:FQL_AUDITING_CLIENT_TEMPLATE.FAT&amp;display_string=Audit&amp;VAR:KEY=EVIPIVWNMP&amp;VAR:QUERY=RkZfQ0FQRVgoUVRSLC0zUSk=&amp;WINDOW=FIRST_POPUP&amp;HEIGHT=450&amp;WIDTH=450&amp;START_MAXIMIZED=FALS","E&amp;VAR:CALENDAR=US&amp;VAR:SYMBOL=TLP&amp;VAR:INDEX=0"}</definedName>
    <definedName name="_52__FDSAUDITLINK__" localSheetId="3" hidden="1">{"fdsup://directions/FAT Viewer?action=UPDATE&amp;creator=factset&amp;DYN_ARGS=TRUE&amp;DOC_NAME=FAT:FQL_AUDITING_CLIENT_TEMPLATE.FAT&amp;display_string=Audit&amp;VAR:KEY=EVIPIVWNMP&amp;VAR:QUERY=RkZfQ0FQRVgoUVRSLC0zUSk=&amp;WINDOW=FIRST_POPUP&amp;HEIGHT=450&amp;WIDTH=450&amp;START_MAXIMIZED=FALS","E&amp;VAR:CALENDAR=US&amp;VAR:SYMBOL=TLP&amp;VAR:INDEX=0"}</definedName>
    <definedName name="_52__FDSAUDITLINK__" hidden="1">{"fdsup://directions/FAT Viewer?action=UPDATE&amp;creator=factset&amp;DYN_ARGS=TRUE&amp;DOC_NAME=FAT:FQL_AUDITING_CLIENT_TEMPLATE.FAT&amp;display_string=Audit&amp;VAR:KEY=EVIPIVWNMP&amp;VAR:QUERY=RkZfQ0FQRVgoUVRSLC0zUSk=&amp;WINDOW=FIRST_POPUP&amp;HEIGHT=450&amp;WIDTH=450&amp;START_MAXIMIZED=FALS","E&amp;VAR:CALENDAR=US&amp;VAR:SYMBOL=TLP&amp;VAR:INDEX=0"}</definedName>
    <definedName name="_53__FDSAUDITLINK__" localSheetId="1" hidden="1">{"fdsup://directions/FAT Viewer?action=UPDATE&amp;creator=factset&amp;DYN_ARGS=TRUE&amp;DOC_NAME=FAT:FQL_AUDITING_CLIENT_TEMPLATE.FAT&amp;display_string=Audit&amp;VAR:KEY=WPYRSPYXIF&amp;VAR:QUERY=RkZfQ0FQRVgoUVRSLDBRKQ==&amp;WINDOW=FIRST_POPUP&amp;HEIGHT=450&amp;WIDTH=450&amp;START_MAXIMIZED=FALS","E&amp;VAR:CALENDAR=US&amp;VAR:SYMBOL=TGP&amp;VAR:INDEX=0"}</definedName>
    <definedName name="_53__FDSAUDITLINK__" localSheetId="3" hidden="1">{"fdsup://directions/FAT Viewer?action=UPDATE&amp;creator=factset&amp;DYN_ARGS=TRUE&amp;DOC_NAME=FAT:FQL_AUDITING_CLIENT_TEMPLATE.FAT&amp;display_string=Audit&amp;VAR:KEY=WPYRSPYXIF&amp;VAR:QUERY=RkZfQ0FQRVgoUVRSLDBRKQ==&amp;WINDOW=FIRST_POPUP&amp;HEIGHT=450&amp;WIDTH=450&amp;START_MAXIMIZED=FALS","E&amp;VAR:CALENDAR=US&amp;VAR:SYMBOL=TGP&amp;VAR:INDEX=0"}</definedName>
    <definedName name="_53__FDSAUDITLINK__" hidden="1">{"fdsup://directions/FAT Viewer?action=UPDATE&amp;creator=factset&amp;DYN_ARGS=TRUE&amp;DOC_NAME=FAT:FQL_AUDITING_CLIENT_TEMPLATE.FAT&amp;display_string=Audit&amp;VAR:KEY=WPYRSPYXIF&amp;VAR:QUERY=RkZfQ0FQRVgoUVRSLDBRKQ==&amp;WINDOW=FIRST_POPUP&amp;HEIGHT=450&amp;WIDTH=450&amp;START_MAXIMIZED=FALS","E&amp;VAR:CALENDAR=US&amp;VAR:SYMBOL=TGP&amp;VAR:INDEX=0"}</definedName>
    <definedName name="_54__FDSAUDITLINK__" localSheetId="1" hidden="1">{"fdsup://directions/FAT Viewer?action=UPDATE&amp;creator=factset&amp;DYN_ARGS=TRUE&amp;DOC_NAME=FAT:FQL_AUDITING_CLIENT_TEMPLATE.FAT&amp;display_string=Audit&amp;VAR:KEY=YRQJSBSTEN&amp;VAR:QUERY=RkZfQ0FQRVgoUVRSLC0xUSk=&amp;WINDOW=FIRST_POPUP&amp;HEIGHT=450&amp;WIDTH=450&amp;START_MAXIMIZED=FALS","E&amp;VAR:CALENDAR=US&amp;VAR:SYMBOL=TGP&amp;VAR:INDEX=0"}</definedName>
    <definedName name="_54__FDSAUDITLINK__" localSheetId="3" hidden="1">{"fdsup://directions/FAT Viewer?action=UPDATE&amp;creator=factset&amp;DYN_ARGS=TRUE&amp;DOC_NAME=FAT:FQL_AUDITING_CLIENT_TEMPLATE.FAT&amp;display_string=Audit&amp;VAR:KEY=YRQJSBSTEN&amp;VAR:QUERY=RkZfQ0FQRVgoUVRSLC0xUSk=&amp;WINDOW=FIRST_POPUP&amp;HEIGHT=450&amp;WIDTH=450&amp;START_MAXIMIZED=FALS","E&amp;VAR:CALENDAR=US&amp;VAR:SYMBOL=TGP&amp;VAR:INDEX=0"}</definedName>
    <definedName name="_54__FDSAUDITLINK__" hidden="1">{"fdsup://directions/FAT Viewer?action=UPDATE&amp;creator=factset&amp;DYN_ARGS=TRUE&amp;DOC_NAME=FAT:FQL_AUDITING_CLIENT_TEMPLATE.FAT&amp;display_string=Audit&amp;VAR:KEY=YRQJSBSTEN&amp;VAR:QUERY=RkZfQ0FQRVgoUVRSLC0xUSk=&amp;WINDOW=FIRST_POPUP&amp;HEIGHT=450&amp;WIDTH=450&amp;START_MAXIMIZED=FALS","E&amp;VAR:CALENDAR=US&amp;VAR:SYMBOL=TGP&amp;VAR:INDEX=0"}</definedName>
    <definedName name="_55__FDSAUDITLINK__" localSheetId="1" hidden="1">{"fdsup://directions/FAT Viewer?action=UPDATE&amp;creator=factset&amp;DYN_ARGS=TRUE&amp;DOC_NAME=FAT:FQL_AUDITING_CLIENT_TEMPLATE.FAT&amp;display_string=Audit&amp;VAR:KEY=YZOLCXEXUF&amp;VAR:QUERY=RkZfQ0FQRVgoUVRSLC0yUSk=&amp;WINDOW=FIRST_POPUP&amp;HEIGHT=450&amp;WIDTH=450&amp;START_MAXIMIZED=FALS","E&amp;VAR:CALENDAR=US&amp;VAR:SYMBOL=TGP&amp;VAR:INDEX=0"}</definedName>
    <definedName name="_55__FDSAUDITLINK__" localSheetId="3" hidden="1">{"fdsup://directions/FAT Viewer?action=UPDATE&amp;creator=factset&amp;DYN_ARGS=TRUE&amp;DOC_NAME=FAT:FQL_AUDITING_CLIENT_TEMPLATE.FAT&amp;display_string=Audit&amp;VAR:KEY=YZOLCXEXUF&amp;VAR:QUERY=RkZfQ0FQRVgoUVRSLC0yUSk=&amp;WINDOW=FIRST_POPUP&amp;HEIGHT=450&amp;WIDTH=450&amp;START_MAXIMIZED=FALS","E&amp;VAR:CALENDAR=US&amp;VAR:SYMBOL=TGP&amp;VAR:INDEX=0"}</definedName>
    <definedName name="_55__FDSAUDITLINK__" hidden="1">{"fdsup://directions/FAT Viewer?action=UPDATE&amp;creator=factset&amp;DYN_ARGS=TRUE&amp;DOC_NAME=FAT:FQL_AUDITING_CLIENT_TEMPLATE.FAT&amp;display_string=Audit&amp;VAR:KEY=YZOLCXEXUF&amp;VAR:QUERY=RkZfQ0FQRVgoUVRSLC0yUSk=&amp;WINDOW=FIRST_POPUP&amp;HEIGHT=450&amp;WIDTH=450&amp;START_MAXIMIZED=FALS","E&amp;VAR:CALENDAR=US&amp;VAR:SYMBOL=TGP&amp;VAR:INDEX=0"}</definedName>
    <definedName name="_56__FDSAUDITLINK__" localSheetId="1" hidden="1">{"fdsup://directions/FAT Viewer?action=UPDATE&amp;creator=factset&amp;DYN_ARGS=TRUE&amp;DOC_NAME=FAT:FQL_AUDITING_CLIENT_TEMPLATE.FAT&amp;display_string=Audit&amp;VAR:KEY=CHQLGXCTOF&amp;VAR:QUERY=RkZfQ0FQRVgoUVRSLC0zUSk=&amp;WINDOW=FIRST_POPUP&amp;HEIGHT=450&amp;WIDTH=450&amp;START_MAXIMIZED=FALS","E&amp;VAR:CALENDAR=US&amp;VAR:SYMBOL=TGP&amp;VAR:INDEX=0"}</definedName>
    <definedName name="_56__FDSAUDITLINK__" localSheetId="3" hidden="1">{"fdsup://directions/FAT Viewer?action=UPDATE&amp;creator=factset&amp;DYN_ARGS=TRUE&amp;DOC_NAME=FAT:FQL_AUDITING_CLIENT_TEMPLATE.FAT&amp;display_string=Audit&amp;VAR:KEY=CHQLGXCTOF&amp;VAR:QUERY=RkZfQ0FQRVgoUVRSLC0zUSk=&amp;WINDOW=FIRST_POPUP&amp;HEIGHT=450&amp;WIDTH=450&amp;START_MAXIMIZED=FALS","E&amp;VAR:CALENDAR=US&amp;VAR:SYMBOL=TGP&amp;VAR:INDEX=0"}</definedName>
    <definedName name="_56__FDSAUDITLINK__" hidden="1">{"fdsup://directions/FAT Viewer?action=UPDATE&amp;creator=factset&amp;DYN_ARGS=TRUE&amp;DOC_NAME=FAT:FQL_AUDITING_CLIENT_TEMPLATE.FAT&amp;display_string=Audit&amp;VAR:KEY=CHQLGXCTOF&amp;VAR:QUERY=RkZfQ0FQRVgoUVRSLC0zUSk=&amp;WINDOW=FIRST_POPUP&amp;HEIGHT=450&amp;WIDTH=450&amp;START_MAXIMIZED=FALS","E&amp;VAR:CALENDAR=US&amp;VAR:SYMBOL=TGP&amp;VAR:INDEX=0"}</definedName>
    <definedName name="_57__FDSAUDITLINK__" localSheetId="1" hidden="1">{"fdsup://directions/FAT Viewer?action=UPDATE&amp;creator=factset&amp;DYN_ARGS=TRUE&amp;DOC_NAME=FAT:FQL_AUDITING_CLIENT_TEMPLATE.FAT&amp;display_string=Audit&amp;VAR:KEY=GHMLUFYXOP&amp;VAR:QUERY=RkZfQ0FQRVgoUVRSLDBRKQ==&amp;WINDOW=FIRST_POPUP&amp;HEIGHT=450&amp;WIDTH=450&amp;START_MAXIMIZED=FALS","E&amp;VAR:CALENDAR=US&amp;VAR:SYMBOL=TCLP&amp;VAR:INDEX=0"}</definedName>
    <definedName name="_57__FDSAUDITLINK__" localSheetId="3" hidden="1">{"fdsup://directions/FAT Viewer?action=UPDATE&amp;creator=factset&amp;DYN_ARGS=TRUE&amp;DOC_NAME=FAT:FQL_AUDITING_CLIENT_TEMPLATE.FAT&amp;display_string=Audit&amp;VAR:KEY=GHMLUFYXOP&amp;VAR:QUERY=RkZfQ0FQRVgoUVRSLDBRKQ==&amp;WINDOW=FIRST_POPUP&amp;HEIGHT=450&amp;WIDTH=450&amp;START_MAXIMIZED=FALS","E&amp;VAR:CALENDAR=US&amp;VAR:SYMBOL=TCLP&amp;VAR:INDEX=0"}</definedName>
    <definedName name="_57__FDSAUDITLINK__" hidden="1">{"fdsup://directions/FAT Viewer?action=UPDATE&amp;creator=factset&amp;DYN_ARGS=TRUE&amp;DOC_NAME=FAT:FQL_AUDITING_CLIENT_TEMPLATE.FAT&amp;display_string=Audit&amp;VAR:KEY=GHMLUFYXOP&amp;VAR:QUERY=RkZfQ0FQRVgoUVRSLDBRKQ==&amp;WINDOW=FIRST_POPUP&amp;HEIGHT=450&amp;WIDTH=450&amp;START_MAXIMIZED=FALS","E&amp;VAR:CALENDAR=US&amp;VAR:SYMBOL=TCLP&amp;VAR:INDEX=0"}</definedName>
    <definedName name="_58__FDSAUDITLINK__" localSheetId="1" hidden="1">{"fdsup://directions/FAT Viewer?action=UPDATE&amp;creator=factset&amp;DYN_ARGS=TRUE&amp;DOC_NAME=FAT:FQL_AUDITING_CLIENT_TEMPLATE.FAT&amp;display_string=Audit&amp;VAR:KEY=QPEHWNSLAR&amp;VAR:QUERY=RkZfQ0FQRVgoUVRSLC0xUSk=&amp;WINDOW=FIRST_POPUP&amp;HEIGHT=450&amp;WIDTH=450&amp;START_MAXIMIZED=FALS","E&amp;VAR:CALENDAR=US&amp;VAR:SYMBOL=TCLP&amp;VAR:INDEX=0"}</definedName>
    <definedName name="_58__FDSAUDITLINK__" localSheetId="3" hidden="1">{"fdsup://directions/FAT Viewer?action=UPDATE&amp;creator=factset&amp;DYN_ARGS=TRUE&amp;DOC_NAME=FAT:FQL_AUDITING_CLIENT_TEMPLATE.FAT&amp;display_string=Audit&amp;VAR:KEY=QPEHWNSLAR&amp;VAR:QUERY=RkZfQ0FQRVgoUVRSLC0xUSk=&amp;WINDOW=FIRST_POPUP&amp;HEIGHT=450&amp;WIDTH=450&amp;START_MAXIMIZED=FALS","E&amp;VAR:CALENDAR=US&amp;VAR:SYMBOL=TCLP&amp;VAR:INDEX=0"}</definedName>
    <definedName name="_58__FDSAUDITLINK__" hidden="1">{"fdsup://directions/FAT Viewer?action=UPDATE&amp;creator=factset&amp;DYN_ARGS=TRUE&amp;DOC_NAME=FAT:FQL_AUDITING_CLIENT_TEMPLATE.FAT&amp;display_string=Audit&amp;VAR:KEY=QPEHWNSLAR&amp;VAR:QUERY=RkZfQ0FQRVgoUVRSLC0xUSk=&amp;WINDOW=FIRST_POPUP&amp;HEIGHT=450&amp;WIDTH=450&amp;START_MAXIMIZED=FALS","E&amp;VAR:CALENDAR=US&amp;VAR:SYMBOL=TCLP&amp;VAR:INDEX=0"}</definedName>
    <definedName name="_59__FDSAUDITLINK__" localSheetId="1" hidden="1">{"fdsup://directions/FAT Viewer?action=UPDATE&amp;creator=factset&amp;DYN_ARGS=TRUE&amp;DOC_NAME=FAT:FQL_AUDITING_CLIENT_TEMPLATE.FAT&amp;display_string=Audit&amp;VAR:KEY=SNKTAXSVEJ&amp;VAR:QUERY=RkZfQ0FQRVgoUVRSLC0yUSk=&amp;WINDOW=FIRST_POPUP&amp;HEIGHT=450&amp;WIDTH=450&amp;START_MAXIMIZED=FALS","E&amp;VAR:CALENDAR=US&amp;VAR:SYMBOL=TCLP&amp;VAR:INDEX=0"}</definedName>
    <definedName name="_59__FDSAUDITLINK__" localSheetId="3" hidden="1">{"fdsup://directions/FAT Viewer?action=UPDATE&amp;creator=factset&amp;DYN_ARGS=TRUE&amp;DOC_NAME=FAT:FQL_AUDITING_CLIENT_TEMPLATE.FAT&amp;display_string=Audit&amp;VAR:KEY=SNKTAXSVEJ&amp;VAR:QUERY=RkZfQ0FQRVgoUVRSLC0yUSk=&amp;WINDOW=FIRST_POPUP&amp;HEIGHT=450&amp;WIDTH=450&amp;START_MAXIMIZED=FALS","E&amp;VAR:CALENDAR=US&amp;VAR:SYMBOL=TCLP&amp;VAR:INDEX=0"}</definedName>
    <definedName name="_59__FDSAUDITLINK__" hidden="1">{"fdsup://directions/FAT Viewer?action=UPDATE&amp;creator=factset&amp;DYN_ARGS=TRUE&amp;DOC_NAME=FAT:FQL_AUDITING_CLIENT_TEMPLATE.FAT&amp;display_string=Audit&amp;VAR:KEY=SNKTAXSVEJ&amp;VAR:QUERY=RkZfQ0FQRVgoUVRSLC0yUSk=&amp;WINDOW=FIRST_POPUP&amp;HEIGHT=450&amp;WIDTH=450&amp;START_MAXIMIZED=FALS","E&amp;VAR:CALENDAR=US&amp;VAR:SYMBOL=TCLP&amp;VAR:INDEX=0"}</definedName>
    <definedName name="_6__123Graph_ACHART_1" hidden="1">#REF!</definedName>
    <definedName name="_6__123Graph_ACONTRACT_BY_B_U" hidden="1">#REF!</definedName>
    <definedName name="_6__123Graph_AQRE_S_BY_TYPE" hidden="1">#REF!</definedName>
    <definedName name="_6__123Graph_ATAX_CREDIT" hidden="1">#REF!</definedName>
    <definedName name="_6__123Graph_BOP75_25RETURN" hidden="1">#REF!</definedName>
    <definedName name="_6__123Graph_DCHART_1" hidden="1">#REF!</definedName>
    <definedName name="_6__FDSAUDITLINK__" localSheetId="1" hidden="1">{"fdsup://directions/FAT Viewer?action=UPDATE&amp;creator=factset&amp;DYN_ARGS=TRUE&amp;DOC_NAME=FAT:FQL_AUDITING_CLIENT_TEMPLATE.FAT&amp;display_string=Audit&amp;VAR:KEY=QJSNCHQBQN&amp;VAR:QUERY=RkZfQ0FQRVgoUVRSLC0xUSk=&amp;WINDOW=FIRST_POPUP&amp;HEIGHT=450&amp;WIDTH=450&amp;START_MAXIMIZED=FALS","E&amp;VAR:CALENDAR=US&amp;VAR:SYMBOL=QRE&amp;VAR:INDEX=0"}</definedName>
    <definedName name="_6__FDSAUDITLINK__" localSheetId="3" hidden="1">{"fdsup://directions/FAT Viewer?action=UPDATE&amp;creator=factset&amp;DYN_ARGS=TRUE&amp;DOC_NAME=FAT:FQL_AUDITING_CLIENT_TEMPLATE.FAT&amp;display_string=Audit&amp;VAR:KEY=QJSNCHQBQN&amp;VAR:QUERY=RkZfQ0FQRVgoUVRSLC0xUSk=&amp;WINDOW=FIRST_POPUP&amp;HEIGHT=450&amp;WIDTH=450&amp;START_MAXIMIZED=FALS","E&amp;VAR:CALENDAR=US&amp;VAR:SYMBOL=QRE&amp;VAR:INDEX=0"}</definedName>
    <definedName name="_6__FDSAUDITLINK__" hidden="1">{"fdsup://directions/FAT Viewer?action=UPDATE&amp;creator=factset&amp;DYN_ARGS=TRUE&amp;DOC_NAME=FAT:FQL_AUDITING_CLIENT_TEMPLATE.FAT&amp;display_string=Audit&amp;VAR:KEY=QJSNCHQBQN&amp;VAR:QUERY=RkZfQ0FQRVgoUVRSLC0xUSk=&amp;WINDOW=FIRST_POPUP&amp;HEIGHT=450&amp;WIDTH=450&amp;START_MAXIMIZED=FALS","E&amp;VAR:CALENDAR=US&amp;VAR:SYMBOL=QRE&amp;VAR:INDEX=0"}</definedName>
    <definedName name="_60__FDSAUDITLINK__" localSheetId="1" hidden="1">{"fdsup://directions/FAT Viewer?action=UPDATE&amp;creator=factset&amp;DYN_ARGS=TRUE&amp;DOC_NAME=FAT:FQL_AUDITING_CLIENT_TEMPLATE.FAT&amp;display_string=Audit&amp;VAR:KEY=SDELUFCFMH&amp;VAR:QUERY=RkZfQ0FQRVgoUVRSLC0zUSk=&amp;WINDOW=FIRST_POPUP&amp;HEIGHT=450&amp;WIDTH=450&amp;START_MAXIMIZED=FALS","E&amp;VAR:CALENDAR=US&amp;VAR:SYMBOL=TCLP&amp;VAR:INDEX=0"}</definedName>
    <definedName name="_60__FDSAUDITLINK__" localSheetId="3" hidden="1">{"fdsup://directions/FAT Viewer?action=UPDATE&amp;creator=factset&amp;DYN_ARGS=TRUE&amp;DOC_NAME=FAT:FQL_AUDITING_CLIENT_TEMPLATE.FAT&amp;display_string=Audit&amp;VAR:KEY=SDELUFCFMH&amp;VAR:QUERY=RkZfQ0FQRVgoUVRSLC0zUSk=&amp;WINDOW=FIRST_POPUP&amp;HEIGHT=450&amp;WIDTH=450&amp;START_MAXIMIZED=FALS","E&amp;VAR:CALENDAR=US&amp;VAR:SYMBOL=TCLP&amp;VAR:INDEX=0"}</definedName>
    <definedName name="_60__FDSAUDITLINK__" hidden="1">{"fdsup://directions/FAT Viewer?action=UPDATE&amp;creator=factset&amp;DYN_ARGS=TRUE&amp;DOC_NAME=FAT:FQL_AUDITING_CLIENT_TEMPLATE.FAT&amp;display_string=Audit&amp;VAR:KEY=SDELUFCFMH&amp;VAR:QUERY=RkZfQ0FQRVgoUVRSLC0zUSk=&amp;WINDOW=FIRST_POPUP&amp;HEIGHT=450&amp;WIDTH=450&amp;START_MAXIMIZED=FALS","E&amp;VAR:CALENDAR=US&amp;VAR:SYMBOL=TCLP&amp;VAR:INDEX=0"}</definedName>
    <definedName name="_61__FDSAUDITLINK__" localSheetId="1" hidden="1">{"fdsup://directions/FAT Viewer?action=UPDATE&amp;creator=factset&amp;DYN_ARGS=TRUE&amp;DOC_NAME=FAT:FQL_AUDITING_CLIENT_TEMPLATE.FAT&amp;display_string=Audit&amp;VAR:KEY=GZYXSRSLAB&amp;VAR:QUERY=RkZfQ0FQRVgoUVRSLDBRKQ==&amp;WINDOW=FIRST_POPUP&amp;HEIGHT=450&amp;WIDTH=450&amp;START_MAXIMIZED=FALS","E&amp;VAR:CALENDAR=US&amp;VAR:SYMBOL=SXL&amp;VAR:INDEX=0"}</definedName>
    <definedName name="_61__FDSAUDITLINK__" localSheetId="3" hidden="1">{"fdsup://directions/FAT Viewer?action=UPDATE&amp;creator=factset&amp;DYN_ARGS=TRUE&amp;DOC_NAME=FAT:FQL_AUDITING_CLIENT_TEMPLATE.FAT&amp;display_string=Audit&amp;VAR:KEY=GZYXSRSLAB&amp;VAR:QUERY=RkZfQ0FQRVgoUVRSLDBRKQ==&amp;WINDOW=FIRST_POPUP&amp;HEIGHT=450&amp;WIDTH=450&amp;START_MAXIMIZED=FALS","E&amp;VAR:CALENDAR=US&amp;VAR:SYMBOL=SXL&amp;VAR:INDEX=0"}</definedName>
    <definedName name="_61__FDSAUDITLINK__" hidden="1">{"fdsup://directions/FAT Viewer?action=UPDATE&amp;creator=factset&amp;DYN_ARGS=TRUE&amp;DOC_NAME=FAT:FQL_AUDITING_CLIENT_TEMPLATE.FAT&amp;display_string=Audit&amp;VAR:KEY=GZYXSRSLAB&amp;VAR:QUERY=RkZfQ0FQRVgoUVRSLDBRKQ==&amp;WINDOW=FIRST_POPUP&amp;HEIGHT=450&amp;WIDTH=450&amp;START_MAXIMIZED=FALS","E&amp;VAR:CALENDAR=US&amp;VAR:SYMBOL=SXL&amp;VAR:INDEX=0"}</definedName>
    <definedName name="_62__FDSAUDITLINK__" localSheetId="1" hidden="1">{"fdsup://directions/FAT Viewer?action=UPDATE&amp;creator=factset&amp;DYN_ARGS=TRUE&amp;DOC_NAME=FAT:FQL_AUDITING_CLIENT_TEMPLATE.FAT&amp;display_string=Audit&amp;VAR:KEY=OTUZKHYDIH&amp;VAR:QUERY=RkZfQ0FQRVgoUVRSLC0xUSk=&amp;WINDOW=FIRST_POPUP&amp;HEIGHT=450&amp;WIDTH=450&amp;START_MAXIMIZED=FALS","E&amp;VAR:CALENDAR=US&amp;VAR:SYMBOL=SXL&amp;VAR:INDEX=0"}</definedName>
    <definedName name="_62__FDSAUDITLINK__" localSheetId="3" hidden="1">{"fdsup://directions/FAT Viewer?action=UPDATE&amp;creator=factset&amp;DYN_ARGS=TRUE&amp;DOC_NAME=FAT:FQL_AUDITING_CLIENT_TEMPLATE.FAT&amp;display_string=Audit&amp;VAR:KEY=OTUZKHYDIH&amp;VAR:QUERY=RkZfQ0FQRVgoUVRSLC0xUSk=&amp;WINDOW=FIRST_POPUP&amp;HEIGHT=450&amp;WIDTH=450&amp;START_MAXIMIZED=FALS","E&amp;VAR:CALENDAR=US&amp;VAR:SYMBOL=SXL&amp;VAR:INDEX=0"}</definedName>
    <definedName name="_62__FDSAUDITLINK__" hidden="1">{"fdsup://directions/FAT Viewer?action=UPDATE&amp;creator=factset&amp;DYN_ARGS=TRUE&amp;DOC_NAME=FAT:FQL_AUDITING_CLIENT_TEMPLATE.FAT&amp;display_string=Audit&amp;VAR:KEY=OTUZKHYDIH&amp;VAR:QUERY=RkZfQ0FQRVgoUVRSLC0xUSk=&amp;WINDOW=FIRST_POPUP&amp;HEIGHT=450&amp;WIDTH=450&amp;START_MAXIMIZED=FALS","E&amp;VAR:CALENDAR=US&amp;VAR:SYMBOL=SXL&amp;VAR:INDEX=0"}</definedName>
    <definedName name="_63__FDSAUDITLINK__" localSheetId="1" hidden="1">{"fdsup://directions/FAT Viewer?action=UPDATE&amp;creator=factset&amp;DYN_ARGS=TRUE&amp;DOC_NAME=FAT:FQL_AUDITING_CLIENT_TEMPLATE.FAT&amp;display_string=Audit&amp;VAR:KEY=EDQFKNCBST&amp;VAR:QUERY=RkZfQ0FQRVgoUVRSLC0yUSk=&amp;WINDOW=FIRST_POPUP&amp;HEIGHT=450&amp;WIDTH=450&amp;START_MAXIMIZED=FALS","E&amp;VAR:CALENDAR=US&amp;VAR:SYMBOL=SXL&amp;VAR:INDEX=0"}</definedName>
    <definedName name="_63__FDSAUDITLINK__" localSheetId="3" hidden="1">{"fdsup://directions/FAT Viewer?action=UPDATE&amp;creator=factset&amp;DYN_ARGS=TRUE&amp;DOC_NAME=FAT:FQL_AUDITING_CLIENT_TEMPLATE.FAT&amp;display_string=Audit&amp;VAR:KEY=EDQFKNCBST&amp;VAR:QUERY=RkZfQ0FQRVgoUVRSLC0yUSk=&amp;WINDOW=FIRST_POPUP&amp;HEIGHT=450&amp;WIDTH=450&amp;START_MAXIMIZED=FALS","E&amp;VAR:CALENDAR=US&amp;VAR:SYMBOL=SXL&amp;VAR:INDEX=0"}</definedName>
    <definedName name="_63__FDSAUDITLINK__" hidden="1">{"fdsup://directions/FAT Viewer?action=UPDATE&amp;creator=factset&amp;DYN_ARGS=TRUE&amp;DOC_NAME=FAT:FQL_AUDITING_CLIENT_TEMPLATE.FAT&amp;display_string=Audit&amp;VAR:KEY=EDQFKNCBST&amp;VAR:QUERY=RkZfQ0FQRVgoUVRSLC0yUSk=&amp;WINDOW=FIRST_POPUP&amp;HEIGHT=450&amp;WIDTH=450&amp;START_MAXIMIZED=FALS","E&amp;VAR:CALENDAR=US&amp;VAR:SYMBOL=SXL&amp;VAR:INDEX=0"}</definedName>
    <definedName name="_64__FDSAUDITLINK__" localSheetId="1" hidden="1">{"fdsup://directions/FAT Viewer?action=UPDATE&amp;creator=factset&amp;DYN_ARGS=TRUE&amp;DOC_NAME=FAT:FQL_AUDITING_CLIENT_TEMPLATE.FAT&amp;display_string=Audit&amp;VAR:KEY=GHOZODERIN&amp;VAR:QUERY=RkZfQ0FQRVgoUVRSLC0zUSk=&amp;WINDOW=FIRST_POPUP&amp;HEIGHT=450&amp;WIDTH=450&amp;START_MAXIMIZED=FALS","E&amp;VAR:CALENDAR=US&amp;VAR:SYMBOL=SXL&amp;VAR:INDEX=0"}</definedName>
    <definedName name="_64__FDSAUDITLINK__" localSheetId="3" hidden="1">{"fdsup://directions/FAT Viewer?action=UPDATE&amp;creator=factset&amp;DYN_ARGS=TRUE&amp;DOC_NAME=FAT:FQL_AUDITING_CLIENT_TEMPLATE.FAT&amp;display_string=Audit&amp;VAR:KEY=GHOZODERIN&amp;VAR:QUERY=RkZfQ0FQRVgoUVRSLC0zUSk=&amp;WINDOW=FIRST_POPUP&amp;HEIGHT=450&amp;WIDTH=450&amp;START_MAXIMIZED=FALS","E&amp;VAR:CALENDAR=US&amp;VAR:SYMBOL=SXL&amp;VAR:INDEX=0"}</definedName>
    <definedName name="_64__FDSAUDITLINK__" hidden="1">{"fdsup://directions/FAT Viewer?action=UPDATE&amp;creator=factset&amp;DYN_ARGS=TRUE&amp;DOC_NAME=FAT:FQL_AUDITING_CLIENT_TEMPLATE.FAT&amp;display_string=Audit&amp;VAR:KEY=GHOZODERIN&amp;VAR:QUERY=RkZfQ0FQRVgoUVRSLC0zUSk=&amp;WINDOW=FIRST_POPUP&amp;HEIGHT=450&amp;WIDTH=450&amp;START_MAXIMIZED=FALS","E&amp;VAR:CALENDAR=US&amp;VAR:SYMBOL=SXL&amp;VAR:INDEX=0"}</definedName>
    <definedName name="_65__FDSAUDITLINK__" localSheetId="1" hidden="1">{"fdsup://directions/FAT Viewer?action=UPDATE&amp;creator=factset&amp;DYN_ARGS=TRUE&amp;DOC_NAME=FAT:FQL_AUDITING_CLIENT_TEMPLATE.FAT&amp;display_string=Audit&amp;VAR:KEY=CNERIDSTYT&amp;VAR:QUERY=RkZfQ0FQRVgoUVRSLDBRKQ==&amp;WINDOW=FIRST_POPUP&amp;HEIGHT=450&amp;WIDTH=450&amp;START_MAXIMIZED=FALS","E&amp;VAR:CALENDAR=US&amp;VAR:SYMBOL=SPH&amp;VAR:INDEX=0"}</definedName>
    <definedName name="_65__FDSAUDITLINK__" localSheetId="3" hidden="1">{"fdsup://directions/FAT Viewer?action=UPDATE&amp;creator=factset&amp;DYN_ARGS=TRUE&amp;DOC_NAME=FAT:FQL_AUDITING_CLIENT_TEMPLATE.FAT&amp;display_string=Audit&amp;VAR:KEY=CNERIDSTYT&amp;VAR:QUERY=RkZfQ0FQRVgoUVRSLDBRKQ==&amp;WINDOW=FIRST_POPUP&amp;HEIGHT=450&amp;WIDTH=450&amp;START_MAXIMIZED=FALS","E&amp;VAR:CALENDAR=US&amp;VAR:SYMBOL=SPH&amp;VAR:INDEX=0"}</definedName>
    <definedName name="_65__FDSAUDITLINK__" hidden="1">{"fdsup://directions/FAT Viewer?action=UPDATE&amp;creator=factset&amp;DYN_ARGS=TRUE&amp;DOC_NAME=FAT:FQL_AUDITING_CLIENT_TEMPLATE.FAT&amp;display_string=Audit&amp;VAR:KEY=CNERIDSTYT&amp;VAR:QUERY=RkZfQ0FQRVgoUVRSLDBRKQ==&amp;WINDOW=FIRST_POPUP&amp;HEIGHT=450&amp;WIDTH=450&amp;START_MAXIMIZED=FALS","E&amp;VAR:CALENDAR=US&amp;VAR:SYMBOL=SPH&amp;VAR:INDEX=0"}</definedName>
    <definedName name="_66__FDSAUDITLINK__" localSheetId="1" hidden="1">{"fdsup://directions/FAT Viewer?action=UPDATE&amp;creator=factset&amp;DYN_ARGS=TRUE&amp;DOC_NAME=FAT:FQL_AUDITING_CLIENT_TEMPLATE.FAT&amp;display_string=Audit&amp;VAR:KEY=IDSDCXKBEH&amp;VAR:QUERY=RkZfQ0FQRVgoUVRSLC0xUSk=&amp;WINDOW=FIRST_POPUP&amp;HEIGHT=450&amp;WIDTH=450&amp;START_MAXIMIZED=FALS","E&amp;VAR:CALENDAR=US&amp;VAR:SYMBOL=SPH&amp;VAR:INDEX=0"}</definedName>
    <definedName name="_66__FDSAUDITLINK__" localSheetId="3" hidden="1">{"fdsup://directions/FAT Viewer?action=UPDATE&amp;creator=factset&amp;DYN_ARGS=TRUE&amp;DOC_NAME=FAT:FQL_AUDITING_CLIENT_TEMPLATE.FAT&amp;display_string=Audit&amp;VAR:KEY=IDSDCXKBEH&amp;VAR:QUERY=RkZfQ0FQRVgoUVRSLC0xUSk=&amp;WINDOW=FIRST_POPUP&amp;HEIGHT=450&amp;WIDTH=450&amp;START_MAXIMIZED=FALS","E&amp;VAR:CALENDAR=US&amp;VAR:SYMBOL=SPH&amp;VAR:INDEX=0"}</definedName>
    <definedName name="_66__FDSAUDITLINK__" hidden="1">{"fdsup://directions/FAT Viewer?action=UPDATE&amp;creator=factset&amp;DYN_ARGS=TRUE&amp;DOC_NAME=FAT:FQL_AUDITING_CLIENT_TEMPLATE.FAT&amp;display_string=Audit&amp;VAR:KEY=IDSDCXKBEH&amp;VAR:QUERY=RkZfQ0FQRVgoUVRSLC0xUSk=&amp;WINDOW=FIRST_POPUP&amp;HEIGHT=450&amp;WIDTH=450&amp;START_MAXIMIZED=FALS","E&amp;VAR:CALENDAR=US&amp;VAR:SYMBOL=SPH&amp;VAR:INDEX=0"}</definedName>
    <definedName name="_67__FDSAUDITLINK__" localSheetId="1" hidden="1">{"fdsup://directions/FAT Viewer?action=UPDATE&amp;creator=factset&amp;DYN_ARGS=TRUE&amp;DOC_NAME=FAT:FQL_AUDITING_CLIENT_TEMPLATE.FAT&amp;display_string=Audit&amp;VAR:KEY=WLOFSPIDKT&amp;VAR:QUERY=RkZfQ0FQRVgoUVRSLC0yUSk=&amp;WINDOW=FIRST_POPUP&amp;HEIGHT=450&amp;WIDTH=450&amp;START_MAXIMIZED=FALS","E&amp;VAR:CALENDAR=US&amp;VAR:SYMBOL=SPH&amp;VAR:INDEX=0"}</definedName>
    <definedName name="_67__FDSAUDITLINK__" localSheetId="3" hidden="1">{"fdsup://directions/FAT Viewer?action=UPDATE&amp;creator=factset&amp;DYN_ARGS=TRUE&amp;DOC_NAME=FAT:FQL_AUDITING_CLIENT_TEMPLATE.FAT&amp;display_string=Audit&amp;VAR:KEY=WLOFSPIDKT&amp;VAR:QUERY=RkZfQ0FQRVgoUVRSLC0yUSk=&amp;WINDOW=FIRST_POPUP&amp;HEIGHT=450&amp;WIDTH=450&amp;START_MAXIMIZED=FALS","E&amp;VAR:CALENDAR=US&amp;VAR:SYMBOL=SPH&amp;VAR:INDEX=0"}</definedName>
    <definedName name="_67__FDSAUDITLINK__" hidden="1">{"fdsup://directions/FAT Viewer?action=UPDATE&amp;creator=factset&amp;DYN_ARGS=TRUE&amp;DOC_NAME=FAT:FQL_AUDITING_CLIENT_TEMPLATE.FAT&amp;display_string=Audit&amp;VAR:KEY=WLOFSPIDKT&amp;VAR:QUERY=RkZfQ0FQRVgoUVRSLC0yUSk=&amp;WINDOW=FIRST_POPUP&amp;HEIGHT=450&amp;WIDTH=450&amp;START_MAXIMIZED=FALS","E&amp;VAR:CALENDAR=US&amp;VAR:SYMBOL=SPH&amp;VAR:INDEX=0"}</definedName>
    <definedName name="_68__FDSAUDITLINK__" localSheetId="1" hidden="1">{"fdsup://directions/FAT Viewer?action=UPDATE&amp;creator=factset&amp;DYN_ARGS=TRUE&amp;DOC_NAME=FAT:FQL_AUDITING_CLIENT_TEMPLATE.FAT&amp;display_string=Audit&amp;VAR:KEY=YRULSLWLSP&amp;VAR:QUERY=RkZfQ0FQRVgoUVRSLC0zUSk=&amp;WINDOW=FIRST_POPUP&amp;HEIGHT=450&amp;WIDTH=450&amp;START_MAXIMIZED=FALS","E&amp;VAR:CALENDAR=US&amp;VAR:SYMBOL=SPH&amp;VAR:INDEX=0"}</definedName>
    <definedName name="_68__FDSAUDITLINK__" localSheetId="3" hidden="1">{"fdsup://directions/FAT Viewer?action=UPDATE&amp;creator=factset&amp;DYN_ARGS=TRUE&amp;DOC_NAME=FAT:FQL_AUDITING_CLIENT_TEMPLATE.FAT&amp;display_string=Audit&amp;VAR:KEY=YRULSLWLSP&amp;VAR:QUERY=RkZfQ0FQRVgoUVRSLC0zUSk=&amp;WINDOW=FIRST_POPUP&amp;HEIGHT=450&amp;WIDTH=450&amp;START_MAXIMIZED=FALS","E&amp;VAR:CALENDAR=US&amp;VAR:SYMBOL=SPH&amp;VAR:INDEX=0"}</definedName>
    <definedName name="_68__FDSAUDITLINK__" hidden="1">{"fdsup://directions/FAT Viewer?action=UPDATE&amp;creator=factset&amp;DYN_ARGS=TRUE&amp;DOC_NAME=FAT:FQL_AUDITING_CLIENT_TEMPLATE.FAT&amp;display_string=Audit&amp;VAR:KEY=YRULSLWLSP&amp;VAR:QUERY=RkZfQ0FQRVgoUVRSLC0zUSk=&amp;WINDOW=FIRST_POPUP&amp;HEIGHT=450&amp;WIDTH=450&amp;START_MAXIMIZED=FALS","E&amp;VAR:CALENDAR=US&amp;VAR:SYMBOL=SPH&amp;VAR:INDEX=0"}</definedName>
    <definedName name="_69__FDSAUDITLINK__" localSheetId="1" hidden="1">{"fdsup://directions/FAT Viewer?action=UPDATE&amp;creator=factset&amp;DYN_ARGS=TRUE&amp;DOC_NAME=FAT:FQL_AUDITING_CLIENT_TEMPLATE.FAT&amp;display_string=Audit&amp;VAR:KEY=EBEVWZUTSV&amp;VAR:QUERY=RkZfQ0FQRVgoUVRSLDBRKQ==&amp;WINDOW=FIRST_POPUP&amp;HEIGHT=450&amp;WIDTH=450&amp;START_MAXIMIZED=FALS","E&amp;VAR:CALENDAR=US&amp;VAR:SYMBOL=SEP&amp;VAR:INDEX=0"}</definedName>
    <definedName name="_69__FDSAUDITLINK__" localSheetId="3" hidden="1">{"fdsup://directions/FAT Viewer?action=UPDATE&amp;creator=factset&amp;DYN_ARGS=TRUE&amp;DOC_NAME=FAT:FQL_AUDITING_CLIENT_TEMPLATE.FAT&amp;display_string=Audit&amp;VAR:KEY=EBEVWZUTSV&amp;VAR:QUERY=RkZfQ0FQRVgoUVRSLDBRKQ==&amp;WINDOW=FIRST_POPUP&amp;HEIGHT=450&amp;WIDTH=450&amp;START_MAXIMIZED=FALS","E&amp;VAR:CALENDAR=US&amp;VAR:SYMBOL=SEP&amp;VAR:INDEX=0"}</definedName>
    <definedName name="_69__FDSAUDITLINK__" hidden="1">{"fdsup://directions/FAT Viewer?action=UPDATE&amp;creator=factset&amp;DYN_ARGS=TRUE&amp;DOC_NAME=FAT:FQL_AUDITING_CLIENT_TEMPLATE.FAT&amp;display_string=Audit&amp;VAR:KEY=EBEVWZUTSV&amp;VAR:QUERY=RkZfQ0FQRVgoUVRSLDBRKQ==&amp;WINDOW=FIRST_POPUP&amp;HEIGHT=450&amp;WIDTH=450&amp;START_MAXIMIZED=FALS","E&amp;VAR:CALENDAR=US&amp;VAR:SYMBOL=SEP&amp;VAR:INDEX=0"}</definedName>
    <definedName name="_7__123Graph_AQRE_S_BY_CO." hidden="1">#REF!</definedName>
    <definedName name="_7__123Graph_ASENS_COMPARISON" hidden="1">#REF!</definedName>
    <definedName name="_7__123Graph_AWAGES_BY_B_U" hidden="1">#REF!</definedName>
    <definedName name="_7__123Graph_CCHART_1" hidden="1">#REF!</definedName>
    <definedName name="_7__123Graph_LBL_ACHART_1" hidden="1">#REF!</definedName>
    <definedName name="_7__FDSAUDITLINK__" localSheetId="1" hidden="1">{"fdsup://directions/FAT Viewer?action=UPDATE&amp;creator=factset&amp;DYN_ARGS=TRUE&amp;DOC_NAME=FAT:FQL_AUDITING_CLIENT_TEMPLATE.FAT&amp;display_string=Audit&amp;VAR:KEY=AXUJOHQFYF&amp;VAR:QUERY=RkZfQ0FQRVgoUVRSLC0yUSk=&amp;WINDOW=FIRST_POPUP&amp;HEIGHT=450&amp;WIDTH=450&amp;START_MAXIMIZED=FALS","E&amp;VAR:CALENDAR=US&amp;VAR:SYMBOL=QRE&amp;VAR:INDEX=0"}</definedName>
    <definedName name="_7__FDSAUDITLINK__" localSheetId="3" hidden="1">{"fdsup://directions/FAT Viewer?action=UPDATE&amp;creator=factset&amp;DYN_ARGS=TRUE&amp;DOC_NAME=FAT:FQL_AUDITING_CLIENT_TEMPLATE.FAT&amp;display_string=Audit&amp;VAR:KEY=AXUJOHQFYF&amp;VAR:QUERY=RkZfQ0FQRVgoUVRSLC0yUSk=&amp;WINDOW=FIRST_POPUP&amp;HEIGHT=450&amp;WIDTH=450&amp;START_MAXIMIZED=FALS","E&amp;VAR:CALENDAR=US&amp;VAR:SYMBOL=QRE&amp;VAR:INDEX=0"}</definedName>
    <definedName name="_7__FDSAUDITLINK__" hidden="1">{"fdsup://directions/FAT Viewer?action=UPDATE&amp;creator=factset&amp;DYN_ARGS=TRUE&amp;DOC_NAME=FAT:FQL_AUDITING_CLIENT_TEMPLATE.FAT&amp;display_string=Audit&amp;VAR:KEY=AXUJOHQFYF&amp;VAR:QUERY=RkZfQ0FQRVgoUVRSLC0yUSk=&amp;WINDOW=FIRST_POPUP&amp;HEIGHT=450&amp;WIDTH=450&amp;START_MAXIMIZED=FALS","E&amp;VAR:CALENDAR=US&amp;VAR:SYMBOL=QRE&amp;VAR:INDEX=0"}</definedName>
    <definedName name="_70__FDSAUDITLINK__" localSheetId="1" hidden="1">{"fdsup://directions/FAT Viewer?action=UPDATE&amp;creator=factset&amp;DYN_ARGS=TRUE&amp;DOC_NAME=FAT:FQL_AUDITING_CLIENT_TEMPLATE.FAT&amp;display_string=Audit&amp;VAR:KEY=ADUJIFGTCH&amp;VAR:QUERY=RkZfQ0FQRVgoUVRSLC0xUSk=&amp;WINDOW=FIRST_POPUP&amp;HEIGHT=450&amp;WIDTH=450&amp;START_MAXIMIZED=FALS","E&amp;VAR:CALENDAR=US&amp;VAR:SYMBOL=SEP&amp;VAR:INDEX=0"}</definedName>
    <definedName name="_70__FDSAUDITLINK__" localSheetId="3" hidden="1">{"fdsup://directions/FAT Viewer?action=UPDATE&amp;creator=factset&amp;DYN_ARGS=TRUE&amp;DOC_NAME=FAT:FQL_AUDITING_CLIENT_TEMPLATE.FAT&amp;display_string=Audit&amp;VAR:KEY=ADUJIFGTCH&amp;VAR:QUERY=RkZfQ0FQRVgoUVRSLC0xUSk=&amp;WINDOW=FIRST_POPUP&amp;HEIGHT=450&amp;WIDTH=450&amp;START_MAXIMIZED=FALS","E&amp;VAR:CALENDAR=US&amp;VAR:SYMBOL=SEP&amp;VAR:INDEX=0"}</definedName>
    <definedName name="_70__FDSAUDITLINK__" hidden="1">{"fdsup://directions/FAT Viewer?action=UPDATE&amp;creator=factset&amp;DYN_ARGS=TRUE&amp;DOC_NAME=FAT:FQL_AUDITING_CLIENT_TEMPLATE.FAT&amp;display_string=Audit&amp;VAR:KEY=ADUJIFGTCH&amp;VAR:QUERY=RkZfQ0FQRVgoUVRSLC0xUSk=&amp;WINDOW=FIRST_POPUP&amp;HEIGHT=450&amp;WIDTH=450&amp;START_MAXIMIZED=FALS","E&amp;VAR:CALENDAR=US&amp;VAR:SYMBOL=SEP&amp;VAR:INDEX=0"}</definedName>
    <definedName name="_71__FDSAUDITLINK__" localSheetId="1" hidden="1">{"fdsup://directions/FAT Viewer?action=UPDATE&amp;creator=factset&amp;DYN_ARGS=TRUE&amp;DOC_NAME=FAT:FQL_AUDITING_CLIENT_TEMPLATE.FAT&amp;display_string=Audit&amp;VAR:KEY=CPQLWXQJWZ&amp;VAR:QUERY=RkZfQ0FQRVgoUVRSLC0yUSk=&amp;WINDOW=FIRST_POPUP&amp;HEIGHT=450&amp;WIDTH=450&amp;START_MAXIMIZED=FALS","E&amp;VAR:CALENDAR=US&amp;VAR:SYMBOL=SEP&amp;VAR:INDEX=0"}</definedName>
    <definedName name="_71__FDSAUDITLINK__" localSheetId="3" hidden="1">{"fdsup://directions/FAT Viewer?action=UPDATE&amp;creator=factset&amp;DYN_ARGS=TRUE&amp;DOC_NAME=FAT:FQL_AUDITING_CLIENT_TEMPLATE.FAT&amp;display_string=Audit&amp;VAR:KEY=CPQLWXQJWZ&amp;VAR:QUERY=RkZfQ0FQRVgoUVRSLC0yUSk=&amp;WINDOW=FIRST_POPUP&amp;HEIGHT=450&amp;WIDTH=450&amp;START_MAXIMIZED=FALS","E&amp;VAR:CALENDAR=US&amp;VAR:SYMBOL=SEP&amp;VAR:INDEX=0"}</definedName>
    <definedName name="_71__FDSAUDITLINK__" hidden="1">{"fdsup://directions/FAT Viewer?action=UPDATE&amp;creator=factset&amp;DYN_ARGS=TRUE&amp;DOC_NAME=FAT:FQL_AUDITING_CLIENT_TEMPLATE.FAT&amp;display_string=Audit&amp;VAR:KEY=CPQLWXQJWZ&amp;VAR:QUERY=RkZfQ0FQRVgoUVRSLC0yUSk=&amp;WINDOW=FIRST_POPUP&amp;HEIGHT=450&amp;WIDTH=450&amp;START_MAXIMIZED=FALS","E&amp;VAR:CALENDAR=US&amp;VAR:SYMBOL=SEP&amp;VAR:INDEX=0"}</definedName>
    <definedName name="_72__FDSAUDITLINK__" localSheetId="1" hidden="1">{"fdsup://directions/FAT Viewer?action=UPDATE&amp;creator=factset&amp;DYN_ARGS=TRUE&amp;DOC_NAME=FAT:FQL_AUDITING_CLIENT_TEMPLATE.FAT&amp;display_string=Audit&amp;VAR:KEY=SJMFWTEDQT&amp;VAR:QUERY=RkZfQ0FQRVgoUVRSLC0zUSk=&amp;WINDOW=FIRST_POPUP&amp;HEIGHT=450&amp;WIDTH=450&amp;START_MAXIMIZED=FALS","E&amp;VAR:CALENDAR=US&amp;VAR:SYMBOL=SEP&amp;VAR:INDEX=0"}</definedName>
    <definedName name="_72__FDSAUDITLINK__" localSheetId="3" hidden="1">{"fdsup://directions/FAT Viewer?action=UPDATE&amp;creator=factset&amp;DYN_ARGS=TRUE&amp;DOC_NAME=FAT:FQL_AUDITING_CLIENT_TEMPLATE.FAT&amp;display_string=Audit&amp;VAR:KEY=SJMFWTEDQT&amp;VAR:QUERY=RkZfQ0FQRVgoUVRSLC0zUSk=&amp;WINDOW=FIRST_POPUP&amp;HEIGHT=450&amp;WIDTH=450&amp;START_MAXIMIZED=FALS","E&amp;VAR:CALENDAR=US&amp;VAR:SYMBOL=SEP&amp;VAR:INDEX=0"}</definedName>
    <definedName name="_72__FDSAUDITLINK__" hidden="1">{"fdsup://directions/FAT Viewer?action=UPDATE&amp;creator=factset&amp;DYN_ARGS=TRUE&amp;DOC_NAME=FAT:FQL_AUDITING_CLIENT_TEMPLATE.FAT&amp;display_string=Audit&amp;VAR:KEY=SJMFWTEDQT&amp;VAR:QUERY=RkZfQ0FQRVgoUVRSLC0zUSk=&amp;WINDOW=FIRST_POPUP&amp;HEIGHT=450&amp;WIDTH=450&amp;START_MAXIMIZED=FALS","E&amp;VAR:CALENDAR=US&amp;VAR:SYMBOL=SEP&amp;VAR:INDEX=0"}</definedName>
    <definedName name="_73__FDSAUDITLINK__" localSheetId="1" hidden="1">{"fdsup://directions/FAT Viewer?action=UPDATE&amp;creator=factset&amp;DYN_ARGS=TRUE&amp;DOC_NAME=FAT:FQL_AUDITING_CLIENT_TEMPLATE.FAT&amp;display_string=Audit&amp;VAR:KEY=UTCXKBMJSL&amp;VAR:QUERY=RkZfQ0FQRVgoUVRSLDBRKQ==&amp;WINDOW=FIRST_POPUP&amp;HEIGHT=450&amp;WIDTH=450&amp;START_MAXIMIZED=FALS","E&amp;VAR:CALENDAR=US&amp;VAR:SYMBOL=RGNC&amp;VAR:INDEX=0"}</definedName>
    <definedName name="_73__FDSAUDITLINK__" localSheetId="3" hidden="1">{"fdsup://directions/FAT Viewer?action=UPDATE&amp;creator=factset&amp;DYN_ARGS=TRUE&amp;DOC_NAME=FAT:FQL_AUDITING_CLIENT_TEMPLATE.FAT&amp;display_string=Audit&amp;VAR:KEY=UTCXKBMJSL&amp;VAR:QUERY=RkZfQ0FQRVgoUVRSLDBRKQ==&amp;WINDOW=FIRST_POPUP&amp;HEIGHT=450&amp;WIDTH=450&amp;START_MAXIMIZED=FALS","E&amp;VAR:CALENDAR=US&amp;VAR:SYMBOL=RGNC&amp;VAR:INDEX=0"}</definedName>
    <definedName name="_73__FDSAUDITLINK__" hidden="1">{"fdsup://directions/FAT Viewer?action=UPDATE&amp;creator=factset&amp;DYN_ARGS=TRUE&amp;DOC_NAME=FAT:FQL_AUDITING_CLIENT_TEMPLATE.FAT&amp;display_string=Audit&amp;VAR:KEY=UTCXKBMJSL&amp;VAR:QUERY=RkZfQ0FQRVgoUVRSLDBRKQ==&amp;WINDOW=FIRST_POPUP&amp;HEIGHT=450&amp;WIDTH=450&amp;START_MAXIMIZED=FALS","E&amp;VAR:CALENDAR=US&amp;VAR:SYMBOL=RGNC&amp;VAR:INDEX=0"}</definedName>
    <definedName name="_74__123Graph_BCHART_1" hidden="1">#REF!</definedName>
    <definedName name="_74__FDSAUDITLINK__" localSheetId="1" hidden="1">{"fdsup://directions/FAT Viewer?action=UPDATE&amp;creator=factset&amp;DYN_ARGS=TRUE&amp;DOC_NAME=FAT:FQL_AUDITING_CLIENT_TEMPLATE.FAT&amp;display_string=Audit&amp;VAR:KEY=YHAFMROTUR&amp;VAR:QUERY=RkZfQ0FQRVgoUVRSLC0xUSk=&amp;WINDOW=FIRST_POPUP&amp;HEIGHT=450&amp;WIDTH=450&amp;START_MAXIMIZED=FALS","E&amp;VAR:CALENDAR=US&amp;VAR:SYMBOL=RGNC&amp;VAR:INDEX=0"}</definedName>
    <definedName name="_74__FDSAUDITLINK__" localSheetId="3" hidden="1">{"fdsup://directions/FAT Viewer?action=UPDATE&amp;creator=factset&amp;DYN_ARGS=TRUE&amp;DOC_NAME=FAT:FQL_AUDITING_CLIENT_TEMPLATE.FAT&amp;display_string=Audit&amp;VAR:KEY=YHAFMROTUR&amp;VAR:QUERY=RkZfQ0FQRVgoUVRSLC0xUSk=&amp;WINDOW=FIRST_POPUP&amp;HEIGHT=450&amp;WIDTH=450&amp;START_MAXIMIZED=FALS","E&amp;VAR:CALENDAR=US&amp;VAR:SYMBOL=RGNC&amp;VAR:INDEX=0"}</definedName>
    <definedName name="_74__FDSAUDITLINK__" hidden="1">{"fdsup://directions/FAT Viewer?action=UPDATE&amp;creator=factset&amp;DYN_ARGS=TRUE&amp;DOC_NAME=FAT:FQL_AUDITING_CLIENT_TEMPLATE.FAT&amp;display_string=Audit&amp;VAR:KEY=YHAFMROTUR&amp;VAR:QUERY=RkZfQ0FQRVgoUVRSLC0xUSk=&amp;WINDOW=FIRST_POPUP&amp;HEIGHT=450&amp;WIDTH=450&amp;START_MAXIMIZED=FALS","E&amp;VAR:CALENDAR=US&amp;VAR:SYMBOL=RGNC&amp;VAR:INDEX=0"}</definedName>
    <definedName name="_75__FDSAUDITLINK__" localSheetId="1" hidden="1">{"fdsup://directions/FAT Viewer?action=UPDATE&amp;creator=factset&amp;DYN_ARGS=TRUE&amp;DOC_NAME=FAT:FQL_AUDITING_CLIENT_TEMPLATE.FAT&amp;display_string=Audit&amp;VAR:KEY=WRKHKBULMF&amp;VAR:QUERY=RkZfQ0FQRVgoUVRSLC0yUSk=&amp;WINDOW=FIRST_POPUP&amp;HEIGHT=450&amp;WIDTH=450&amp;START_MAXIMIZED=FALS","E&amp;VAR:CALENDAR=US&amp;VAR:SYMBOL=RGNC&amp;VAR:INDEX=0"}</definedName>
    <definedName name="_75__FDSAUDITLINK__" localSheetId="3" hidden="1">{"fdsup://directions/FAT Viewer?action=UPDATE&amp;creator=factset&amp;DYN_ARGS=TRUE&amp;DOC_NAME=FAT:FQL_AUDITING_CLIENT_TEMPLATE.FAT&amp;display_string=Audit&amp;VAR:KEY=WRKHKBULMF&amp;VAR:QUERY=RkZfQ0FQRVgoUVRSLC0yUSk=&amp;WINDOW=FIRST_POPUP&amp;HEIGHT=450&amp;WIDTH=450&amp;START_MAXIMIZED=FALS","E&amp;VAR:CALENDAR=US&amp;VAR:SYMBOL=RGNC&amp;VAR:INDEX=0"}</definedName>
    <definedName name="_75__FDSAUDITLINK__" hidden="1">{"fdsup://directions/FAT Viewer?action=UPDATE&amp;creator=factset&amp;DYN_ARGS=TRUE&amp;DOC_NAME=FAT:FQL_AUDITING_CLIENT_TEMPLATE.FAT&amp;display_string=Audit&amp;VAR:KEY=WRKHKBULMF&amp;VAR:QUERY=RkZfQ0FQRVgoUVRSLC0yUSk=&amp;WINDOW=FIRST_POPUP&amp;HEIGHT=450&amp;WIDTH=450&amp;START_MAXIMIZED=FALS","E&amp;VAR:CALENDAR=US&amp;VAR:SYMBOL=RGNC&amp;VAR:INDEX=0"}</definedName>
    <definedName name="_76__FDSAUDITLINK__" localSheetId="1" hidden="1">{"fdsup://directions/FAT Viewer?action=UPDATE&amp;creator=factset&amp;DYN_ARGS=TRUE&amp;DOC_NAME=FAT:FQL_AUDITING_CLIENT_TEMPLATE.FAT&amp;display_string=Audit&amp;VAR:KEY=YPSXIVMLQF&amp;VAR:QUERY=RkZfQ0FQRVgoUVRSLC0zUSk=&amp;WINDOW=FIRST_POPUP&amp;HEIGHT=450&amp;WIDTH=450&amp;START_MAXIMIZED=FALS","E&amp;VAR:CALENDAR=US&amp;VAR:SYMBOL=RGNC&amp;VAR:INDEX=0"}</definedName>
    <definedName name="_76__FDSAUDITLINK__" localSheetId="3" hidden="1">{"fdsup://directions/FAT Viewer?action=UPDATE&amp;creator=factset&amp;DYN_ARGS=TRUE&amp;DOC_NAME=FAT:FQL_AUDITING_CLIENT_TEMPLATE.FAT&amp;display_string=Audit&amp;VAR:KEY=YPSXIVMLQF&amp;VAR:QUERY=RkZfQ0FQRVgoUVRSLC0zUSk=&amp;WINDOW=FIRST_POPUP&amp;HEIGHT=450&amp;WIDTH=450&amp;START_MAXIMIZED=FALS","E&amp;VAR:CALENDAR=US&amp;VAR:SYMBOL=RGNC&amp;VAR:INDEX=0"}</definedName>
    <definedName name="_76__FDSAUDITLINK__" hidden="1">{"fdsup://directions/FAT Viewer?action=UPDATE&amp;creator=factset&amp;DYN_ARGS=TRUE&amp;DOC_NAME=FAT:FQL_AUDITING_CLIENT_TEMPLATE.FAT&amp;display_string=Audit&amp;VAR:KEY=YPSXIVMLQF&amp;VAR:QUERY=RkZfQ0FQRVgoUVRSLC0zUSk=&amp;WINDOW=FIRST_POPUP&amp;HEIGHT=450&amp;WIDTH=450&amp;START_MAXIMIZED=FALS","E&amp;VAR:CALENDAR=US&amp;VAR:SYMBOL=RGNC&amp;VAR:INDEX=0"}</definedName>
    <definedName name="_77__FDSAUDITLINK__" localSheetId="1" hidden="1">{"fdsup://directions/FAT Viewer?action=UPDATE&amp;creator=factset&amp;DYN_ARGS=TRUE&amp;DOC_NAME=FAT:FQL_AUDITING_CLIENT_TEMPLATE.FAT&amp;display_string=Audit&amp;VAR:KEY=IJGHIFGLAL&amp;VAR:QUERY=RkZfQ0FQRVgoUVRSLDBRKQ==&amp;WINDOW=FIRST_POPUP&amp;HEIGHT=450&amp;WIDTH=450&amp;START_MAXIMIZED=FALS","E&amp;VAR:CALENDAR=US&amp;VAR:SYMBOL=PVR&amp;VAR:INDEX=0"}</definedName>
    <definedName name="_77__FDSAUDITLINK__" localSheetId="3" hidden="1">{"fdsup://directions/FAT Viewer?action=UPDATE&amp;creator=factset&amp;DYN_ARGS=TRUE&amp;DOC_NAME=FAT:FQL_AUDITING_CLIENT_TEMPLATE.FAT&amp;display_string=Audit&amp;VAR:KEY=IJGHIFGLAL&amp;VAR:QUERY=RkZfQ0FQRVgoUVRSLDBRKQ==&amp;WINDOW=FIRST_POPUP&amp;HEIGHT=450&amp;WIDTH=450&amp;START_MAXIMIZED=FALS","E&amp;VAR:CALENDAR=US&amp;VAR:SYMBOL=PVR&amp;VAR:INDEX=0"}</definedName>
    <definedName name="_77__FDSAUDITLINK__" hidden="1">{"fdsup://directions/FAT Viewer?action=UPDATE&amp;creator=factset&amp;DYN_ARGS=TRUE&amp;DOC_NAME=FAT:FQL_AUDITING_CLIENT_TEMPLATE.FAT&amp;display_string=Audit&amp;VAR:KEY=IJGHIFGLAL&amp;VAR:QUERY=RkZfQ0FQRVgoUVRSLDBRKQ==&amp;WINDOW=FIRST_POPUP&amp;HEIGHT=450&amp;WIDTH=450&amp;START_MAXIMIZED=FALS","E&amp;VAR:CALENDAR=US&amp;VAR:SYMBOL=PVR&amp;VAR:INDEX=0"}</definedName>
    <definedName name="_78__FDSAUDITLINK__" localSheetId="1" hidden="1">{"fdsup://directions/FAT Viewer?action=UPDATE&amp;creator=factset&amp;DYN_ARGS=TRUE&amp;DOC_NAME=FAT:FQL_AUDITING_CLIENT_TEMPLATE.FAT&amp;display_string=Audit&amp;VAR:KEY=WJALMDCVGZ&amp;VAR:QUERY=RkZfQ0FQRVgoUVRSLC0xUSk=&amp;WINDOW=FIRST_POPUP&amp;HEIGHT=450&amp;WIDTH=450&amp;START_MAXIMIZED=FALS","E&amp;VAR:CALENDAR=US&amp;VAR:SYMBOL=PVR&amp;VAR:INDEX=0"}</definedName>
    <definedName name="_78__FDSAUDITLINK__" localSheetId="3" hidden="1">{"fdsup://directions/FAT Viewer?action=UPDATE&amp;creator=factset&amp;DYN_ARGS=TRUE&amp;DOC_NAME=FAT:FQL_AUDITING_CLIENT_TEMPLATE.FAT&amp;display_string=Audit&amp;VAR:KEY=WJALMDCVGZ&amp;VAR:QUERY=RkZfQ0FQRVgoUVRSLC0xUSk=&amp;WINDOW=FIRST_POPUP&amp;HEIGHT=450&amp;WIDTH=450&amp;START_MAXIMIZED=FALS","E&amp;VAR:CALENDAR=US&amp;VAR:SYMBOL=PVR&amp;VAR:INDEX=0"}</definedName>
    <definedName name="_78__FDSAUDITLINK__" hidden="1">{"fdsup://directions/FAT Viewer?action=UPDATE&amp;creator=factset&amp;DYN_ARGS=TRUE&amp;DOC_NAME=FAT:FQL_AUDITING_CLIENT_TEMPLATE.FAT&amp;display_string=Audit&amp;VAR:KEY=WJALMDCVGZ&amp;VAR:QUERY=RkZfQ0FQRVgoUVRSLC0xUSk=&amp;WINDOW=FIRST_POPUP&amp;HEIGHT=450&amp;WIDTH=450&amp;START_MAXIMIZED=FALS","E&amp;VAR:CALENDAR=US&amp;VAR:SYMBOL=PVR&amp;VAR:INDEX=0"}</definedName>
    <definedName name="_79__FDSAUDITLINK__" localSheetId="1" hidden="1">{"fdsup://directions/FAT Viewer?action=UPDATE&amp;creator=factset&amp;DYN_ARGS=TRUE&amp;DOC_NAME=FAT:FQL_AUDITING_CLIENT_TEMPLATE.FAT&amp;display_string=Audit&amp;VAR:KEY=UXWPCHWDOV&amp;VAR:QUERY=RkZfQ0FQRVgoUVRSLC0yUSk=&amp;WINDOW=FIRST_POPUP&amp;HEIGHT=450&amp;WIDTH=450&amp;START_MAXIMIZED=FALS","E&amp;VAR:CALENDAR=US&amp;VAR:SYMBOL=PVR&amp;VAR:INDEX=0"}</definedName>
    <definedName name="_79__FDSAUDITLINK__" localSheetId="3" hidden="1">{"fdsup://directions/FAT Viewer?action=UPDATE&amp;creator=factset&amp;DYN_ARGS=TRUE&amp;DOC_NAME=FAT:FQL_AUDITING_CLIENT_TEMPLATE.FAT&amp;display_string=Audit&amp;VAR:KEY=UXWPCHWDOV&amp;VAR:QUERY=RkZfQ0FQRVgoUVRSLC0yUSk=&amp;WINDOW=FIRST_POPUP&amp;HEIGHT=450&amp;WIDTH=450&amp;START_MAXIMIZED=FALS","E&amp;VAR:CALENDAR=US&amp;VAR:SYMBOL=PVR&amp;VAR:INDEX=0"}</definedName>
    <definedName name="_79__FDSAUDITLINK__" hidden="1">{"fdsup://directions/FAT Viewer?action=UPDATE&amp;creator=factset&amp;DYN_ARGS=TRUE&amp;DOC_NAME=FAT:FQL_AUDITING_CLIENT_TEMPLATE.FAT&amp;display_string=Audit&amp;VAR:KEY=UXWPCHWDOV&amp;VAR:QUERY=RkZfQ0FQRVgoUVRSLC0yUSk=&amp;WINDOW=FIRST_POPUP&amp;HEIGHT=450&amp;WIDTH=450&amp;START_MAXIMIZED=FALS","E&amp;VAR:CALENDAR=US&amp;VAR:SYMBOL=PVR&amp;VAR:INDEX=0"}</definedName>
    <definedName name="_8__123Graph_AQRE_S_BY_TYPE" hidden="1">#REF!</definedName>
    <definedName name="_8__123Graph_ASUPPLIES_BY_B_U" hidden="1">#REF!</definedName>
    <definedName name="_8__123Graph_BCONTRACT_BY_B_U" hidden="1">#REF!</definedName>
    <definedName name="_8__123Graph_CHO_MPRICE" hidden="1">#REF!</definedName>
    <definedName name="_8__123Graph_LBL_ACHART_3" hidden="1">#REF!</definedName>
    <definedName name="_8__FDSAUDITLINK__" localSheetId="1" hidden="1">{"fdsup://directions/FAT Viewer?action=UPDATE&amp;creator=factset&amp;DYN_ARGS=TRUE&amp;DOC_NAME=FAT:FQL_AUDITING_CLIENT_TEMPLATE.FAT&amp;display_string=Audit&amp;VAR:KEY=KJMNIRGJSF&amp;VAR:QUERY=RkZfQ0FQRVgoUVRSLC0zUSk=&amp;WINDOW=FIRST_POPUP&amp;HEIGHT=450&amp;WIDTH=450&amp;START_MAXIMIZED=FALS","E&amp;VAR:CALENDAR=US&amp;VAR:SYMBOL=QRE&amp;VAR:INDEX=0"}</definedName>
    <definedName name="_8__FDSAUDITLINK__" localSheetId="3" hidden="1">{"fdsup://directions/FAT Viewer?action=UPDATE&amp;creator=factset&amp;DYN_ARGS=TRUE&amp;DOC_NAME=FAT:FQL_AUDITING_CLIENT_TEMPLATE.FAT&amp;display_string=Audit&amp;VAR:KEY=KJMNIRGJSF&amp;VAR:QUERY=RkZfQ0FQRVgoUVRSLC0zUSk=&amp;WINDOW=FIRST_POPUP&amp;HEIGHT=450&amp;WIDTH=450&amp;START_MAXIMIZED=FALS","E&amp;VAR:CALENDAR=US&amp;VAR:SYMBOL=QRE&amp;VAR:INDEX=0"}</definedName>
    <definedName name="_8__FDSAUDITLINK__" hidden="1">{"fdsup://directions/FAT Viewer?action=UPDATE&amp;creator=factset&amp;DYN_ARGS=TRUE&amp;DOC_NAME=FAT:FQL_AUDITING_CLIENT_TEMPLATE.FAT&amp;display_string=Audit&amp;VAR:KEY=KJMNIRGJSF&amp;VAR:QUERY=RkZfQ0FQRVgoUVRSLC0zUSk=&amp;WINDOW=FIRST_POPUP&amp;HEIGHT=450&amp;WIDTH=450&amp;START_MAXIMIZED=FALS","E&amp;VAR:CALENDAR=US&amp;VAR:SYMBOL=QRE&amp;VAR:INDEX=0"}</definedName>
    <definedName name="_80__FDSAUDITLINK__" localSheetId="1" hidden="1">{"fdsup://directions/FAT Viewer?action=UPDATE&amp;creator=factset&amp;DYN_ARGS=TRUE&amp;DOC_NAME=FAT:FQL_AUDITING_CLIENT_TEMPLATE.FAT&amp;display_string=Audit&amp;VAR:KEY=UTYTONUTUT&amp;VAR:QUERY=RkZfQ0FQRVgoUVRSLC0zUSk=&amp;WINDOW=FIRST_POPUP&amp;HEIGHT=450&amp;WIDTH=450&amp;START_MAXIMIZED=FALS","E&amp;VAR:CALENDAR=US&amp;VAR:SYMBOL=PVR&amp;VAR:INDEX=0"}</definedName>
    <definedName name="_80__FDSAUDITLINK__" localSheetId="3" hidden="1">{"fdsup://directions/FAT Viewer?action=UPDATE&amp;creator=factset&amp;DYN_ARGS=TRUE&amp;DOC_NAME=FAT:FQL_AUDITING_CLIENT_TEMPLATE.FAT&amp;display_string=Audit&amp;VAR:KEY=UTYTONUTUT&amp;VAR:QUERY=RkZfQ0FQRVgoUVRSLC0zUSk=&amp;WINDOW=FIRST_POPUP&amp;HEIGHT=450&amp;WIDTH=450&amp;START_MAXIMIZED=FALS","E&amp;VAR:CALENDAR=US&amp;VAR:SYMBOL=PVR&amp;VAR:INDEX=0"}</definedName>
    <definedName name="_80__FDSAUDITLINK__" hidden="1">{"fdsup://directions/FAT Viewer?action=UPDATE&amp;creator=factset&amp;DYN_ARGS=TRUE&amp;DOC_NAME=FAT:FQL_AUDITING_CLIENT_TEMPLATE.FAT&amp;display_string=Audit&amp;VAR:KEY=UTYTONUTUT&amp;VAR:QUERY=RkZfQ0FQRVgoUVRSLC0zUSk=&amp;WINDOW=FIRST_POPUP&amp;HEIGHT=450&amp;WIDTH=450&amp;START_MAXIMIZED=FALS","E&amp;VAR:CALENDAR=US&amp;VAR:SYMBOL=PVR&amp;VAR:INDEX=0"}</definedName>
    <definedName name="_81__FDSAUDITLINK__" localSheetId="1" hidden="1">{"fdsup://directions/FAT Viewer?action=UPDATE&amp;creator=factset&amp;DYN_ARGS=TRUE&amp;DOC_NAME=FAT:FQL_AUDITING_CLIENT_TEMPLATE.FAT&amp;display_string=Audit&amp;VAR:KEY=ELAPKZILEN&amp;VAR:QUERY=RkZfQ0FQRVgoUVRSLDBRKQ==&amp;WINDOW=FIRST_POPUP&amp;HEIGHT=450&amp;WIDTH=450&amp;START_MAXIMIZED=FALS","E&amp;VAR:CALENDAR=US&amp;VAR:SYMBOL=PNG&amp;VAR:INDEX=0"}</definedName>
    <definedName name="_81__FDSAUDITLINK__" localSheetId="3" hidden="1">{"fdsup://directions/FAT Viewer?action=UPDATE&amp;creator=factset&amp;DYN_ARGS=TRUE&amp;DOC_NAME=FAT:FQL_AUDITING_CLIENT_TEMPLATE.FAT&amp;display_string=Audit&amp;VAR:KEY=ELAPKZILEN&amp;VAR:QUERY=RkZfQ0FQRVgoUVRSLDBRKQ==&amp;WINDOW=FIRST_POPUP&amp;HEIGHT=450&amp;WIDTH=450&amp;START_MAXIMIZED=FALS","E&amp;VAR:CALENDAR=US&amp;VAR:SYMBOL=PNG&amp;VAR:INDEX=0"}</definedName>
    <definedName name="_81__FDSAUDITLINK__" hidden="1">{"fdsup://directions/FAT Viewer?action=UPDATE&amp;creator=factset&amp;DYN_ARGS=TRUE&amp;DOC_NAME=FAT:FQL_AUDITING_CLIENT_TEMPLATE.FAT&amp;display_string=Audit&amp;VAR:KEY=ELAPKZILEN&amp;VAR:QUERY=RkZfQ0FQRVgoUVRSLDBRKQ==&amp;WINDOW=FIRST_POPUP&amp;HEIGHT=450&amp;WIDTH=450&amp;START_MAXIMIZED=FALS","E&amp;VAR:CALENDAR=US&amp;VAR:SYMBOL=PNG&amp;VAR:INDEX=0"}</definedName>
    <definedName name="_82__FDSAUDITLINK__" localSheetId="1" hidden="1">{"fdsup://directions/FAT Viewer?action=UPDATE&amp;creator=factset&amp;DYN_ARGS=TRUE&amp;DOC_NAME=FAT:FQL_AUDITING_CLIENT_TEMPLATE.FAT&amp;display_string=Audit&amp;VAR:KEY=MFCDCRELIN&amp;VAR:QUERY=RkZfQ0FQRVgoUVRSLC0xUSk=&amp;WINDOW=FIRST_POPUP&amp;HEIGHT=450&amp;WIDTH=450&amp;START_MAXIMIZED=FALS","E&amp;VAR:CALENDAR=US&amp;VAR:SYMBOL=PNG&amp;VAR:INDEX=0"}</definedName>
    <definedName name="_82__FDSAUDITLINK__" localSheetId="3" hidden="1">{"fdsup://directions/FAT Viewer?action=UPDATE&amp;creator=factset&amp;DYN_ARGS=TRUE&amp;DOC_NAME=FAT:FQL_AUDITING_CLIENT_TEMPLATE.FAT&amp;display_string=Audit&amp;VAR:KEY=MFCDCRELIN&amp;VAR:QUERY=RkZfQ0FQRVgoUVRSLC0xUSk=&amp;WINDOW=FIRST_POPUP&amp;HEIGHT=450&amp;WIDTH=450&amp;START_MAXIMIZED=FALS","E&amp;VAR:CALENDAR=US&amp;VAR:SYMBOL=PNG&amp;VAR:INDEX=0"}</definedName>
    <definedName name="_82__FDSAUDITLINK__" hidden="1">{"fdsup://directions/FAT Viewer?action=UPDATE&amp;creator=factset&amp;DYN_ARGS=TRUE&amp;DOC_NAME=FAT:FQL_AUDITING_CLIENT_TEMPLATE.FAT&amp;display_string=Audit&amp;VAR:KEY=MFCDCRELIN&amp;VAR:QUERY=RkZfQ0FQRVgoUVRSLC0xUSk=&amp;WINDOW=FIRST_POPUP&amp;HEIGHT=450&amp;WIDTH=450&amp;START_MAXIMIZED=FALS","E&amp;VAR:CALENDAR=US&amp;VAR:SYMBOL=PNG&amp;VAR:INDEX=0"}</definedName>
    <definedName name="_83__FDSAUDITLINK__" localSheetId="1" hidden="1">{"fdsup://directions/FAT Viewer?action=UPDATE&amp;creator=factset&amp;DYN_ARGS=TRUE&amp;DOC_NAME=FAT:FQL_AUDITING_CLIENT_TEMPLATE.FAT&amp;display_string=Audit&amp;VAR:KEY=UVQPSPEXKP&amp;VAR:QUERY=RkZfQ0FQRVgoUVRSLC0yUSk=&amp;WINDOW=FIRST_POPUP&amp;HEIGHT=450&amp;WIDTH=450&amp;START_MAXIMIZED=FALS","E&amp;VAR:CALENDAR=US&amp;VAR:SYMBOL=PNG&amp;VAR:INDEX=0"}</definedName>
    <definedName name="_83__FDSAUDITLINK__" localSheetId="3" hidden="1">{"fdsup://directions/FAT Viewer?action=UPDATE&amp;creator=factset&amp;DYN_ARGS=TRUE&amp;DOC_NAME=FAT:FQL_AUDITING_CLIENT_TEMPLATE.FAT&amp;display_string=Audit&amp;VAR:KEY=UVQPSPEXKP&amp;VAR:QUERY=RkZfQ0FQRVgoUVRSLC0yUSk=&amp;WINDOW=FIRST_POPUP&amp;HEIGHT=450&amp;WIDTH=450&amp;START_MAXIMIZED=FALS","E&amp;VAR:CALENDAR=US&amp;VAR:SYMBOL=PNG&amp;VAR:INDEX=0"}</definedName>
    <definedName name="_83__FDSAUDITLINK__" hidden="1">{"fdsup://directions/FAT Viewer?action=UPDATE&amp;creator=factset&amp;DYN_ARGS=TRUE&amp;DOC_NAME=FAT:FQL_AUDITING_CLIENT_TEMPLATE.FAT&amp;display_string=Audit&amp;VAR:KEY=UVQPSPEXKP&amp;VAR:QUERY=RkZfQ0FQRVgoUVRSLC0yUSk=&amp;WINDOW=FIRST_POPUP&amp;HEIGHT=450&amp;WIDTH=450&amp;START_MAXIMIZED=FALS","E&amp;VAR:CALENDAR=US&amp;VAR:SYMBOL=PNG&amp;VAR:INDEX=0"}</definedName>
    <definedName name="_84__FDSAUDITLINK__" localSheetId="1" hidden="1">{"fdsup://directions/FAT Viewer?action=UPDATE&amp;creator=factset&amp;DYN_ARGS=TRUE&amp;DOC_NAME=FAT:FQL_AUDITING_CLIENT_TEMPLATE.FAT&amp;display_string=Audit&amp;VAR:KEY=MZMFUVILAH&amp;VAR:QUERY=RkZfQ0FQRVgoUVRSLC0zUSk=&amp;WINDOW=FIRST_POPUP&amp;HEIGHT=450&amp;WIDTH=450&amp;START_MAXIMIZED=FALS","E&amp;VAR:CALENDAR=US&amp;VAR:SYMBOL=PNG&amp;VAR:INDEX=0"}</definedName>
    <definedName name="_84__FDSAUDITLINK__" localSheetId="3" hidden="1">{"fdsup://directions/FAT Viewer?action=UPDATE&amp;creator=factset&amp;DYN_ARGS=TRUE&amp;DOC_NAME=FAT:FQL_AUDITING_CLIENT_TEMPLATE.FAT&amp;display_string=Audit&amp;VAR:KEY=MZMFUVILAH&amp;VAR:QUERY=RkZfQ0FQRVgoUVRSLC0zUSk=&amp;WINDOW=FIRST_POPUP&amp;HEIGHT=450&amp;WIDTH=450&amp;START_MAXIMIZED=FALS","E&amp;VAR:CALENDAR=US&amp;VAR:SYMBOL=PNG&amp;VAR:INDEX=0"}</definedName>
    <definedName name="_84__FDSAUDITLINK__" hidden="1">{"fdsup://directions/FAT Viewer?action=UPDATE&amp;creator=factset&amp;DYN_ARGS=TRUE&amp;DOC_NAME=FAT:FQL_AUDITING_CLIENT_TEMPLATE.FAT&amp;display_string=Audit&amp;VAR:KEY=MZMFUVILAH&amp;VAR:QUERY=RkZfQ0FQRVgoUVRSLC0zUSk=&amp;WINDOW=FIRST_POPUP&amp;HEIGHT=450&amp;WIDTH=450&amp;START_MAXIMIZED=FALS","E&amp;VAR:CALENDAR=US&amp;VAR:SYMBOL=PNG&amp;VAR:INDEX=0"}</definedName>
    <definedName name="_85__FDSAUDITLINK__" localSheetId="1" hidden="1">{"fdsup://directions/FAT Viewer?action=UPDATE&amp;creator=factset&amp;DYN_ARGS=TRUE&amp;DOC_NAME=FAT:FQL_AUDITING_CLIENT_TEMPLATE.FAT&amp;display_string=Audit&amp;VAR:KEY=WXWFMPKBQH&amp;VAR:QUERY=RkZfQ0FQRVgoUVRSLDBRKQ==&amp;WINDOW=FIRST_POPUP&amp;HEIGHT=450&amp;WIDTH=450&amp;START_MAXIMIZED=FALS","E&amp;VAR:CALENDAR=US&amp;VAR:SYMBOL=PAA&amp;VAR:INDEX=0"}</definedName>
    <definedName name="_85__FDSAUDITLINK__" localSheetId="3" hidden="1">{"fdsup://directions/FAT Viewer?action=UPDATE&amp;creator=factset&amp;DYN_ARGS=TRUE&amp;DOC_NAME=FAT:FQL_AUDITING_CLIENT_TEMPLATE.FAT&amp;display_string=Audit&amp;VAR:KEY=WXWFMPKBQH&amp;VAR:QUERY=RkZfQ0FQRVgoUVRSLDBRKQ==&amp;WINDOW=FIRST_POPUP&amp;HEIGHT=450&amp;WIDTH=450&amp;START_MAXIMIZED=FALS","E&amp;VAR:CALENDAR=US&amp;VAR:SYMBOL=PAA&amp;VAR:INDEX=0"}</definedName>
    <definedName name="_85__FDSAUDITLINK__" hidden="1">{"fdsup://directions/FAT Viewer?action=UPDATE&amp;creator=factset&amp;DYN_ARGS=TRUE&amp;DOC_NAME=FAT:FQL_AUDITING_CLIENT_TEMPLATE.FAT&amp;display_string=Audit&amp;VAR:KEY=WXWFMPKBQH&amp;VAR:QUERY=RkZfQ0FQRVgoUVRSLDBRKQ==&amp;WINDOW=FIRST_POPUP&amp;HEIGHT=450&amp;WIDTH=450&amp;START_MAXIMIZED=FALS","E&amp;VAR:CALENDAR=US&amp;VAR:SYMBOL=PAA&amp;VAR:INDEX=0"}</definedName>
    <definedName name="_86__FDSAUDITLINK__" localSheetId="1" hidden="1">{"fdsup://directions/FAT Viewer?action=UPDATE&amp;creator=factset&amp;DYN_ARGS=TRUE&amp;DOC_NAME=FAT:FQL_AUDITING_CLIENT_TEMPLATE.FAT&amp;display_string=Audit&amp;VAR:KEY=WHORIJCLQR&amp;VAR:QUERY=RkZfQ0FQRVgoUVRSLC0xUSk=&amp;WINDOW=FIRST_POPUP&amp;HEIGHT=450&amp;WIDTH=450&amp;START_MAXIMIZED=FALS","E&amp;VAR:CALENDAR=US&amp;VAR:SYMBOL=PAA&amp;VAR:INDEX=0"}</definedName>
    <definedName name="_86__FDSAUDITLINK__" localSheetId="3" hidden="1">{"fdsup://directions/FAT Viewer?action=UPDATE&amp;creator=factset&amp;DYN_ARGS=TRUE&amp;DOC_NAME=FAT:FQL_AUDITING_CLIENT_TEMPLATE.FAT&amp;display_string=Audit&amp;VAR:KEY=WHORIJCLQR&amp;VAR:QUERY=RkZfQ0FQRVgoUVRSLC0xUSk=&amp;WINDOW=FIRST_POPUP&amp;HEIGHT=450&amp;WIDTH=450&amp;START_MAXIMIZED=FALS","E&amp;VAR:CALENDAR=US&amp;VAR:SYMBOL=PAA&amp;VAR:INDEX=0"}</definedName>
    <definedName name="_86__FDSAUDITLINK__" hidden="1">{"fdsup://directions/FAT Viewer?action=UPDATE&amp;creator=factset&amp;DYN_ARGS=TRUE&amp;DOC_NAME=FAT:FQL_AUDITING_CLIENT_TEMPLATE.FAT&amp;display_string=Audit&amp;VAR:KEY=WHORIJCLQR&amp;VAR:QUERY=RkZfQ0FQRVgoUVRSLC0xUSk=&amp;WINDOW=FIRST_POPUP&amp;HEIGHT=450&amp;WIDTH=450&amp;START_MAXIMIZED=FALS","E&amp;VAR:CALENDAR=US&amp;VAR:SYMBOL=PAA&amp;VAR:INDEX=0"}</definedName>
    <definedName name="_87__FDSAUDITLINK__" localSheetId="1" hidden="1">{"fdsup://directions/FAT Viewer?action=UPDATE&amp;creator=factset&amp;DYN_ARGS=TRUE&amp;DOC_NAME=FAT:FQL_AUDITING_CLIENT_TEMPLATE.FAT&amp;display_string=Audit&amp;VAR:KEY=MFOJMXQBSH&amp;VAR:QUERY=RkZfQ0FQRVgoUVRSLC0yUSk=&amp;WINDOW=FIRST_POPUP&amp;HEIGHT=450&amp;WIDTH=450&amp;START_MAXIMIZED=FALS","E&amp;VAR:CALENDAR=US&amp;VAR:SYMBOL=PAA&amp;VAR:INDEX=0"}</definedName>
    <definedName name="_87__FDSAUDITLINK__" localSheetId="3" hidden="1">{"fdsup://directions/FAT Viewer?action=UPDATE&amp;creator=factset&amp;DYN_ARGS=TRUE&amp;DOC_NAME=FAT:FQL_AUDITING_CLIENT_TEMPLATE.FAT&amp;display_string=Audit&amp;VAR:KEY=MFOJMXQBSH&amp;VAR:QUERY=RkZfQ0FQRVgoUVRSLC0yUSk=&amp;WINDOW=FIRST_POPUP&amp;HEIGHT=450&amp;WIDTH=450&amp;START_MAXIMIZED=FALS","E&amp;VAR:CALENDAR=US&amp;VAR:SYMBOL=PAA&amp;VAR:INDEX=0"}</definedName>
    <definedName name="_87__FDSAUDITLINK__" hidden="1">{"fdsup://directions/FAT Viewer?action=UPDATE&amp;creator=factset&amp;DYN_ARGS=TRUE&amp;DOC_NAME=FAT:FQL_AUDITING_CLIENT_TEMPLATE.FAT&amp;display_string=Audit&amp;VAR:KEY=MFOJMXQBSH&amp;VAR:QUERY=RkZfQ0FQRVgoUVRSLC0yUSk=&amp;WINDOW=FIRST_POPUP&amp;HEIGHT=450&amp;WIDTH=450&amp;START_MAXIMIZED=FALS","E&amp;VAR:CALENDAR=US&amp;VAR:SYMBOL=PAA&amp;VAR:INDEX=0"}</definedName>
    <definedName name="_88__FDSAUDITLINK__" localSheetId="1" hidden="1">{"fdsup://directions/FAT Viewer?action=UPDATE&amp;creator=factset&amp;DYN_ARGS=TRUE&amp;DOC_NAME=FAT:FQL_AUDITING_CLIENT_TEMPLATE.FAT&amp;display_string=Audit&amp;VAR:KEY=UZKNORULAP&amp;VAR:QUERY=RkZfQ0FQRVgoUVRSLC0zUSk=&amp;WINDOW=FIRST_POPUP&amp;HEIGHT=450&amp;WIDTH=450&amp;START_MAXIMIZED=FALS","E&amp;VAR:CALENDAR=US&amp;VAR:SYMBOL=PAA&amp;VAR:INDEX=0"}</definedName>
    <definedName name="_88__FDSAUDITLINK__" localSheetId="3" hidden="1">{"fdsup://directions/FAT Viewer?action=UPDATE&amp;creator=factset&amp;DYN_ARGS=TRUE&amp;DOC_NAME=FAT:FQL_AUDITING_CLIENT_TEMPLATE.FAT&amp;display_string=Audit&amp;VAR:KEY=UZKNORULAP&amp;VAR:QUERY=RkZfQ0FQRVgoUVRSLC0zUSk=&amp;WINDOW=FIRST_POPUP&amp;HEIGHT=450&amp;WIDTH=450&amp;START_MAXIMIZED=FALS","E&amp;VAR:CALENDAR=US&amp;VAR:SYMBOL=PAA&amp;VAR:INDEX=0"}</definedName>
    <definedName name="_88__FDSAUDITLINK__" hidden="1">{"fdsup://directions/FAT Viewer?action=UPDATE&amp;creator=factset&amp;DYN_ARGS=TRUE&amp;DOC_NAME=FAT:FQL_AUDITING_CLIENT_TEMPLATE.FAT&amp;display_string=Audit&amp;VAR:KEY=UZKNORULAP&amp;VAR:QUERY=RkZfQ0FQRVgoUVRSLC0zUSk=&amp;WINDOW=FIRST_POPUP&amp;HEIGHT=450&amp;WIDTH=450&amp;START_MAXIMIZED=FALS","E&amp;VAR:CALENDAR=US&amp;VAR:SYMBOL=PAA&amp;VAR:INDEX=0"}</definedName>
    <definedName name="_89__FDSAUDITLINK__" localSheetId="1" hidden="1">{"fdsup://directions/FAT Viewer?action=UPDATE&amp;creator=factset&amp;DYN_ARGS=TRUE&amp;DOC_NAME=FAT:FQL_AUDITING_CLIENT_TEMPLATE.FAT&amp;display_string=Audit&amp;VAR:KEY=GRSJMBEBKN&amp;VAR:QUERY=RkZfQ0FQRVgoUVRSLDBRKQ==&amp;WINDOW=FIRST_POPUP&amp;HEIGHT=450&amp;WIDTH=450&amp;START_MAXIMIZED=FALS","E&amp;VAR:CALENDAR=US&amp;VAR:SYMBOL=OKS&amp;VAR:INDEX=0"}</definedName>
    <definedName name="_89__FDSAUDITLINK__" localSheetId="3" hidden="1">{"fdsup://directions/FAT Viewer?action=UPDATE&amp;creator=factset&amp;DYN_ARGS=TRUE&amp;DOC_NAME=FAT:FQL_AUDITING_CLIENT_TEMPLATE.FAT&amp;display_string=Audit&amp;VAR:KEY=GRSJMBEBKN&amp;VAR:QUERY=RkZfQ0FQRVgoUVRSLDBRKQ==&amp;WINDOW=FIRST_POPUP&amp;HEIGHT=450&amp;WIDTH=450&amp;START_MAXIMIZED=FALS","E&amp;VAR:CALENDAR=US&amp;VAR:SYMBOL=OKS&amp;VAR:INDEX=0"}</definedName>
    <definedName name="_89__FDSAUDITLINK__" hidden="1">{"fdsup://directions/FAT Viewer?action=UPDATE&amp;creator=factset&amp;DYN_ARGS=TRUE&amp;DOC_NAME=FAT:FQL_AUDITING_CLIENT_TEMPLATE.FAT&amp;display_string=Audit&amp;VAR:KEY=GRSJMBEBKN&amp;VAR:QUERY=RkZfQ0FQRVgoUVRSLDBRKQ==&amp;WINDOW=FIRST_POPUP&amp;HEIGHT=450&amp;WIDTH=450&amp;START_MAXIMIZED=FALS","E&amp;VAR:CALENDAR=US&amp;VAR:SYMBOL=OKS&amp;VAR:INDEX=0"}</definedName>
    <definedName name="_9__123Graph_ASENS_COMPARISON" hidden="1">#REF!</definedName>
    <definedName name="_9__123Graph_ATAX_CREDIT" hidden="1">#REF!</definedName>
    <definedName name="_9__123Graph_BQRE_S_BY_CO." hidden="1">#REF!</definedName>
    <definedName name="_9__123Graph_CO_MPRICE" hidden="1">#REF!</definedName>
    <definedName name="_9__123Graph_LBL_DCHART_1" hidden="1">#REF!</definedName>
    <definedName name="_9__FDSAUDITLINK__" localSheetId="1" hidden="1">{"fdsup://directions/FAT Viewer?action=UPDATE&amp;creator=factset&amp;DYN_ARGS=TRUE&amp;DOC_NAME=FAT:FQL_AUDITING_CLIENT_TEMPLATE.FAT&amp;display_string=Audit&amp;VAR:KEY=WHWNUXYREN&amp;VAR:QUERY=RkZfQ0FQRVgoUVRSLDBRKQ==&amp;WINDOW=FIRST_POPUP&amp;HEIGHT=450&amp;WIDTH=450&amp;START_MAXIMIZED=FALS","E&amp;VAR:CALENDAR=US&amp;VAR:SYMBOL=PSE&amp;VAR:INDEX=0"}</definedName>
    <definedName name="_9__FDSAUDITLINK__" localSheetId="3" hidden="1">{"fdsup://directions/FAT Viewer?action=UPDATE&amp;creator=factset&amp;DYN_ARGS=TRUE&amp;DOC_NAME=FAT:FQL_AUDITING_CLIENT_TEMPLATE.FAT&amp;display_string=Audit&amp;VAR:KEY=WHWNUXYREN&amp;VAR:QUERY=RkZfQ0FQRVgoUVRSLDBRKQ==&amp;WINDOW=FIRST_POPUP&amp;HEIGHT=450&amp;WIDTH=450&amp;START_MAXIMIZED=FALS","E&amp;VAR:CALENDAR=US&amp;VAR:SYMBOL=PSE&amp;VAR:INDEX=0"}</definedName>
    <definedName name="_9__FDSAUDITLINK__" hidden="1">{"fdsup://directions/FAT Viewer?action=UPDATE&amp;creator=factset&amp;DYN_ARGS=TRUE&amp;DOC_NAME=FAT:FQL_AUDITING_CLIENT_TEMPLATE.FAT&amp;display_string=Audit&amp;VAR:KEY=WHWNUXYREN&amp;VAR:QUERY=RkZfQ0FQRVgoUVRSLDBRKQ==&amp;WINDOW=FIRST_POPUP&amp;HEIGHT=450&amp;WIDTH=450&amp;START_MAXIMIZED=FALS","E&amp;VAR:CALENDAR=US&amp;VAR:SYMBOL=PSE&amp;VAR:INDEX=0"}</definedName>
    <definedName name="_9_0__123Grap" hidden="1">#REF!</definedName>
    <definedName name="_90__FDSAUDITLINK__" localSheetId="1" hidden="1">{"fdsup://directions/FAT Viewer?action=UPDATE&amp;creator=factset&amp;DYN_ARGS=TRUE&amp;DOC_NAME=FAT:FQL_AUDITING_CLIENT_TEMPLATE.FAT&amp;display_string=Audit&amp;VAR:KEY=QZOFENSXWF&amp;VAR:QUERY=RkZfQ0FQRVgoUVRSLC0xUSk=&amp;WINDOW=FIRST_POPUP&amp;HEIGHT=450&amp;WIDTH=450&amp;START_MAXIMIZED=FALS","E&amp;VAR:CALENDAR=US&amp;VAR:SYMBOL=OKS&amp;VAR:INDEX=0"}</definedName>
    <definedName name="_90__FDSAUDITLINK__" localSheetId="3" hidden="1">{"fdsup://directions/FAT Viewer?action=UPDATE&amp;creator=factset&amp;DYN_ARGS=TRUE&amp;DOC_NAME=FAT:FQL_AUDITING_CLIENT_TEMPLATE.FAT&amp;display_string=Audit&amp;VAR:KEY=QZOFENSXWF&amp;VAR:QUERY=RkZfQ0FQRVgoUVRSLC0xUSk=&amp;WINDOW=FIRST_POPUP&amp;HEIGHT=450&amp;WIDTH=450&amp;START_MAXIMIZED=FALS","E&amp;VAR:CALENDAR=US&amp;VAR:SYMBOL=OKS&amp;VAR:INDEX=0"}</definedName>
    <definedName name="_90__FDSAUDITLINK__" hidden="1">{"fdsup://directions/FAT Viewer?action=UPDATE&amp;creator=factset&amp;DYN_ARGS=TRUE&amp;DOC_NAME=FAT:FQL_AUDITING_CLIENT_TEMPLATE.FAT&amp;display_string=Audit&amp;VAR:KEY=QZOFENSXWF&amp;VAR:QUERY=RkZfQ0FQRVgoUVRSLC0xUSk=&amp;WINDOW=FIRST_POPUP&amp;HEIGHT=450&amp;WIDTH=450&amp;START_MAXIMIZED=FALS","E&amp;VAR:CALENDAR=US&amp;VAR:SYMBOL=OKS&amp;VAR:INDEX=0"}</definedName>
    <definedName name="_91__FDSAUDITLINK__" localSheetId="1" hidden="1">{"fdsup://directions/FAT Viewer?action=UPDATE&amp;creator=factset&amp;DYN_ARGS=TRUE&amp;DOC_NAME=FAT:FQL_AUDITING_CLIENT_TEMPLATE.FAT&amp;display_string=Audit&amp;VAR:KEY=EVIPSVMXYV&amp;VAR:QUERY=RkZfQ0FQRVgoUVRSLC0yUSk=&amp;WINDOW=FIRST_POPUP&amp;HEIGHT=450&amp;WIDTH=450&amp;START_MAXIMIZED=FALS","E&amp;VAR:CALENDAR=US&amp;VAR:SYMBOL=OKS&amp;VAR:INDEX=0"}</definedName>
    <definedName name="_91__FDSAUDITLINK__" localSheetId="3" hidden="1">{"fdsup://directions/FAT Viewer?action=UPDATE&amp;creator=factset&amp;DYN_ARGS=TRUE&amp;DOC_NAME=FAT:FQL_AUDITING_CLIENT_TEMPLATE.FAT&amp;display_string=Audit&amp;VAR:KEY=EVIPSVMXYV&amp;VAR:QUERY=RkZfQ0FQRVgoUVRSLC0yUSk=&amp;WINDOW=FIRST_POPUP&amp;HEIGHT=450&amp;WIDTH=450&amp;START_MAXIMIZED=FALS","E&amp;VAR:CALENDAR=US&amp;VAR:SYMBOL=OKS&amp;VAR:INDEX=0"}</definedName>
    <definedName name="_91__FDSAUDITLINK__" hidden="1">{"fdsup://directions/FAT Viewer?action=UPDATE&amp;creator=factset&amp;DYN_ARGS=TRUE&amp;DOC_NAME=FAT:FQL_AUDITING_CLIENT_TEMPLATE.FAT&amp;display_string=Audit&amp;VAR:KEY=EVIPSVMXYV&amp;VAR:QUERY=RkZfQ0FQRVgoUVRSLC0yUSk=&amp;WINDOW=FIRST_POPUP&amp;HEIGHT=450&amp;WIDTH=450&amp;START_MAXIMIZED=FALS","E&amp;VAR:CALENDAR=US&amp;VAR:SYMBOL=OKS&amp;VAR:INDEX=0"}</definedName>
    <definedName name="_92__FDSAUDITLINK__" localSheetId="1" hidden="1">{"fdsup://directions/FAT Viewer?action=UPDATE&amp;creator=factset&amp;DYN_ARGS=TRUE&amp;DOC_NAME=FAT:FQL_AUDITING_CLIENT_TEMPLATE.FAT&amp;display_string=Audit&amp;VAR:KEY=WPMHKVAZOP&amp;VAR:QUERY=RkZfQ0FQRVgoUVRSLC0zUSk=&amp;WINDOW=FIRST_POPUP&amp;HEIGHT=450&amp;WIDTH=450&amp;START_MAXIMIZED=FALS","E&amp;VAR:CALENDAR=US&amp;VAR:SYMBOL=OKS&amp;VAR:INDEX=0"}</definedName>
    <definedName name="_92__FDSAUDITLINK__" localSheetId="3" hidden="1">{"fdsup://directions/FAT Viewer?action=UPDATE&amp;creator=factset&amp;DYN_ARGS=TRUE&amp;DOC_NAME=FAT:FQL_AUDITING_CLIENT_TEMPLATE.FAT&amp;display_string=Audit&amp;VAR:KEY=WPMHKVAZOP&amp;VAR:QUERY=RkZfQ0FQRVgoUVRSLC0zUSk=&amp;WINDOW=FIRST_POPUP&amp;HEIGHT=450&amp;WIDTH=450&amp;START_MAXIMIZED=FALS","E&amp;VAR:CALENDAR=US&amp;VAR:SYMBOL=OKS&amp;VAR:INDEX=0"}</definedName>
    <definedName name="_92__FDSAUDITLINK__" hidden="1">{"fdsup://directions/FAT Viewer?action=UPDATE&amp;creator=factset&amp;DYN_ARGS=TRUE&amp;DOC_NAME=FAT:FQL_AUDITING_CLIENT_TEMPLATE.FAT&amp;display_string=Audit&amp;VAR:KEY=WPMHKVAZOP&amp;VAR:QUERY=RkZfQ0FQRVgoUVRSLC0zUSk=&amp;WINDOW=FIRST_POPUP&amp;HEIGHT=450&amp;WIDTH=450&amp;START_MAXIMIZED=FALS","E&amp;VAR:CALENDAR=US&amp;VAR:SYMBOL=OKS&amp;VAR:INDEX=0"}</definedName>
    <definedName name="_93__FDSAUDITLINK__" localSheetId="1" hidden="1">{"fdsup://directions/FAT Viewer?action=UPDATE&amp;creator=factset&amp;DYN_ARGS=TRUE&amp;DOC_NAME=FAT:FQL_AUDITING_CLIENT_TEMPLATE.FAT&amp;display_string=Audit&amp;VAR:KEY=SHKVGPWDET&amp;VAR:QUERY=RkZfQ0FQRVgoUVRSLDBRKQ==&amp;WINDOW=FIRST_POPUP&amp;HEIGHT=450&amp;WIDTH=450&amp;START_MAXIMIZED=FALS","E&amp;VAR:CALENDAR=US&amp;VAR:SYMBOL=NS&amp;VAR:INDEX=0"}</definedName>
    <definedName name="_93__FDSAUDITLINK__" localSheetId="3" hidden="1">{"fdsup://directions/FAT Viewer?action=UPDATE&amp;creator=factset&amp;DYN_ARGS=TRUE&amp;DOC_NAME=FAT:FQL_AUDITING_CLIENT_TEMPLATE.FAT&amp;display_string=Audit&amp;VAR:KEY=SHKVGPWDET&amp;VAR:QUERY=RkZfQ0FQRVgoUVRSLDBRKQ==&amp;WINDOW=FIRST_POPUP&amp;HEIGHT=450&amp;WIDTH=450&amp;START_MAXIMIZED=FALS","E&amp;VAR:CALENDAR=US&amp;VAR:SYMBOL=NS&amp;VAR:INDEX=0"}</definedName>
    <definedName name="_93__FDSAUDITLINK__" hidden="1">{"fdsup://directions/FAT Viewer?action=UPDATE&amp;creator=factset&amp;DYN_ARGS=TRUE&amp;DOC_NAME=FAT:FQL_AUDITING_CLIENT_TEMPLATE.FAT&amp;display_string=Audit&amp;VAR:KEY=SHKVGPWDET&amp;VAR:QUERY=RkZfQ0FQRVgoUVRSLDBRKQ==&amp;WINDOW=FIRST_POPUP&amp;HEIGHT=450&amp;WIDTH=450&amp;START_MAXIMIZED=FALS","E&amp;VAR:CALENDAR=US&amp;VAR:SYMBOL=NS&amp;VAR:INDEX=0"}</definedName>
    <definedName name="_94__FDSAUDITLINK__" localSheetId="1" hidden="1">{"fdsup://directions/FAT Viewer?action=UPDATE&amp;creator=factset&amp;DYN_ARGS=TRUE&amp;DOC_NAME=FAT:FQL_AUDITING_CLIENT_TEMPLATE.FAT&amp;display_string=Audit&amp;VAR:KEY=SRCDYLMVGF&amp;VAR:QUERY=RkZfQ0FQRVgoUVRSLC0xUSk=&amp;WINDOW=FIRST_POPUP&amp;HEIGHT=450&amp;WIDTH=450&amp;START_MAXIMIZED=FALS","E&amp;VAR:CALENDAR=US&amp;VAR:SYMBOL=NS&amp;VAR:INDEX=0"}</definedName>
    <definedName name="_94__FDSAUDITLINK__" localSheetId="3" hidden="1">{"fdsup://directions/FAT Viewer?action=UPDATE&amp;creator=factset&amp;DYN_ARGS=TRUE&amp;DOC_NAME=FAT:FQL_AUDITING_CLIENT_TEMPLATE.FAT&amp;display_string=Audit&amp;VAR:KEY=SRCDYLMVGF&amp;VAR:QUERY=RkZfQ0FQRVgoUVRSLC0xUSk=&amp;WINDOW=FIRST_POPUP&amp;HEIGHT=450&amp;WIDTH=450&amp;START_MAXIMIZED=FALS","E&amp;VAR:CALENDAR=US&amp;VAR:SYMBOL=NS&amp;VAR:INDEX=0"}</definedName>
    <definedName name="_94__FDSAUDITLINK__" hidden="1">{"fdsup://directions/FAT Viewer?action=UPDATE&amp;creator=factset&amp;DYN_ARGS=TRUE&amp;DOC_NAME=FAT:FQL_AUDITING_CLIENT_TEMPLATE.FAT&amp;display_string=Audit&amp;VAR:KEY=SRCDYLMVGF&amp;VAR:QUERY=RkZfQ0FQRVgoUVRSLC0xUSk=&amp;WINDOW=FIRST_POPUP&amp;HEIGHT=450&amp;WIDTH=450&amp;START_MAXIMIZED=FALS","E&amp;VAR:CALENDAR=US&amp;VAR:SYMBOL=NS&amp;VAR:INDEX=0"}</definedName>
    <definedName name="_95__FDSAUDITLINK__" localSheetId="1" hidden="1">{"fdsup://directions/FAT Viewer?action=UPDATE&amp;creator=factset&amp;DYN_ARGS=TRUE&amp;DOC_NAME=FAT:FQL_AUDITING_CLIENT_TEMPLATE.FAT&amp;display_string=Audit&amp;VAR:KEY=YXUXYFSFKL&amp;VAR:QUERY=RkZfQ0FQRVgoUVRSLC0yUSk=&amp;WINDOW=FIRST_POPUP&amp;HEIGHT=450&amp;WIDTH=450&amp;START_MAXIMIZED=FALS","E&amp;VAR:CALENDAR=US&amp;VAR:SYMBOL=NS&amp;VAR:INDEX=0"}</definedName>
    <definedName name="_95__FDSAUDITLINK__" localSheetId="3" hidden="1">{"fdsup://directions/FAT Viewer?action=UPDATE&amp;creator=factset&amp;DYN_ARGS=TRUE&amp;DOC_NAME=FAT:FQL_AUDITING_CLIENT_TEMPLATE.FAT&amp;display_string=Audit&amp;VAR:KEY=YXUXYFSFKL&amp;VAR:QUERY=RkZfQ0FQRVgoUVRSLC0yUSk=&amp;WINDOW=FIRST_POPUP&amp;HEIGHT=450&amp;WIDTH=450&amp;START_MAXIMIZED=FALS","E&amp;VAR:CALENDAR=US&amp;VAR:SYMBOL=NS&amp;VAR:INDEX=0"}</definedName>
    <definedName name="_95__FDSAUDITLINK__" hidden="1">{"fdsup://directions/FAT Viewer?action=UPDATE&amp;creator=factset&amp;DYN_ARGS=TRUE&amp;DOC_NAME=FAT:FQL_AUDITING_CLIENT_TEMPLATE.FAT&amp;display_string=Audit&amp;VAR:KEY=YXUXYFSFKL&amp;VAR:QUERY=RkZfQ0FQRVgoUVRSLC0yUSk=&amp;WINDOW=FIRST_POPUP&amp;HEIGHT=450&amp;WIDTH=450&amp;START_MAXIMIZED=FALS","E&amp;VAR:CALENDAR=US&amp;VAR:SYMBOL=NS&amp;VAR:INDEX=0"}</definedName>
    <definedName name="_96__FDSAUDITLINK__" localSheetId="1" hidden="1">{"fdsup://directions/FAT Viewer?action=UPDATE&amp;creator=factset&amp;DYN_ARGS=TRUE&amp;DOC_NAME=FAT:FQL_AUDITING_CLIENT_TEMPLATE.FAT&amp;display_string=Audit&amp;VAR:KEY=IHCZEJALUT&amp;VAR:QUERY=RkZfQ0FQRVgoUVRSLC0zUSk=&amp;WINDOW=FIRST_POPUP&amp;HEIGHT=450&amp;WIDTH=450&amp;START_MAXIMIZED=FALS","E&amp;VAR:CALENDAR=US&amp;VAR:SYMBOL=NS&amp;VAR:INDEX=0"}</definedName>
    <definedName name="_96__FDSAUDITLINK__" localSheetId="3" hidden="1">{"fdsup://directions/FAT Viewer?action=UPDATE&amp;creator=factset&amp;DYN_ARGS=TRUE&amp;DOC_NAME=FAT:FQL_AUDITING_CLIENT_TEMPLATE.FAT&amp;display_string=Audit&amp;VAR:KEY=IHCZEJALUT&amp;VAR:QUERY=RkZfQ0FQRVgoUVRSLC0zUSk=&amp;WINDOW=FIRST_POPUP&amp;HEIGHT=450&amp;WIDTH=450&amp;START_MAXIMIZED=FALS","E&amp;VAR:CALENDAR=US&amp;VAR:SYMBOL=NS&amp;VAR:INDEX=0"}</definedName>
    <definedName name="_96__FDSAUDITLINK__" hidden="1">{"fdsup://directions/FAT Viewer?action=UPDATE&amp;creator=factset&amp;DYN_ARGS=TRUE&amp;DOC_NAME=FAT:FQL_AUDITING_CLIENT_TEMPLATE.FAT&amp;display_string=Audit&amp;VAR:KEY=IHCZEJALUT&amp;VAR:QUERY=RkZfQ0FQRVgoUVRSLC0zUSk=&amp;WINDOW=FIRST_POPUP&amp;HEIGHT=450&amp;WIDTH=450&amp;START_MAXIMIZED=FALS","E&amp;VAR:CALENDAR=US&amp;VAR:SYMBOL=NS&amp;VAR:INDEX=0"}</definedName>
    <definedName name="_97__FDSAUDITLINK__" localSheetId="1" hidden="1">{"fdsup://directions/FAT Viewer?action=UPDATE&amp;creator=factset&amp;DYN_ARGS=TRUE&amp;DOC_NAME=FAT:FQL_AUDITING_CLIENT_TEMPLATE.FAT&amp;display_string=Audit&amp;VAR:KEY=IHKPSJOXQD&amp;VAR:QUERY=RkZfQ0FQRVgoUVRSLDBRKQ==&amp;WINDOW=FIRST_POPUP&amp;HEIGHT=450&amp;WIDTH=450&amp;START_MAXIMIZED=FALS","E&amp;VAR:CALENDAR=US&amp;VAR:SYMBOL=NRP&amp;VAR:INDEX=0"}</definedName>
    <definedName name="_97__FDSAUDITLINK__" localSheetId="3" hidden="1">{"fdsup://directions/FAT Viewer?action=UPDATE&amp;creator=factset&amp;DYN_ARGS=TRUE&amp;DOC_NAME=FAT:FQL_AUDITING_CLIENT_TEMPLATE.FAT&amp;display_string=Audit&amp;VAR:KEY=IHKPSJOXQD&amp;VAR:QUERY=RkZfQ0FQRVgoUVRSLDBRKQ==&amp;WINDOW=FIRST_POPUP&amp;HEIGHT=450&amp;WIDTH=450&amp;START_MAXIMIZED=FALS","E&amp;VAR:CALENDAR=US&amp;VAR:SYMBOL=NRP&amp;VAR:INDEX=0"}</definedName>
    <definedName name="_97__FDSAUDITLINK__" hidden="1">{"fdsup://directions/FAT Viewer?action=UPDATE&amp;creator=factset&amp;DYN_ARGS=TRUE&amp;DOC_NAME=FAT:FQL_AUDITING_CLIENT_TEMPLATE.FAT&amp;display_string=Audit&amp;VAR:KEY=IHKPSJOXQD&amp;VAR:QUERY=RkZfQ0FQRVgoUVRSLDBRKQ==&amp;WINDOW=FIRST_POPUP&amp;HEIGHT=450&amp;WIDTH=450&amp;START_MAXIMIZED=FALS","E&amp;VAR:CALENDAR=US&amp;VAR:SYMBOL=NRP&amp;VAR:INDEX=0"}</definedName>
    <definedName name="_98__FDSAUDITLINK__" localSheetId="1" hidden="1">{"fdsup://directions/FAT Viewer?action=UPDATE&amp;creator=factset&amp;DYN_ARGS=TRUE&amp;DOC_NAME=FAT:FQL_AUDITING_CLIENT_TEMPLATE.FAT&amp;display_string=Audit&amp;VAR:KEY=MDORUPWHUH&amp;VAR:QUERY=RkZfQ0FQRVgoUVRSLC0xUSk=&amp;WINDOW=FIRST_POPUP&amp;HEIGHT=450&amp;WIDTH=450&amp;START_MAXIMIZED=FALS","E&amp;VAR:CALENDAR=US&amp;VAR:SYMBOL=NRP&amp;VAR:INDEX=0"}</definedName>
    <definedName name="_98__FDSAUDITLINK__" localSheetId="3" hidden="1">{"fdsup://directions/FAT Viewer?action=UPDATE&amp;creator=factset&amp;DYN_ARGS=TRUE&amp;DOC_NAME=FAT:FQL_AUDITING_CLIENT_TEMPLATE.FAT&amp;display_string=Audit&amp;VAR:KEY=MDORUPWHUH&amp;VAR:QUERY=RkZfQ0FQRVgoUVRSLC0xUSk=&amp;WINDOW=FIRST_POPUP&amp;HEIGHT=450&amp;WIDTH=450&amp;START_MAXIMIZED=FALS","E&amp;VAR:CALENDAR=US&amp;VAR:SYMBOL=NRP&amp;VAR:INDEX=0"}</definedName>
    <definedName name="_98__FDSAUDITLINK__" hidden="1">{"fdsup://directions/FAT Viewer?action=UPDATE&amp;creator=factset&amp;DYN_ARGS=TRUE&amp;DOC_NAME=FAT:FQL_AUDITING_CLIENT_TEMPLATE.FAT&amp;display_string=Audit&amp;VAR:KEY=MDORUPWHUH&amp;VAR:QUERY=RkZfQ0FQRVgoUVRSLC0xUSk=&amp;WINDOW=FIRST_POPUP&amp;HEIGHT=450&amp;WIDTH=450&amp;START_MAXIMIZED=FALS","E&amp;VAR:CALENDAR=US&amp;VAR:SYMBOL=NRP&amp;VAR:INDEX=0"}</definedName>
    <definedName name="_99__FDSAUDITLINK__" localSheetId="1" hidden="1">{"fdsup://directions/FAT Viewer?action=UPDATE&amp;creator=factset&amp;DYN_ARGS=TRUE&amp;DOC_NAME=FAT:FQL_AUDITING_CLIENT_TEMPLATE.FAT&amp;display_string=Audit&amp;VAR:KEY=ULODCBGXQH&amp;VAR:QUERY=RkZfQ0FQRVgoUVRSLC0yUSk=&amp;WINDOW=FIRST_POPUP&amp;HEIGHT=450&amp;WIDTH=450&amp;START_MAXIMIZED=FALS","E&amp;VAR:CALENDAR=US&amp;VAR:SYMBOL=NRP&amp;VAR:INDEX=0"}</definedName>
    <definedName name="_99__FDSAUDITLINK__" localSheetId="3" hidden="1">{"fdsup://directions/FAT Viewer?action=UPDATE&amp;creator=factset&amp;DYN_ARGS=TRUE&amp;DOC_NAME=FAT:FQL_AUDITING_CLIENT_TEMPLATE.FAT&amp;display_string=Audit&amp;VAR:KEY=ULODCBGXQH&amp;VAR:QUERY=RkZfQ0FQRVgoUVRSLC0yUSk=&amp;WINDOW=FIRST_POPUP&amp;HEIGHT=450&amp;WIDTH=450&amp;START_MAXIMIZED=FALS","E&amp;VAR:CALENDAR=US&amp;VAR:SYMBOL=NRP&amp;VAR:INDEX=0"}</definedName>
    <definedName name="_99__FDSAUDITLINK__" hidden="1">{"fdsup://directions/FAT Viewer?action=UPDATE&amp;creator=factset&amp;DYN_ARGS=TRUE&amp;DOC_NAME=FAT:FQL_AUDITING_CLIENT_TEMPLATE.FAT&amp;display_string=Audit&amp;VAR:KEY=ULODCBGXQH&amp;VAR:QUERY=RkZfQ0FQRVgoUVRSLC0yUSk=&amp;WINDOW=FIRST_POPUP&amp;HEIGHT=450&amp;WIDTH=450&amp;START_MAXIMIZED=FALS","E&amp;VAR:CALENDAR=US&amp;VAR:SYMBOL=NRP&amp;VAR:INDEX=0"}</definedName>
    <definedName name="_a2_1" localSheetId="1" hidden="1">{#N/A,#N/A,FALSE,"Sheet1"}</definedName>
    <definedName name="_a2_1" localSheetId="3" hidden="1">{#N/A,#N/A,FALSE,"Sheet1"}</definedName>
    <definedName name="_a2_1" hidden="1">{#N/A,#N/A,FALSE,"Sheet1"}</definedName>
    <definedName name="_a3" localSheetId="1" hidden="1">{#N/A,#N/A,FALSE,"Sheet1"}</definedName>
    <definedName name="_a3" localSheetId="3" hidden="1">{#N/A,#N/A,FALSE,"Sheet1"}</definedName>
    <definedName name="_a3" hidden="1">{#N/A,#N/A,FALSE,"Sheet1"}</definedName>
    <definedName name="_a3_1" localSheetId="1" hidden="1">{#N/A,#N/A,FALSE,"Sheet1"}</definedName>
    <definedName name="_a3_1" localSheetId="3" hidden="1">{#N/A,#N/A,FALSE,"Sheet1"}</definedName>
    <definedName name="_a3_1" hidden="1">{#N/A,#N/A,FALSE,"Sheet1"}</definedName>
    <definedName name="_AMO_ContentDefinition_299938498" hidden="1">"'Partitions:7'"</definedName>
    <definedName name="_AMO_ContentDefinition_299938498.0" hidden="1">"'&lt;ContentDefinition name=""Import Monthly Mapics Data for FD68"" rsid=""299938498"" type=""StoredProcess"" format=""REPORTXML"" imgfmt=""ACTIVEX"" created=""05/05/2009 23:28:47"" modifed=""05/05/2009 23:28:47"" user=""ANLGR"" apply=""False"" thread='"</definedName>
    <definedName name="_AMO_ContentDefinition_299938498.1" hidden="1">"'""BACKGROUND"" css=""C:\Program Files\SAS\Shared Files\BIClientStyles\AMODefault.css"" range=""Import_Monthly_Mapics_Data_for_FD68"" auto=""False"" rdc=""False"" mig=""False"" xTime=""00:01:04.3490775"" rTime=""00:00:00.4374300"" bgnew=""False"" nF'"</definedName>
    <definedName name="_AMO_ContentDefinition_299938498.2" hidden="1">"'mt=""False"" grphSet=""False"" imgY=""0"" imgX=""0""&gt;_x000D_
  &lt;files /&gt;_x000D_
  &lt;param n=""DisplayName"" v=""Import Monthly Mapics Data for FD68"" /&gt;_x000D_
  &lt;param n=""ServerName"" v=""SASMain"" /&gt;_x000D_
  &lt;param n=""ResultsOnServer"" v=""False"" /&gt;_x000D_
  &lt;param n=""AMO'"</definedName>
    <definedName name="_AMO_ContentDefinition_299938498.3" hidden="1">"'_Version"" v=""2.1"" /&gt;_x000D_
  &lt;param n=""UIParameter_0"" v=""analysis::ACTUAL"" /&gt;_x000D_
  &lt;param n=""UIParameter_1"" v=""period::200904"" /&gt;_x000D_
  &lt;param n=""UIParameter_2"" v=""cycle::Vestas2"" /&gt;_x000D_
  &lt;param n=""UIParameter_3"" v=""acttype::1"" /&gt;_x000D_
  &lt;param '"</definedName>
    <definedName name="_AMO_ContentDefinition_299938498.4" hidden="1">"'n=""UIParameter_4"" v=""fd::68"" /&gt;_x000D_
  &lt;param n=""UIParameter_5"" v=""country::GB"" /&gt;_x000D_
  &lt;param n=""UIParameter_6"" v=""currency::GBP"" /&gt;_x000D_
  &lt;param n=""UIParameter_7"" v=""schema::AMFLIBC"" /&gt;_x000D_
  &lt;param n=""UIParameter_8"" v=""butype::PBU"" /&gt;_x000D_
  &lt;'"</definedName>
    <definedName name="_AMO_ContentDefinition_299938498.5" hidden="1">"'param n=""UIParameters"" v=""9"" /&gt;_x000D_
  &lt;param n=""StoredProcessID"" v=""A5OM1V0E.AY0006ZW"" /&gt;_x000D_
  &lt;param n=""StoredProcessPath"" v=""Monthly Data Load/Vestas BU Tower/Import Monthly Mapics Data for FD68"" /&gt;_x000D_
  &lt;param n=""RepositoryName"" v=""Foundat'"</definedName>
    <definedName name="_AMO_ContentDefinition_299938498.6" hidden="1">"'ion"" /&gt;_x000D_
  &lt;param n=""ClassName"" v=""SAS.OfficeAddin.StoredProcess"" /&gt;_x000D_
  &lt;param n=""NoVisuals"" v=""1"" /&gt;_x000D_
&lt;/ContentDefinition&gt;'"</definedName>
    <definedName name="_AMO_ContentDefinition_307689594" hidden="1">"'Partitions:7'"</definedName>
    <definedName name="_AMO_ContentDefinition_307689594.0" hidden="1">"'&lt;ContentDefinition name=""CF Import (weekly) for Vestas Towers"" rsid=""307689594"" type=""StoredProcess"" format=""REPORTXML"" imgfmt=""ACTIVEX"" created=""07/28/2006 11:13:58"" modifed=""07/28/2006 11:13:58"" user=""trje"" apply=""False"" thread='"</definedName>
    <definedName name="_AMO_ContentDefinition_307689594.1" hidden="1">"'""BACKGROUND"" css=""C:\Program Files\SAS\Shared Files\BIClientStyles\AMODefault.css"" range=""CF_Import__weekly__for_Vestas_Towers"" auto=""False"" rdc=""False"" mig=""False"" xTime=""00:01:22.6932152"" rTime=""00:00:00.2658443"" bgnew=""False"" n'"</definedName>
    <definedName name="_AMO_ContentDefinition_307689594.2" hidden="1">"'Fmt=""False"" grphSet=""False"" imgY=""0"" imgX=""0""&gt;_x000D_
  &lt;files /&gt;_x000D_
  &lt;param n=""DisplayName"" v=""CF Import (weekly) for Vestas Towers"" /&gt;_x000D_
  &lt;param n=""ServerName"" v=""SASMain"" /&gt;_x000D_
  &lt;param n=""ResultsOnServer"" v=""False"" /&gt;_x000D_
  &lt;param n=""A'"</definedName>
    <definedName name="_AMO_ContentDefinition_307689594.3" hidden="1">"'MO_Version"" v=""2.1"" /&gt;_x000D_
  &lt;param n=""UIParameter_0"" v=""analysis::CFR"" /&gt;_x000D_
  &lt;param n=""UIParameter_1"" v=""period::w30-2006"" /&gt;_x000D_
  &lt;param n=""UIParameter_2"" v=""location::\\rifile\group\_Docs\Financial_reporting\Towers\Local Finance\"" /&gt;_x000D_
  '"</definedName>
    <definedName name="_AMO_ContentDefinition_307689594.4" hidden="1">"'&lt;param n=""UIParameter_3"" v=""cycle::Vestas_CF"" /&gt;_x000D_
  &lt;param n=""UIParameter_4"" v=""actiontype::1"" /&gt;_x000D_
  &lt;param n=""UIParameters"" v=""5"" /&gt;_x000D_
  &lt;param n=""StoredProcessID"" v=""A5GF11T9.AR0012L1"" /&gt;_x000D_
  &lt;param n=""StoredProcessPath"" v=""Cash Flo'"</definedName>
    <definedName name="_AMO_ContentDefinition_307689594.5" hidden="1">"'w Reporting/Vestas BU CF Towers/CF Import (weekly) for Vestas Towers"" /&gt;_x000D_
  &lt;param n=""RepositoryName"" v=""Detail Data Store"" /&gt;_x000D_
  &lt;param n=""ClassName"" v=""SAS.OfficeAddin.StoredProcess"" /&gt;_x000D_
  &lt;param n=""NoVisuals"" v=""1"" /&gt;_x000D_
&lt;/Conte'"</definedName>
    <definedName name="_AMO_ContentDefinition_307689594.6" hidden="1">"'ntDefinition&gt;'"</definedName>
    <definedName name="_AMO_ContentDefinition_437249378" hidden="1">"'Partitions:7'"</definedName>
    <definedName name="_AMO_ContentDefinition_437249378.0" hidden="1">"'&lt;ContentDefinition name=""Import Monthly Mapics Data for FD67"" rsid=""437249378"" type=""StoredProcess"" format=""REPORTXML"" imgfmt=""ACTIVEX"" created=""05/05/2009 23:27:27"" modifed=""05/05/2009 23:27:27"" user=""ANLGR"" apply=""False"" thread='"</definedName>
    <definedName name="_AMO_ContentDefinition_437249378.1" hidden="1">"'""BACKGROUND"" css=""C:\Program Files\SAS\Shared Files\BIClientStyles\AMODefault.css"" range=""Import_Monthly_Mapics_Data_for_FD67_2"" auto=""False"" rdc=""False"" mig=""False"" xTime=""00:01:10.6449450"" rTime=""00:00:00.6873900"" bgnew=""False"" n'"</definedName>
    <definedName name="_AMO_ContentDefinition_437249378.2" hidden="1">"'Fmt=""False"" grphSet=""False"" imgY=""0"" imgX=""0""&gt;_x000D_
  &lt;files /&gt;_x000D_
  &lt;param n=""DisplayName"" v=""Import Monthly Mapics Data for FD67"" /&gt;_x000D_
  &lt;param n=""ServerName"" v=""SASMain"" /&gt;_x000D_
  &lt;param n=""ResultsOnServer"" v=""False"" /&gt;_x000D_
  &lt;param n=""AM'"</definedName>
    <definedName name="_AMO_ContentDefinition_437249378.3" hidden="1">"'O_Version"" v=""2.1"" /&gt;_x000D_
  &lt;param n=""UIParameter_0"" v=""analysis::ACTUAL"" /&gt;_x000D_
  &lt;param n=""UIParameter_1"" v=""period::200904"" /&gt;_x000D_
  &lt;param n=""UIParameter_2"" v=""cycle::Vestas2"" /&gt;_x000D_
  &lt;param n=""UIParameter_3"" v=""acttype::1"" /&gt;_x000D_
  &lt;param'"</definedName>
    <definedName name="_AMO_ContentDefinition_437249378.4" hidden="1">"' n=""UIParameter_4"" v=""fd::67"" /&gt;_x000D_
  &lt;param n=""UIParameter_5"" v=""country::DK"" /&gt;_x000D_
  &lt;param n=""UIParameter_6"" v=""currency::DKK"" /&gt;_x000D_
  &lt;param n=""UIParameter_7"" v=""schema::AMFLIBL"" /&gt;_x000D_
  &lt;param n=""UIParameter_8"" v=""butype::PBU"" /&gt;_x000D_
  '"</definedName>
    <definedName name="_AMO_ContentDefinition_437249378.5" hidden="1">"'&lt;param n=""UIParameters"" v=""9"" /&gt;_x000D_
  &lt;param n=""StoredProcessID"" v=""A5OM1V0E.AY0006ZV"" /&gt;_x000D_
  &lt;param n=""StoredProcessPath"" v=""Monthly Data Load/Vestas BU Tower/Import Monthly Mapics Data for FD67"" /&gt;_x000D_
  &lt;param n=""RepositoryName"" v=""Founda'"</definedName>
    <definedName name="_AMO_ContentDefinition_437249378.6" hidden="1">"'tion"" /&gt;_x000D_
  &lt;param n=""ClassName"" v=""SAS.OfficeAddin.StoredProcess"" /&gt;_x000D_
  &lt;param n=""NoVisuals"" v=""1"" /&gt;_x000D_
&lt;/ContentDefinition&gt;'"</definedName>
    <definedName name="_AMO_ContentDefinition_448845425" hidden="1">"'Partitions:7'"</definedName>
    <definedName name="_AMO_ContentDefinition_448845425.0" hidden="1">"'&lt;ContentDefinition name=""Import RFC for Vestas Mediterranean"" rsid=""448845425"" type=""StoredProcess"" format=""REPORTXML"" imgfmt=""ACTIVEX"" created=""10/12/2008 15:09:57"" modifed=""10/12/2008 15:09:57"" user=""Zsuzsanna Fodor"" apply=""False""'"</definedName>
    <definedName name="_AMO_ContentDefinition_448845425.1" hidden="1">"' thread=""BACKGROUND"" css=""C:\Program Files\SAS\Shared Files\BIClientStyles\AMODefault.css"" range=""Import_RFC_for_Vestas_Mediterranean"" auto=""False"" rdc=""False"" mig=""False"" xTime=""00:01:32.0053340"" rTime=""00:00:00.2811708"" bgnew=""Fa'"</definedName>
    <definedName name="_AMO_ContentDefinition_448845425.2" hidden="1">"'lse"" nFmt=""False"" grphSet=""False"" imgY=""0"" imgX=""0""&gt;_x000D_
  &lt;files /&gt;_x000D_
  &lt;param n=""DisplayName"" v=""Import RFC for Vestas Mediterranean"" /&gt;_x000D_
  &lt;param n=""ServerName"" v=""SASMain"" /&gt;_x000D_
  &lt;param n=""ResultsOnServer"" v=""False"" /&gt;_x000D_
  &lt;para'"</definedName>
    <definedName name="_AMO_ContentDefinition_448845425.3" hidden="1">"'m n=""AMO_Version"" v=""2.1"" /&gt;_x000D_
  &lt;param n=""UIParameter_0"" v=""analysis::RFC3"" /&gt;_x000D_
  &lt;param n=""UIParameter_1"" v=""period::200808"" /&gt;_x000D_
  &lt;param n=""UIParameter_2"" v=""cycle::Vestas2"" /&gt;_x000D_
  &lt;param n=""UIParameter_3"" v=""acttype::1"" /&gt;_x000D_
  &lt;p'"</definedName>
    <definedName name="_AMO_ContentDefinition_448845425.4" hidden="1">"'aram n=""UIParameter_4"" v=""location::\\rifile\group\_Docs\Financial_reporting\Mediterranean\Local Finance\"" /&gt;_x000D_
  &lt;param n=""UIParameter_5"" v=""budgettype::FIN"" /&gt;_x000D_
  &lt;param n=""UIParameter_6"" v=""butype::SBU"" /&gt;_x000D_
  &lt;param n=""UIParameters"" '"</definedName>
    <definedName name="_AMO_ContentDefinition_448845425.5" hidden="1">"'v=""7"" /&gt;_x000D_
  &lt;param n=""StoredProcessID"" v=""A5OM1V0E.AY0035FM"" /&gt;_x000D_
  &lt;param n=""StoredProcessPath"" v=""Monthly Data Load/Vestas Mediterranean/Import RFC for Vestas Mediterranean"" /&gt;_x000D_
  &lt;param n=""RepositoryName"" v=""Foundation"" /&gt;_x000D_
  &lt;param '"</definedName>
    <definedName name="_AMO_ContentDefinition_448845425.6" hidden="1">"'n=""ClassName"" v=""SAS.OfficeAddin.StoredProcess"" /&gt;_x000D_
  &lt;param n=""NoVisuals"" v=""1"" /&gt;_x000D_
&lt;/ContentDefinition&gt;'"</definedName>
    <definedName name="_AMO_ContentDefinition_740954670" hidden="1">"'Partitions:7'"</definedName>
    <definedName name="_AMO_ContentDefinition_740954670.0" hidden="1">"'&lt;ContentDefinition name=""Import Estimate Package for Vestas BU Blades"" rsid=""740954670"" type=""StoredProcess"" format=""REPORTXML"" imgfmt=""ACTIVEX"" created=""10/18/2006 14:11:12"" modifed=""10/18/2006 14:11:12"" user=""Martin Holst Jacobsen""'"</definedName>
    <definedName name="_AMO_ContentDefinition_740954670.1" hidden="1">"' apply=""False"" thread=""BACKGROUND"" css=""C:\Program Files\SAS\Shared Files\BIClientStyles\AMODefault.css"" range=""Import_Estimate_Package_for_Vestas_BU_Blades"" auto=""False"" rdc=""False"" mig=""False"" xTime=""00:00:56.2067115"" rTime=""00:00:'"</definedName>
    <definedName name="_AMO_ContentDefinition_740954670.2" hidden="1">"'00.4404444"" bgnew=""False"" nFmt=""False"" grphSet=""False"" imgY=""0"" imgX=""0""&gt;_x000D_
  &lt;files /&gt;_x000D_
  &lt;param n=""DisplayName"" v=""Import Estimate Package for Vestas BU Blades"" /&gt;_x000D_
  &lt;param n=""ServerName"" v=""SASMain"" /&gt;_x000D_
  &lt;param n=""ResultsOnS'"</definedName>
    <definedName name="_AMO_ContentDefinition_740954670.3" hidden="1">"'erver"" v=""False"" /&gt;_x000D_
  &lt;param n=""AMO_Version"" v=""2.1"" /&gt;_x000D_
  &lt;param n=""UIParameter_0"" v=""analysis::EST1"" /&gt;_x000D_
  &lt;param n=""UIParameter_1"" v=""period_start::200609"" /&gt;_x000D_
  &lt;param n=""UIParameter_2"" v=""period_end::200612"" /&gt;_x000D_
  &lt;param n='"</definedName>
    <definedName name="_AMO_ContentDefinition_740954670.4" hidden="1">"'""UIParameter_3"" v=""location::\\rifile\group\_Docs\Financial_reporting\Blades\Local Finance\"" /&gt;_x000D_
  &lt;param n=""UIParameter_4"" v=""cycle::Vestas"" /&gt;_x000D_
  &lt;param n=""UIParameter_5"" v=""actiontype::1"" /&gt;_x000D_
  &lt;param n=""UIParameters"" v=""6"" /&gt;_x000D_
  &lt;'"</definedName>
    <definedName name="_AMO_ContentDefinition_740954670.5" hidden="1">"'param n=""StoredProcessID"" v=""A5GF11T9.AR000RS1"" /&gt;_x000D_
  &lt;param n=""StoredProcessPath"" v=""Monthly Data Load/Vestas BU Blades/Import Estimate Package for Vestas BU Blades"" /&gt;_x000D_
  &lt;param n=""RepositoryName"" v=""Detail Data Store"" /&gt;_x000D_
  &lt;param n='"</definedName>
    <definedName name="_AMO_ContentDefinition_740954670.6" hidden="1">"'""ClassName"" v=""SAS.OfficeAddin.StoredProcess"" /&gt;_x000D_
  &lt;param n=""NoVisuals"" v=""1"" /&gt;_x000D_
&lt;/ContentDefinition&gt;'"</definedName>
    <definedName name="_AMO_ContentDefinition_767791925" hidden="1">"'Partitions:7'"</definedName>
    <definedName name="_AMO_ContentDefinition_767791925.0" hidden="1">"'&lt;ContentDefinition name=""Import Monthly Mapics Data for FD67"" rsid=""767791925"" type=""StoredProcess"" format=""REPORTXML"" imgfmt=""ACTIVEX"" created=""07/07/2008 13:05:28"" modifed=""07/07/2008 13:05:28"" user=""ANLGR"" apply=""False"" thread='"</definedName>
    <definedName name="_AMO_ContentDefinition_767791925.1" hidden="1">"'""BACKGROUND"" css=""C:\Program Files\SAS\Shared Files\BIClientStyles\AMODefault.css"" range=""Import_Monthly_Mapics_Data_for_FD67"" auto=""False"" rdc=""False"" mig=""False"" xTime=""00:03:01.2112534"" rTime=""00:00:00.5158032"" bgnew=""False"" nF'"</definedName>
    <definedName name="_AMO_ContentDefinition_767791925.2" hidden="1">"'mt=""False"" grphSet=""False"" imgY=""0"" imgX=""0""&gt;_x000D_
  &lt;files /&gt;_x000D_
  &lt;param n=""DisplayName"" v=""Import Monthly Mapics Data for FD67"" /&gt;_x000D_
  &lt;param n=""ServerName"" v=""SASMain"" /&gt;_x000D_
  &lt;param n=""ResultsOnServer"" v=""False"" /&gt;_x000D_
  &lt;param n=""AMO'"</definedName>
    <definedName name="_AMO_ContentDefinition_767791925.3" hidden="1">"'_Version"" v=""2.1"" /&gt;_x000D_
  &lt;param n=""UIParameter_0"" v=""analysis::ACTUAL"" /&gt;_x000D_
  &lt;param n=""UIParameter_1"" v=""period::200806"" /&gt;_x000D_
  &lt;param n=""UIParameter_2"" v=""cycle::Vestas2"" /&gt;_x000D_
  &lt;param n=""UIParameter_3"" v=""acttype::1"" /&gt;_x000D_
  &lt;param '"</definedName>
    <definedName name="_AMO_ContentDefinition_767791925.4" hidden="1">"'n=""UIParameter_4"" v=""fd::67"" /&gt;_x000D_
  &lt;param n=""UIParameter_5"" v=""country::DK"" /&gt;_x000D_
  &lt;param n=""UIParameter_6"" v=""currency::DKK"" /&gt;_x000D_
  &lt;param n=""UIParameter_7"" v=""schema::AMFLIBL"" /&gt;_x000D_
  &lt;param n=""UIParameters"" v=""8"" /&gt;_x000D_
  &lt;param n=""'"</definedName>
    <definedName name="_AMO_ContentDefinition_767791925.5" hidden="1">"'StoredProcessID"" v=""A5OM1V0E.AY0006ZV"" /&gt;_x000D_
  &lt;param n=""StoredProcessPath"" v=""Monthly Data Load/Vestas BU Tower/Import Monthly Mapics Data for FD67"" /&gt;_x000D_
  &lt;param n=""RepositoryName"" v=""Foundation"" /&gt;_x000D_
  &lt;param n=""ClassName"" v=""SAS.OfficeAd'"</definedName>
    <definedName name="_AMO_ContentDefinition_767791925.6" hidden="1">"'din.StoredProcess"" /&gt;_x000D_
  &lt;param n=""NoVisuals"" v=""1"" /&gt;_x000D_
&lt;/ContentDefinition&gt;'"</definedName>
    <definedName name="_AMO_XmlVersion" hidden="1">"'1'"</definedName>
    <definedName name="_anc1" localSheetId="3">#REF!</definedName>
    <definedName name="_anc1">#REF!</definedName>
    <definedName name="_anc2" localSheetId="3">#REF!</definedName>
    <definedName name="_anc2">#REF!</definedName>
    <definedName name="_anc3" localSheetId="3">#REF!</definedName>
    <definedName name="_anc3">#REF!</definedName>
    <definedName name="_anc5">#REF!</definedName>
    <definedName name="_anc6">#REF!</definedName>
    <definedName name="_asd6"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bdm.096A50DF1C3F48FEBA893D4DD02646F5.edm" hidden="1">#REF!</definedName>
    <definedName name="_bdm.0F0DB59666B84D91AFA69B74E9A0A3BA.edm" hidden="1">#REF!</definedName>
    <definedName name="_bdm.11b38f20d2754b75b1713419a709ea27.edm" hidden="1">#REF!</definedName>
    <definedName name="_bdm.16E80409AC834F2B848430653FFC1D1F.edm" hidden="1">#REF!</definedName>
    <definedName name="_bdm.1af33be101b7455c89e64a27507faaa0.edm" hidden="1">#REF!</definedName>
    <definedName name="_bdm.2B48A50679604B9C91C8F934B764AA9A.edm" hidden="1">#REF!</definedName>
    <definedName name="_bdm.2D129DD5104046A181588752E2F853B4.edm" hidden="1">#REF!</definedName>
    <definedName name="_bdm.4043FA31CE5A4645B6996D76475904F6.edm" hidden="1">#REF!</definedName>
    <definedName name="_bdm.4B77C271E0A34AA39783CC8280DC280C.edm" hidden="1">#REF!</definedName>
    <definedName name="_bdm.4C3D4FE1F22B47F79DFD0D494721F987.edm" hidden="1">#REF!</definedName>
    <definedName name="_bdm.4E262E8C77244916A17A54D238168E64.edm" hidden="1">#REF!</definedName>
    <definedName name="_bdm.65266C54C7BA4E36BF3C3B98DE64871F.edm" hidden="1">#REF!</definedName>
    <definedName name="_bdm.7361F215D7194432B07ABD083DF811B1.edm" hidden="1">#REF!</definedName>
    <definedName name="_bdm.8b3892ea852b432d81db77c7cce1d215.edm" hidden="1">#REF!</definedName>
    <definedName name="_bdm.8CD269A8379847EC9C1D78F67BFBC6B1.edm" hidden="1">#REF!</definedName>
    <definedName name="_bdm.97B4EF6148FD49D2A0B5737D0BFB1944.edm" hidden="1">#REF!</definedName>
    <definedName name="_bdm.9B1712EF6B0A43EB8074382E498CA218.edm" hidden="1">#REF!</definedName>
    <definedName name="_bdm.9C46C88F3AF64137ADD314C5C68CD139.edm" hidden="1">#REF!</definedName>
    <definedName name="_bdm.9F1CCE2AEE6A48DBBD852CBC183CFF22.edm" hidden="1">#REF!</definedName>
    <definedName name="_bdm.a65d39095c414591b366bb06b1f303c4.edm" hidden="1">#REF!</definedName>
    <definedName name="_bdm.BA37B6920EDC472F8FBB350C1F1EF379.edm" hidden="1">#REF!</definedName>
    <definedName name="_bdm.CA66586372034CC3BCD72605944BD478.edm" hidden="1">#REF!</definedName>
    <definedName name="_bdm.CC47E109A9B94C9DA62BA199DCB7BD99.edm" hidden="1">#REF!</definedName>
    <definedName name="_bdm.D10A3F751E414A2CA866B65D30260C2F.edm" hidden="1">#REF!</definedName>
    <definedName name="_bdm.D6B044A0C1BB435E9B04AB2A7EB3B677.edm" hidden="1">#REF!</definedName>
    <definedName name="_bdm.e3d26e56240341188fc1cb610df7a0fd.edm" hidden="1">#REF!</definedName>
    <definedName name="_bdm.F68D1701D97941C5A92A5C2825309E9D.edm" hidden="1">#REF!</definedName>
    <definedName name="_bdm.FB4DFC142B7F4655AA9D0707CF81BAD1.edm" hidden="1">#REF!</definedName>
    <definedName name="_bdm.fd4fdfd7594d4ce6bb2f4017d8cfe5bf.edm" hidden="1">#REF!</definedName>
    <definedName name="_del1" hidden="1">#REF!</definedName>
    <definedName name="_del10" hidden="1">#REF!</definedName>
    <definedName name="_del11" hidden="1">#REF!</definedName>
    <definedName name="_del12" hidden="1">#REF!</definedName>
    <definedName name="_del13" hidden="1">#REF!</definedName>
    <definedName name="_del14" hidden="1">#REF!</definedName>
    <definedName name="_del15" hidden="1">#REF!</definedName>
    <definedName name="_del16" hidden="1">#REF!</definedName>
    <definedName name="_del18" hidden="1">#REF!</definedName>
    <definedName name="_del2" hidden="1">#REF!</definedName>
    <definedName name="_del20" hidden="1">#REF!</definedName>
    <definedName name="_del22" hidden="1">#REF!</definedName>
    <definedName name="_del24" hidden="1">#REF!</definedName>
    <definedName name="_del26" hidden="1">#REF!</definedName>
    <definedName name="_del28" hidden="1">#REF!</definedName>
    <definedName name="_del3" hidden="1">#REF!</definedName>
    <definedName name="_del30" hidden="1">#REF!</definedName>
    <definedName name="_del32" hidden="1">#REF!</definedName>
    <definedName name="_del34" hidden="1">#REF!</definedName>
    <definedName name="_del38" hidden="1">#REF!</definedName>
    <definedName name="_del4" hidden="1">#REF!</definedName>
    <definedName name="_del41" hidden="1">#REF!</definedName>
    <definedName name="_del43" hidden="1">#REF!</definedName>
    <definedName name="_del5" hidden="1">#REF!</definedName>
    <definedName name="_del6" hidden="1">#REF!</definedName>
    <definedName name="_del7" hidden="1">#REF!</definedName>
    <definedName name="_del8" hidden="1">#REF!</definedName>
    <definedName name="_del9" hidden="1">#REF!</definedName>
    <definedName name="_Dist_Bin" hidden="1">#REF!</definedName>
    <definedName name="_Dist_Values" hidden="1">#REF!</definedName>
    <definedName name="_dle36" hidden="1">#REF!</definedName>
    <definedName name="_EXP5114">#REF!</definedName>
    <definedName name="_EXP5292">#REF!</definedName>
    <definedName name="_EXP58179">#REF!</definedName>
    <definedName name="_EXP5918">#REF!</definedName>
    <definedName name="_EXP9024">#REF!</definedName>
    <definedName name="_EXP904">#REF!</definedName>
    <definedName name="_Fil1" hidden="1">#REF!</definedName>
    <definedName name="_Fill" hidden="1">#REF!</definedName>
    <definedName name="_xlnm._FilterDatabase" localSheetId="14" hidden="1">'ADIT Calc - TOR'!$A$8:$CE$48</definedName>
    <definedName name="_xlnm._FilterDatabase" localSheetId="8" hidden="1">Query!$A$1:$H$187</definedName>
    <definedName name="_xlnm._FilterDatabase" localSheetId="10" hidden="1">'TREEREL25 CWIP as of TYE'!$A$1:$X$329</definedName>
    <definedName name="_GSRATES_1" hidden="1">"CT30000120040614        "</definedName>
    <definedName name="_GSRATES_2" hidden="1">"CF50000119971231        "</definedName>
    <definedName name="_GSRATES_3" hidden="1">"CF50000120031231        "</definedName>
    <definedName name="_GSRATES_4" hidden="1">"CT30000119971127        "</definedName>
    <definedName name="_GSRATES_COUNT" hidden="1">3</definedName>
    <definedName name="_Key1" localSheetId="3" hidden="1">#REF!</definedName>
    <definedName name="_Key1" hidden="1">#REF!</definedName>
    <definedName name="_Key2" localSheetId="3" hidden="1">#REF!</definedName>
    <definedName name="_Key2" hidden="1">#REF!</definedName>
    <definedName name="_ml1" localSheetId="3" hidden="1">#REF!</definedName>
    <definedName name="_ml1" hidden="1">#REF!</definedName>
    <definedName name="_NC11" localSheetId="3">#REF!</definedName>
    <definedName name="_NC11">#REF!</definedName>
    <definedName name="_Order1" hidden="1">255</definedName>
    <definedName name="_Order1_1" hidden="1">255</definedName>
    <definedName name="_Order2" hidden="1">0</definedName>
    <definedName name="_PB1" localSheetId="3" hidden="1">#REF!</definedName>
    <definedName name="_PB1" hidden="1">#REF!</definedName>
    <definedName name="_PB3" hidden="1">#REF!</definedName>
    <definedName name="_qwe100" hidden="1">#REF!</definedName>
    <definedName name="_qwe18" hidden="1">#REF!</definedName>
    <definedName name="_qwe27" hidden="1">#REF!</definedName>
    <definedName name="_qwe36" hidden="1">#REF!</definedName>
    <definedName name="_qwe45" hidden="1">#REF!</definedName>
    <definedName name="_qwe54" hidden="1">#REF!</definedName>
    <definedName name="_qwe63" hidden="1">#REF!</definedName>
    <definedName name="_qwe9" hidden="1">#REF!</definedName>
    <definedName name="_qwe91" hidden="1">#REF!</definedName>
    <definedName name="_Regression_Int" hidden="1">1</definedName>
    <definedName name="_rem3" hidden="1">#REF!</definedName>
    <definedName name="_rem6" hidden="1">#REF!</definedName>
    <definedName name="_RH1" localSheetId="3">#REF!</definedName>
    <definedName name="_RH1">#REF!</definedName>
    <definedName name="_RH2">#REF!</definedName>
    <definedName name="_Sort" hidden="1">#REF!</definedName>
    <definedName name="_sort1" localSheetId="3" hidden="1">#REF!</definedName>
    <definedName name="_sort1" hidden="1">#REF!</definedName>
    <definedName name="_sort2" localSheetId="3" hidden="1">#REF!</definedName>
    <definedName name="_sort2" hidden="1">#REF!</definedName>
    <definedName name="_Table1_In1" localSheetId="3"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BC95" localSheetId="1" hidden="1">{#N/A,#N/A,FALSE,"Co_BalSht";#N/A,#N/A,FALSE,"Co_IncStmt";#N/A,#N/A,FALSE,"Cons_BalSht";#N/A,#N/A,FALSE,"Cons_IncStmt";#N/A,#N/A,FALSE,"Cashflow"}</definedName>
    <definedName name="_TBC95" localSheetId="3" hidden="1">{#N/A,#N/A,FALSE,"Co_BalSht";#N/A,#N/A,FALSE,"Co_IncStmt";#N/A,#N/A,FALSE,"Cons_BalSht";#N/A,#N/A,FALSE,"Cons_IncStmt";#N/A,#N/A,FALSE,"Cashflow"}</definedName>
    <definedName name="_TBC95" hidden="1">{#N/A,#N/A,FALSE,"Co_BalSht";#N/A,#N/A,FALSE,"Co_IncStmt";#N/A,#N/A,FALSE,"Cons_BalSht";#N/A,#N/A,FALSE,"Cons_IncStmt";#N/A,#N/A,FALSE,"Cashflow"}</definedName>
    <definedName name="_WRK1" localSheetId="1">#REF!</definedName>
    <definedName name="_WRK1">#REF!</definedName>
    <definedName name="_WRK2" localSheetId="1">#REF!</definedName>
    <definedName name="_WRK2">#REF!</definedName>
    <definedName name="_WSH7">#REF!</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x2" hidden="1">#REF!</definedName>
    <definedName name="_za3" hidden="1">#REF!</definedName>
    <definedName name="a">#REF!</definedName>
    <definedName name="aa" localSheetId="1" hidden="1">{"FAC_SUMMARY",#N/A,FALSE,"Summaries"}</definedName>
    <definedName name="aa" localSheetId="3" hidden="1">{"FAC_SUMMARY",#N/A,FALSE,"Summaries"}</definedName>
    <definedName name="aa" hidden="1">{"FAC_SUMMARY",#N/A,FALSE,"Summaries"}</definedName>
    <definedName name="AAA_DOCTOPS" hidden="1">"AAA_SET"</definedName>
    <definedName name="AAA_duser" hidden="1">"OFF"</definedName>
    <definedName name="AAA_u999998" hidden="1">"nlfoote@970721231427"</definedName>
    <definedName name="AAA_u999999" hidden="1">"nlfoote@970721231348"</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1" hidden="1">{"inputs raw data",#N/A,TRUE,"INPUT"}</definedName>
    <definedName name="abc" localSheetId="3" hidden="1">{"inputs raw data",#N/A,TRUE,"INPUT"}</definedName>
    <definedName name="abc" hidden="1">{"inputs raw data",#N/A,TRUE,"INPUT"}</definedName>
    <definedName name="ABO_SC_SRP">#REF!</definedName>
    <definedName name="ABO_SRP">#REF!</definedName>
    <definedName name="Acadia" localSheetId="1" hidden="1">{"calspreads",#N/A,FALSE,"Sheet1";"curves",#N/A,FALSE,"Sheet1";"libor",#N/A,FALSE,"Sheet1"}</definedName>
    <definedName name="Acadia" localSheetId="3" hidden="1">{"calspreads",#N/A,FALSE,"Sheet1";"curves",#N/A,FALSE,"Sheet1";"libor",#N/A,FALSE,"Sheet1"}</definedName>
    <definedName name="Acadia" hidden="1">{"calspreads",#N/A,FALSE,"Sheet1";"curves",#N/A,FALSE,"Sheet1";"libor",#N/A,FALSE,"Sheet1"}</definedName>
    <definedName name="AccessDatabase" hidden="1">"G:\Accounting\CES\200012\200012 CPN Financial Settlements.mdb"</definedName>
    <definedName name="Accr">#REF!</definedName>
    <definedName name="ActExcessAmt" localSheetId="3">#REF!</definedName>
    <definedName name="ActExcessAmt">#REF!</definedName>
    <definedName name="ActGrTaxAmt" localSheetId="3">#REF!</definedName>
    <definedName name="ActGrTaxAmt">#REF!</definedName>
    <definedName name="ActKWHExcess" localSheetId="3">#REF!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ctuals">#REF!</definedName>
    <definedName name="ad" localSheetId="1" hidden="1">{"calspreads",#N/A,FALSE,"Sheet1";"curves",#N/A,FALSE,"Sheet1";"libor",#N/A,FALSE,"Sheet1"}</definedName>
    <definedName name="ad" localSheetId="3" hidden="1">{"calspreads",#N/A,FALSE,"Sheet1";"curves",#N/A,FALSE,"Sheet1";"libor",#N/A,FALSE,"Sheet1"}</definedName>
    <definedName name="ad" hidden="1">{"calspreads",#N/A,FALSE,"Sheet1";"curves",#N/A,FALSE,"Sheet1";"libor",#N/A,FALSE,"Sheet1"}</definedName>
    <definedName name="AddedFixed1Adder" hidden="1">#REF!</definedName>
    <definedName name="AddedFixed2Adder" hidden="1">#REF!</definedName>
    <definedName name="AddedFixed3Adder" hidden="1">#REF!</definedName>
    <definedName name="AddedRev1Adder" hidden="1">#REF!</definedName>
    <definedName name="AddedRev2Adder" hidden="1">#REF!</definedName>
    <definedName name="AddedRev3Adder" hidden="1">#REF!</definedName>
    <definedName name="AddedRev4Adder" hidden="1">#REF!</definedName>
    <definedName name="AddedRevSelection" hidden="1">#REF!</definedName>
    <definedName name="Additional_Expenses_Title1" hidden="1">#REF!</definedName>
    <definedName name="Additional_Expenses_Title2" hidden="1">#REF!</definedName>
    <definedName name="Additional_Expenses_Title3" hidden="1">#REF!</definedName>
    <definedName name="Additional_Revenues_Title1" hidden="1">#REF!</definedName>
    <definedName name="Additional_Revenues_Title2" hidden="1">#REF!</definedName>
    <definedName name="Additional_Revenues_Title3" hidden="1">#REF!</definedName>
    <definedName name="Additional_Revenues_Title4" hidden="1">#REF!</definedName>
    <definedName name="ADFIT" localSheetId="3">#REF!</definedName>
    <definedName name="ADFIT">#REF!</definedName>
    <definedName name="ADFIT190" localSheetId="3">#REF!</definedName>
    <definedName name="ADFIT190">#REF!</definedName>
    <definedName name="ADFIT283" localSheetId="3">#REF!</definedName>
    <definedName name="ADFIT283">#REF!</definedName>
    <definedName name="adj_2017">#REF!</definedName>
    <definedName name="adj_2019">#REF!</definedName>
    <definedName name="AdminChg" localSheetId="3">#REF!</definedName>
    <definedName name="AdminChg">#REF!</definedName>
    <definedName name="AEP" localSheetId="3">#REF!</definedName>
    <definedName name="AEP">#REF!</definedName>
    <definedName name="AGLABOR" localSheetId="3">#REF!</definedName>
    <definedName name="AGLABOR">#REF!</definedName>
    <definedName name="AGROSSPLT">#REF!</definedName>
    <definedName name="ALABOR">#REF!</definedName>
    <definedName name="All_Divisions" hidden="1">#REF!</definedName>
    <definedName name="ALLFUELANDFLYASH">#REF!</definedName>
    <definedName name="Alloc02">#REF!</definedName>
    <definedName name="Alloc03">#REF!</definedName>
    <definedName name="AllocFactors" localSheetId="5">#REF!</definedName>
    <definedName name="AllocFactors" localSheetId="1">#REF!</definedName>
    <definedName name="AllocFactors">#REF!</definedName>
    <definedName name="AllocTY" localSheetId="3">#REF!</definedName>
    <definedName name="AllocTY">#REF!</definedName>
    <definedName name="ALLOFACTINPUT" localSheetId="3">#REF!</definedName>
    <definedName name="ALLOFACTINPUT">#REF!</definedName>
    <definedName name="AMATSUP" localSheetId="3">#REF!</definedName>
    <definedName name="AMATSUP">#REF!</definedName>
    <definedName name="Amort">#REF!</definedName>
    <definedName name="Amort2">#REF!</definedName>
    <definedName name="Amort3">#REF!</definedName>
    <definedName name="ANETPLANT" localSheetId="3">#REF!</definedName>
    <definedName name="ANETPLANT">#REF!</definedName>
    <definedName name="ANFREV" localSheetId="3">#REF!</definedName>
    <definedName name="ANFREV">#REF!</definedName>
    <definedName name="ANMTAX" localSheetId="3">#REF!</definedName>
    <definedName name="ANMTAX">#REF!</definedName>
    <definedName name="anscount" hidden="1">3</definedName>
    <definedName name="ANTPLTXPV" localSheetId="3">#REF!</definedName>
    <definedName name="ANTPLTXPV">#REF!</definedName>
    <definedName name="APBO_Act">#REF!</definedName>
    <definedName name="APBO_Inact">#REF!</definedName>
    <definedName name="APCO" localSheetId="3">#REF!</definedName>
    <definedName name="APCO">#REF!</definedName>
    <definedName name="APLTXPV3CTR" localSheetId="3">#REF!</definedName>
    <definedName name="APLTXPV3CTR">#REF!</definedName>
    <definedName name="APLTXPVPROD" localSheetId="3">#REF!</definedName>
    <definedName name="APLTXPVPROD">#REF!</definedName>
    <definedName name="APR" localSheetId="3">#REF!</definedName>
    <definedName name="APR">#REF!</definedName>
    <definedName name="APREPAY" localSheetId="3">#REF!</definedName>
    <definedName name="APREPAY">#REF!</definedName>
    <definedName name="APRETAXINC" localSheetId="3">#REF!</definedName>
    <definedName name="APRETAXINC">#REF!</definedName>
    <definedName name="APRILFACTOR" localSheetId="3">#REF!</definedName>
    <definedName name="APRILFACTOR">#REF!</definedName>
    <definedName name="APRILINTEREST">#REF!</definedName>
    <definedName name="APRILSURCHARGE">#REF!</definedName>
    <definedName name="APROD4CP">#REF!</definedName>
    <definedName name="APRODLABOR">#REF!</definedName>
    <definedName name="APVCOMTR">#REF!</definedName>
    <definedName name="APVPRODTR">#REF!</definedName>
    <definedName name="APVPRODX3">#REF!</definedName>
    <definedName name="ARange16" hidden="1">#REF!</definedName>
    <definedName name="ARATEBASE" localSheetId="3">#REF!</definedName>
    <definedName name="ARATEBASE">#REF!</definedName>
    <definedName name="AS2DocOpenMode" hidden="1">"AS2DocumentEdit"</definedName>
    <definedName name="AS2NamedRange" hidden="1">41</definedName>
    <definedName name="ASD" localSheetId="1">#REF!</definedName>
    <definedName name="ASD">#REF!</definedName>
    <definedName name="asdf" localSheetId="3" hidden="1">#REF!</definedName>
    <definedName name="asdf" hidden="1">#REF!</definedName>
    <definedName name="asdf5" localSheetId="3" hidden="1">#REF!</definedName>
    <definedName name="asdf5" hidden="1">#REF!</definedName>
    <definedName name="asofdate">#REF!</definedName>
    <definedName name="ASSETS" localSheetId="3">#REF!</definedName>
    <definedName name="ASSETS">#REF!</definedName>
    <definedName name="assumptions" localSheetId="1" hidden="1">{"clp_bs_doc",#N/A,FALSE,"CLP";"clp_is_doc",#N/A,FALSE,"CLP";"clp_cf_doc",#N/A,FALSE,"CLP";"clp_fr_doc",#N/A,FALSE,"CLP"}</definedName>
    <definedName name="assumptions" localSheetId="3" hidden="1">{"clp_bs_doc",#N/A,FALSE,"CLP";"clp_is_doc",#N/A,FALSE,"CLP";"clp_cf_doc",#N/A,FALSE,"CLP";"clp_fr_doc",#N/A,FALSE,"CLP"}</definedName>
    <definedName name="assumptions" hidden="1">{"clp_bs_doc",#N/A,FALSE,"CLP";"clp_is_doc",#N/A,FALSE,"CLP";"clp_cf_doc",#N/A,FALSE,"CLP";"clp_fr_doc",#N/A,FALSE,"CLP"}</definedName>
    <definedName name="AssumSEComb" localSheetId="1" hidden="1">{"clp_bs_doc",#N/A,FALSE,"CLP";"clp_is_doc",#N/A,FALSE,"CLP";"clp_cf_doc",#N/A,FALSE,"CLP";"clp_fr_doc",#N/A,FALSE,"CLP"}</definedName>
    <definedName name="AssumSEComb" localSheetId="3" hidden="1">{"clp_bs_doc",#N/A,FALSE,"CLP";"clp_is_doc",#N/A,FALSE,"CLP";"clp_cf_doc",#N/A,FALSE,"CLP";"clp_fr_doc",#N/A,FALSE,"CLP"}</definedName>
    <definedName name="AssumSEComb" hidden="1">{"clp_bs_doc",#N/A,FALSE,"CLP";"clp_is_doc",#N/A,FALSE,"CLP";"clp_cf_doc",#N/A,FALSE,"CLP";"clp_fr_doc",#N/A,FALSE,"CLP"}</definedName>
    <definedName name="ATRAN4CP" localSheetId="3">#REF!</definedName>
    <definedName name="ATRAN4CP">#REF!</definedName>
    <definedName name="Attach3" localSheetId="1" hidden="1">{"Grant",#N/A,FALSE,"Grant";"GP Developer",#N/A,FALSE,"GP &amp; Dev Loans";"Operating Analysis",#N/A,FALSE,"Operations";"Tax Credit",#N/A,FALSE,"Tax Credits";"Tax Credit Analysis",#N/A,FALSE,"TC Analysis"}</definedName>
    <definedName name="Attach3" localSheetId="3" hidden="1">{"Grant",#N/A,FALSE,"Grant";"GP Developer",#N/A,FALSE,"GP &amp; Dev Loans";"Operating Analysis",#N/A,FALSE,"Operations";"Tax Credit",#N/A,FALSE,"Tax Credits";"Tax Credit Analysis",#N/A,FALSE,"TC Analysis"}</definedName>
    <definedName name="Attach3" hidden="1">{"Grant",#N/A,FALSE,"Grant";"GP Developer",#N/A,FALSE,"GP &amp; Dev Loans";"Operating Analysis",#N/A,FALSE,"Operations";"Tax Credit",#N/A,FALSE,"Tax Credits";"Tax Credit Analysis",#N/A,FALSE,"TC Analysis"}</definedName>
    <definedName name="AUG">#REF!</definedName>
    <definedName name="AUGUSTFACTOR" localSheetId="3">#REF!</definedName>
    <definedName name="AUGUSTFACTOR">#REF!</definedName>
    <definedName name="AUGUSTINTEREST" localSheetId="3">#REF!</definedName>
    <definedName name="AUGUSTINTEREST">#REF!</definedName>
    <definedName name="AUGUSTSURCHARGE" localSheetId="3">#REF!</definedName>
    <definedName name="AUGUSTSURCHARGE">#REF!</definedName>
    <definedName name="AVRGPWRFCTR">#REF!</definedName>
    <definedName name="AZTAX">#REF!</definedName>
    <definedName name="B1HRSCRMO">#REF!</definedName>
    <definedName name="B2HRSCRMO">#REF!</definedName>
    <definedName name="B2TR_C1SO_0001">#REF!</definedName>
    <definedName name="B2TR_C1SO_0002">#REF!</definedName>
    <definedName name="B2TR_C1SO_0003">#REF!</definedName>
    <definedName name="B2TR_C1SO_014A">#REF!</definedName>
    <definedName name="B2TR_C1SO_014ADSIT">#REF!</definedName>
    <definedName name="B2TR_C1SO_014C">#REF!</definedName>
    <definedName name="B2TR_C1SO_014CDSIT">#REF!</definedName>
    <definedName name="B2TR_C1SO_014VDSIT">#REF!</definedName>
    <definedName name="B2TR_C1SO_014WDSIT">#REF!</definedName>
    <definedName name="B2TR_C1SO_210A">#REF!</definedName>
    <definedName name="B2TR_C1SO_210B">#REF!</definedName>
    <definedName name="B2TR_C1SO_210E">#REF!</definedName>
    <definedName name="B2TR_C1SO_211A">#REF!</definedName>
    <definedName name="B2TR_C1SO_220A">#REF!</definedName>
    <definedName name="B2TR_C1SO_220E">#REF!</definedName>
    <definedName name="B2TR_C1SO_230A">#REF!</definedName>
    <definedName name="B2TR_C1SO_230B">#REF!</definedName>
    <definedName name="B2TR_C1SO_230G">#REF!</definedName>
    <definedName name="B2TR_C1SO_230I">#REF!</definedName>
    <definedName name="B2TR_C1SO_230J">#REF!</definedName>
    <definedName name="B2TR_C1SO_230K">#REF!</definedName>
    <definedName name="B2TR_C1SO_230X">#REF!</definedName>
    <definedName name="B2TR_C1SO_232A">#REF!</definedName>
    <definedName name="B2TR_C1SO_232C">#REF!</definedName>
    <definedName name="B2TR_C1SO_232K">#REF!</definedName>
    <definedName name="B2TR_C1SO_232M">#REF!</definedName>
    <definedName name="B2TR_C1SO_234F">#REF!</definedName>
    <definedName name="B2TR_C1SO_234Q">#REF!</definedName>
    <definedName name="B2TR_C1SO_280A">#REF!</definedName>
    <definedName name="B2TR_C1SO_280D">#REF!</definedName>
    <definedName name="B2TR_C1SO_280E">#REF!</definedName>
    <definedName name="B2TR_C1SO_280F">#REF!</definedName>
    <definedName name="B2TR_C1SO_280H">#REF!</definedName>
    <definedName name="B2TR_C1SO_280J">#REF!</definedName>
    <definedName name="B2TR_C1SO_280Y">#REF!</definedName>
    <definedName name="B2TR_C1SO_282A">#REF!</definedName>
    <definedName name="B2TR_C1SO_282B">#REF!</definedName>
    <definedName name="B2TR_C1SO_295A">#REF!</definedName>
    <definedName name="B2TR_C1SO_295D">#REF!</definedName>
    <definedName name="B2TR_C1SO_310A">#REF!</definedName>
    <definedName name="B2TR_C1SO_310D">#REF!</definedName>
    <definedName name="B2TR_C1SO_310E">#REF!</definedName>
    <definedName name="B2TR_C1SO_320A">#REF!</definedName>
    <definedName name="B2TR_C1SO_320D">#REF!</definedName>
    <definedName name="B2TR_C1SO_320I">#REF!</definedName>
    <definedName name="B2TR_C1SO_320L">#REF!</definedName>
    <definedName name="B2TR_C1SO_320S">#REF!</definedName>
    <definedName name="B2TR_C1SO_320U">#REF!</definedName>
    <definedName name="B2TR_C1SO_330D">#REF!</definedName>
    <definedName name="B2TR_C1SO_345A">#REF!</definedName>
    <definedName name="B2TR_C1SO_345B">#REF!</definedName>
    <definedName name="B2TR_C1SO_350A">#REF!</definedName>
    <definedName name="B2TR_C1SO_360A">#REF!</definedName>
    <definedName name="B2TR_C1SO_380F">#REF!</definedName>
    <definedName name="B2TR_C1SO_380J">#REF!</definedName>
    <definedName name="B2TR_C1SO_390A">#REF!</definedName>
    <definedName name="B2TR_C1SO_390C">#REF!</definedName>
    <definedName name="B2TR_C1SO_390D">#REF!</definedName>
    <definedName name="B2TR_C1SO_390E">#REF!</definedName>
    <definedName name="B2TR_C1SO_390F">#REF!</definedName>
    <definedName name="B2TR_C1SO_410A">#REF!</definedName>
    <definedName name="B2TR_C1SO_430I">#REF!</definedName>
    <definedName name="B2TR_C1SO_430J">#REF!</definedName>
    <definedName name="B2TR_C1SO_432A">#REF!</definedName>
    <definedName name="B2TR_C1SO_432C">#REF!</definedName>
    <definedName name="B2TR_C1SO_432D">#REF!</definedName>
    <definedName name="B2TR_C1SO_432G">#REF!</definedName>
    <definedName name="B2TR_C1SO_432I">#REF!</definedName>
    <definedName name="B2TR_C1SO_432M">#REF!</definedName>
    <definedName name="B2TR_C1SO_433A">#REF!</definedName>
    <definedName name="B2TR_C1SO_433C">#REF!</definedName>
    <definedName name="B2TR_C1SO_433D">#REF!</definedName>
    <definedName name="B2TR_C1SO_433F">#REF!</definedName>
    <definedName name="B2TR_C1SO_460A">#REF!</definedName>
    <definedName name="B2TR_C1SO_510B">#REF!</definedName>
    <definedName name="B2TR_C1SO_510H">#REF!</definedName>
    <definedName name="B2TR_C1SO_510I">#REF!</definedName>
    <definedName name="B2TR_C1SO_510M">#REF!</definedName>
    <definedName name="B2TR_C1SO_520A">#REF!</definedName>
    <definedName name="B2TR_C1SO_520X">#REF!</definedName>
    <definedName name="B2TR_C1SO_520Y">#REF!</definedName>
    <definedName name="B2TR_C1SO_531A">#REF!</definedName>
    <definedName name="B2TR_C1SO_531B">#REF!</definedName>
    <definedName name="B2TR_C1SO_531H">#REF!</definedName>
    <definedName name="B2TR_C1SO_532A">#REF!</definedName>
    <definedName name="B2TR_C1SO_532C">#REF!</definedName>
    <definedName name="B2TR_C1SO_532D">#REF!</definedName>
    <definedName name="B2TR_C1SO_532E">#REF!</definedName>
    <definedName name="B2TR_C1SO_532F">#REF!</definedName>
    <definedName name="B2TR_C1SO_532G">#REF!</definedName>
    <definedName name="B2TR_C1SO_532H">#REF!</definedName>
    <definedName name="B2TR_C1SO_533A">#REF!</definedName>
    <definedName name="B2TR_C1SO_533D">#REF!</definedName>
    <definedName name="B2TR_C1SO_533E">#REF!</definedName>
    <definedName name="B2TR_C1SO_533J">#REF!</definedName>
    <definedName name="B2TR_C1SO_534A">#REF!</definedName>
    <definedName name="B2TR_C1SO_560D">#REF!</definedName>
    <definedName name="B2TR_C1SO_560J">#REF!</definedName>
    <definedName name="B2TR_C1SO_561A">#REF!</definedName>
    <definedName name="B2TR_C1SO_561D">#REF!</definedName>
    <definedName name="B2TR_C1SO_561I">#REF!</definedName>
    <definedName name="B2TR_C1SO_561J">#REF!</definedName>
    <definedName name="B2TR_C1SO_562B">#REF!</definedName>
    <definedName name="B2TR_C1SO_562H">#REF!</definedName>
    <definedName name="B2TR_C1SO_575E">#REF!</definedName>
    <definedName name="B2TR_C1SO_575G">#REF!</definedName>
    <definedName name="B2TR_C1SO_576E">#REF!</definedName>
    <definedName name="B2TR_C1SO_576F">#REF!</definedName>
    <definedName name="B2TR_C1SO_601E">#REF!</definedName>
    <definedName name="B2TR_C1SO_601G">#REF!</definedName>
    <definedName name="B2TR_C1SO_601T">#REF!</definedName>
    <definedName name="B2TR_C1SO_602A">#REF!</definedName>
    <definedName name="B2TR_C1SO_603A">#REF!</definedName>
    <definedName name="B2TR_C1SO_603G">#REF!</definedName>
    <definedName name="B2TR_C1SO_605B">#REF!</definedName>
    <definedName name="B2TR_C1SO_605C">#REF!</definedName>
    <definedName name="B2TR_C1SO_605E">#REF!</definedName>
    <definedName name="B2TR_C1SO_605F">#REF!</definedName>
    <definedName name="B2TR_C1SO_605I">#REF!</definedName>
    <definedName name="B2TR_C1SO_605K">#REF!</definedName>
    <definedName name="B2TR_C1SO_605O">#REF!</definedName>
    <definedName name="B2TR_C1SO_605P">#REF!</definedName>
    <definedName name="B2TR_C1SO_605T">#REF!</definedName>
    <definedName name="B2TR_C1SO_605V">#REF!</definedName>
    <definedName name="B2TR_C1SO_605W">#REF!</definedName>
    <definedName name="B2TR_C1SO_609E">#REF!</definedName>
    <definedName name="B2TR_C1SO_610A">#REF!</definedName>
    <definedName name="B2TR_C1SO_610U">#REF!</definedName>
    <definedName name="B2TR_C1SO_610V">#REF!</definedName>
    <definedName name="B2TR_C1SO_611E">#REF!</definedName>
    <definedName name="B2TR_C1SO_611G">#REF!</definedName>
    <definedName name="B2TR_C1SO_611M">#REF!</definedName>
    <definedName name="B2TR_C1SO_611S">#REF!</definedName>
    <definedName name="B2TR_C1SO_611U">#REF!</definedName>
    <definedName name="B2TR_C1SO_611Y">#REF!</definedName>
    <definedName name="B2TR_C1SO_612H">#REF!</definedName>
    <definedName name="B2TR_C1SO_612Y">#REF!</definedName>
    <definedName name="B2TR_C1SO_613B">#REF!</definedName>
    <definedName name="B2TR_C1SO_613C">#REF!</definedName>
    <definedName name="B2TR_C1SO_613E">#REF!</definedName>
    <definedName name="B2TR_C1SO_613F">#REF!</definedName>
    <definedName name="B2TR_C1SO_613I">#REF!</definedName>
    <definedName name="B2TR_C1SO_613K">#REF!</definedName>
    <definedName name="B2TR_C1SO_613L">#REF!</definedName>
    <definedName name="B2TR_C1SO_613N">#REF!</definedName>
    <definedName name="B2TR_C1SO_613O">#REF!</definedName>
    <definedName name="B2TR_C1SO_613R">#REF!</definedName>
    <definedName name="B2TR_C1SO_613S">#REF!</definedName>
    <definedName name="B2TR_C1SO_613U">#REF!</definedName>
    <definedName name="B2TR_C1SO_613Y">#REF!</definedName>
    <definedName name="B2TR_C1SO_614I">#REF!</definedName>
    <definedName name="B2TR_C1SO_614W">#REF!</definedName>
    <definedName name="B2TR_C1SO_614Y">#REF!</definedName>
    <definedName name="B2TR_C1SO_614Z">#REF!</definedName>
    <definedName name="B2TR_C1SO_615B">#REF!</definedName>
    <definedName name="B2TR_C1SO_615C">#REF!</definedName>
    <definedName name="B2TR_C1SO_615Q">#REF!</definedName>
    <definedName name="B2TR_C1SO_615R">#REF!</definedName>
    <definedName name="B2TR_C1SO_615T">#REF!</definedName>
    <definedName name="B2TR_C1SO_615Z">#REF!</definedName>
    <definedName name="B2TR_C1SO_616A">#REF!</definedName>
    <definedName name="B2TR_C1SO_620A">#REF!</definedName>
    <definedName name="B2TR_C1SO_620C">#REF!</definedName>
    <definedName name="B2TR_C1SO_625A">#REF!</definedName>
    <definedName name="B2TR_C1SO_625B">#REF!</definedName>
    <definedName name="B2TR_C1SO_629X">#REF!</definedName>
    <definedName name="B2TR_C1SO_630A">#REF!</definedName>
    <definedName name="B2TR_C1SO_630E">#REF!</definedName>
    <definedName name="B2TR_C1SO_630F">#REF!</definedName>
    <definedName name="B2TR_C1SO_630G">#REF!</definedName>
    <definedName name="B2TR_C1SO_630J">#REF!</definedName>
    <definedName name="B2TR_C1SO_630M">#REF!</definedName>
    <definedName name="B2TR_C1SO_630T">#REF!</definedName>
    <definedName name="B2TR_C1SO_630X">#REF!</definedName>
    <definedName name="B2TR_C1SO_630Y">#REF!</definedName>
    <definedName name="B2TR_C1SO_631C">#REF!</definedName>
    <definedName name="B2TR_C1SO_631D">#REF!</definedName>
    <definedName name="B2TR_C1SO_631E">#REF!</definedName>
    <definedName name="B2TR_C1SO_631F">#REF!</definedName>
    <definedName name="B2TR_C1SO_631G">#REF!</definedName>
    <definedName name="B2TR_C1SO_631H">#REF!</definedName>
    <definedName name="B2TR_C1SO_631I">#REF!</definedName>
    <definedName name="B2TR_C1SO_631J">#REF!</definedName>
    <definedName name="B2TR_C1SO_631S">#REF!</definedName>
    <definedName name="B2TR_C1SO_631U">#REF!</definedName>
    <definedName name="B2TR_C1SO_632G">#REF!</definedName>
    <definedName name="B2TR_C1SO_632O">#REF!</definedName>
    <definedName name="B2TR_C1SO_632P">#REF!</definedName>
    <definedName name="B2TR_C1SO_632U">#REF!</definedName>
    <definedName name="B2TR_C1SO_632Y">#REF!</definedName>
    <definedName name="B2TR_C1SO_633A">#REF!</definedName>
    <definedName name="B2TR_C1SO_635C">#REF!</definedName>
    <definedName name="B2TR_C1SO_638A">#REF!</definedName>
    <definedName name="B2TR_C1SO_638C">#REF!</definedName>
    <definedName name="B2TR_C1SO_641I">#REF!</definedName>
    <definedName name="B2TR_C1SO_641X">#REF!</definedName>
    <definedName name="B2TR_C1SO_641Y">#REF!</definedName>
    <definedName name="B2TR_C1SO_642B">#REF!</definedName>
    <definedName name="B2TR_C1SO_642C">#REF!</definedName>
    <definedName name="B2TR_C1SO_651C">#REF!</definedName>
    <definedName name="B2TR_C1SO_651F">#REF!</definedName>
    <definedName name="B2TR_C1SO_651H">#REF!</definedName>
    <definedName name="B2TR_C1SO_651I">#REF!</definedName>
    <definedName name="B2TR_C1SO_651J">#REF!</definedName>
    <definedName name="B2TR_C1SO_651K">#REF!</definedName>
    <definedName name="B2TR_C1SO_651M">#REF!</definedName>
    <definedName name="B2TR_C1SO_651O">#REF!</definedName>
    <definedName name="B2TR_C1SO_651Q">#REF!</definedName>
    <definedName name="B2TR_C1SO_651R">#REF!</definedName>
    <definedName name="B2TR_C1SO_651S">#REF!</definedName>
    <definedName name="B2TR_C1SO_651T">#REF!</definedName>
    <definedName name="B2TR_C1SO_651U">#REF!</definedName>
    <definedName name="B2TR_C1SO_651W">#REF!</definedName>
    <definedName name="B2TR_C1SO_651X">#REF!</definedName>
    <definedName name="B2TR_C1SO_651Y">#REF!</definedName>
    <definedName name="B2TR_C1SO_651Z">#REF!</definedName>
    <definedName name="B2TR_C1SO_652G">#REF!</definedName>
    <definedName name="B2TR_C1SO_653A">#REF!</definedName>
    <definedName name="B2TR_C1SO_659B">#REF!</definedName>
    <definedName name="B2TR_C1SO_660A">#REF!</definedName>
    <definedName name="B2TR_C1SO_660F">#REF!</definedName>
    <definedName name="B2TR_C1SO_660G">#REF!</definedName>
    <definedName name="B2TR_C1SO_660K">#REF!</definedName>
    <definedName name="B2TR_C1SO_660O">#REF!</definedName>
    <definedName name="B2TR_C1SO_660R">#REF!</definedName>
    <definedName name="B2TR_C1SO_660Z">#REF!</definedName>
    <definedName name="B2TR_C1SO_661B">#REF!</definedName>
    <definedName name="B2TR_C1SO_661R">#REF!</definedName>
    <definedName name="B2TR_C1SO_661S">#REF!</definedName>
    <definedName name="B2TR_C1SO_661T">#REF!</definedName>
    <definedName name="B2TR_C1SO_661U">#REF!</definedName>
    <definedName name="B2TR_C1SO_661V">#REF!</definedName>
    <definedName name="B2TR_C1SO_661X">#REF!</definedName>
    <definedName name="B2TR_C1SO_661Y">#REF!</definedName>
    <definedName name="B2TR_C1SO_662A">#REF!</definedName>
    <definedName name="B2TR_C1SO_662D">#REF!</definedName>
    <definedName name="B2TR_C1SO_663F">#REF!</definedName>
    <definedName name="B2TR_C1SO_663G">#REF!</definedName>
    <definedName name="B2TR_C1SO_663N">#REF!</definedName>
    <definedName name="B2TR_C1SO_663O">#REF!</definedName>
    <definedName name="B2TR_C1SO_663T">#REF!</definedName>
    <definedName name="B2TR_C1SO_663X">#REF!</definedName>
    <definedName name="B2TR_C1SO_664A">#REF!</definedName>
    <definedName name="B2TR_C1SO_664B">#REF!</definedName>
    <definedName name="B2TR_C1SO_664F">#REF!</definedName>
    <definedName name="B2TR_C1SO_664N">#REF!</definedName>
    <definedName name="B2TR_C1SO_664P">#REF!</definedName>
    <definedName name="B2TR_C1SO_664Q">#REF!</definedName>
    <definedName name="B2TR_C1SO_664R">#REF!</definedName>
    <definedName name="B2TR_C1SO_664V">#REF!</definedName>
    <definedName name="B2TR_C1SO_665D">#REF!</definedName>
    <definedName name="B2TR_C1SO_665G">#REF!</definedName>
    <definedName name="B2TR_C1SO_665I">#REF!</definedName>
    <definedName name="B2TR_C1SO_665J">#REF!</definedName>
    <definedName name="B2TR_C1SO_665N">#REF!</definedName>
    <definedName name="B2TR_C1SO_665V">#REF!</definedName>
    <definedName name="B2TR_C1SO_665X">#REF!</definedName>
    <definedName name="B2TR_C1SO_667C">#REF!</definedName>
    <definedName name="B2TR_C1SO_667D">#REF!</definedName>
    <definedName name="B2TR_C1SO_667E">#REF!</definedName>
    <definedName name="B2TR_C1SO_667H">#REF!</definedName>
    <definedName name="B2TR_C1SO_667J">#REF!</definedName>
    <definedName name="B2TR_C1SO_667K">#REF!</definedName>
    <definedName name="B2TR_C1SO_667N">#REF!</definedName>
    <definedName name="B2TR_C1SO_667P">#REF!</definedName>
    <definedName name="B2TR_C1SO_667R">#REF!</definedName>
    <definedName name="B2TR_C1SO_667S">#REF!</definedName>
    <definedName name="B2TR_C1SO_667T">#REF!</definedName>
    <definedName name="B2TR_C1SO_667U">#REF!</definedName>
    <definedName name="B2TR_C1SO_667V">#REF!</definedName>
    <definedName name="B2TR_C1SO_667W">#REF!</definedName>
    <definedName name="B2TR_C1SO_667Y">#REF!</definedName>
    <definedName name="B2TR_C1SO_667Z">#REF!</definedName>
    <definedName name="B2TR_C1SO_668B">#REF!</definedName>
    <definedName name="B2TR_C1SO_668D">#REF!</definedName>
    <definedName name="B2TR_C1SO_668E">#REF!</definedName>
    <definedName name="B2TR_C1SO_668F">#REF!</definedName>
    <definedName name="B2TR_C1SO_668G">#REF!</definedName>
    <definedName name="B2TR_C1SO_668H">#REF!</definedName>
    <definedName name="B2TR_C1SO_668I">#REF!</definedName>
    <definedName name="B2TR_C1SO_668J">#REF!</definedName>
    <definedName name="B2TR_C1SO_668O">#REF!</definedName>
    <definedName name="B2TR_C1SO_668P">#REF!</definedName>
    <definedName name="B2TR_C1SO_668T">#REF!</definedName>
    <definedName name="B2TR_C1SO_668U">#REF!</definedName>
    <definedName name="B2TR_C1SO_668V">#REF!</definedName>
    <definedName name="B2TR_C1SO_669A">#REF!</definedName>
    <definedName name="B2TR_C1SO_669H">#REF!</definedName>
    <definedName name="B2TR_C1SO_669I">#REF!</definedName>
    <definedName name="B2TR_C1SO_669J">#REF!</definedName>
    <definedName name="B2TR_C1SO_669K">#REF!</definedName>
    <definedName name="B2TR_C1SO_669O">#REF!</definedName>
    <definedName name="B2TR_C1SO_669R">#REF!</definedName>
    <definedName name="B2TR_C1SO_669S">#REF!</definedName>
    <definedName name="B2TR_C1SO_669T">#REF!</definedName>
    <definedName name="B2TR_C1SO_669U">#REF!</definedName>
    <definedName name="B2TR_C1SO_669W">#REF!</definedName>
    <definedName name="B2TR_C1SO_669X">#REF!</definedName>
    <definedName name="B2TR_C1SO_669Y">#REF!</definedName>
    <definedName name="B2TR_C1SO_669Z">#REF!</definedName>
    <definedName name="B2TR_C1SO_670D">#REF!</definedName>
    <definedName name="B2TR_C1SO_670F">#REF!</definedName>
    <definedName name="B2TR_C1SO_670H">#REF!</definedName>
    <definedName name="B2TR_C1SO_670I">#REF!</definedName>
    <definedName name="B2TR_C1SO_670N">#REF!</definedName>
    <definedName name="B2TR_C1SO_670O">#REF!</definedName>
    <definedName name="B2TR_C1SO_670P">#REF!</definedName>
    <definedName name="B2TR_C1SO_670Q">#REF!</definedName>
    <definedName name="B2TR_C1SO_670S">#REF!</definedName>
    <definedName name="B2TR_C1SO_670W">#REF!</definedName>
    <definedName name="B2TR_C1SO_670X">#REF!</definedName>
    <definedName name="B2TR_C1SO_670Y">#REF!</definedName>
    <definedName name="B2TR_C1SO_670Z">#REF!</definedName>
    <definedName name="B2TR_C1SO_671A">#REF!</definedName>
    <definedName name="B2TR_C1SO_671B">#REF!</definedName>
    <definedName name="B2TR_C1SO_671D">#REF!</definedName>
    <definedName name="B2TR_C1SO_671F">#REF!</definedName>
    <definedName name="B2TR_C1SO_671G">#REF!</definedName>
    <definedName name="B2TR_C1SO_671H">#REF!</definedName>
    <definedName name="B2TR_C1SO_671I">#REF!</definedName>
    <definedName name="B2TR_C1SO_671J">#REF!</definedName>
    <definedName name="B2TR_C1SO_671K">#REF!</definedName>
    <definedName name="B2TR_C1SO_671L">#REF!</definedName>
    <definedName name="B2TR_C1SO_671M">#REF!</definedName>
    <definedName name="B2TR_C1SO_671N">#REF!</definedName>
    <definedName name="B2TR_C1SO_671O">#REF!</definedName>
    <definedName name="B2TR_C1SO_671P">#REF!</definedName>
    <definedName name="B2TR_C1SO_671Q">#REF!</definedName>
    <definedName name="B2TR_C1SO_671R">#REF!</definedName>
    <definedName name="B2TR_C1SO_671S">#REF!</definedName>
    <definedName name="B2TR_C1SO_671T">#REF!</definedName>
    <definedName name="B2TR_C1SO_671W">#REF!</definedName>
    <definedName name="B2TR_C1SO_671Z">#REF!</definedName>
    <definedName name="B2TR_C1SO_672G">#REF!</definedName>
    <definedName name="B2TR_C1SO_672H">#REF!</definedName>
    <definedName name="B2TR_C1SO_672I">#REF!</definedName>
    <definedName name="B2TR_C1SO_672M">#REF!</definedName>
    <definedName name="B2TR_C1SO_672N">#REF!</definedName>
    <definedName name="B2TR_C1SO_672O">#REF!</definedName>
    <definedName name="B2TR_C1SO_672P">#REF!</definedName>
    <definedName name="B2TR_C1SO_672R">#REF!</definedName>
    <definedName name="B2TR_C1SO_672S">#REF!</definedName>
    <definedName name="B2TR_C1SO_672T">#REF!</definedName>
    <definedName name="B2TR_C1SO_673C">#REF!</definedName>
    <definedName name="B2TR_C1SO_673E">#REF!</definedName>
    <definedName name="B2TR_C1SO_673F">#REF!</definedName>
    <definedName name="B2TR_C1SO_673G">#REF!</definedName>
    <definedName name="B2TR_C1SO_673H">#REF!</definedName>
    <definedName name="B2TR_C1SO_673I">#REF!</definedName>
    <definedName name="B2TR_C1SO_673J">#REF!</definedName>
    <definedName name="B2TR_C1SO_673K">#REF!</definedName>
    <definedName name="B2TR_C1SO_673M">#REF!</definedName>
    <definedName name="B2TR_C1SO_673N">#REF!</definedName>
    <definedName name="B2TR_C1SO_673O">#REF!</definedName>
    <definedName name="B2TR_C1SO_673R">#REF!</definedName>
    <definedName name="B2TR_C1SO_673S">#REF!</definedName>
    <definedName name="B2TR_C1SO_673U">#REF!</definedName>
    <definedName name="B2TR_C1SO_673V">#REF!</definedName>
    <definedName name="B2TR_C1SO_673W">#REF!</definedName>
    <definedName name="B2TR_C1SO_673X">#REF!</definedName>
    <definedName name="B2TR_C1SO_673Y">#REF!</definedName>
    <definedName name="B2TR_C1SO_673Z">#REF!</definedName>
    <definedName name="B2TR_C1SO_674A">#REF!</definedName>
    <definedName name="B2TR_C1SO_674B">#REF!</definedName>
    <definedName name="B2TR_C1SO_674C">#REF!</definedName>
    <definedName name="B2TR_C1SO_674D">#REF!</definedName>
    <definedName name="B2TR_C1SO_674E">#REF!</definedName>
    <definedName name="B2TR_C1SO_674F">#REF!</definedName>
    <definedName name="B2TR_C1SO_674G">#REF!</definedName>
    <definedName name="B2TR_C1SO_674I">#REF!</definedName>
    <definedName name="B2TR_C1SO_674J">#REF!</definedName>
    <definedName name="B2TR_C1SO_674M">#REF!</definedName>
    <definedName name="B2TR_C1SO_674P">#REF!</definedName>
    <definedName name="B2TR_C1SO_674Q">#REF!</definedName>
    <definedName name="B2TR_C1SO_674R">#REF!</definedName>
    <definedName name="B2TR_C1SO_674S">#REF!</definedName>
    <definedName name="B2TR_C1SO_674V">#REF!</definedName>
    <definedName name="B2TR_C1SO_674W">#REF!</definedName>
    <definedName name="B2TR_C1SO_675A">#REF!</definedName>
    <definedName name="B2TR_C1SO_675C">#REF!</definedName>
    <definedName name="B2TR_C1SO_675E">#REF!</definedName>
    <definedName name="B2TR_C1SO_675F">#REF!</definedName>
    <definedName name="B2TR_C1SO_675G">#REF!</definedName>
    <definedName name="B2TR_C1SO_675H">#REF!</definedName>
    <definedName name="B2TR_C1SO_675I">#REF!</definedName>
    <definedName name="B2TR_C1SO_675J">#REF!</definedName>
    <definedName name="B2TR_C1SO_675K">#REF!</definedName>
    <definedName name="B2TR_C1SO_675L">#REF!</definedName>
    <definedName name="B2TR_C1SO_675M">#REF!</definedName>
    <definedName name="B2TR_C1SO_675N">#REF!</definedName>
    <definedName name="B2TR_C1SO_675O">#REF!</definedName>
    <definedName name="B2TR_C1SO_675P">#REF!</definedName>
    <definedName name="B2TR_C1SO_675Q">#REF!</definedName>
    <definedName name="B2TR_C1SO_675R">#REF!</definedName>
    <definedName name="B2TR_C1SO_675S">#REF!</definedName>
    <definedName name="B2TR_C1SO_675T">#REF!</definedName>
    <definedName name="B2TR_C1SO_675U">#REF!</definedName>
    <definedName name="B2TR_C1SO_675V">#REF!</definedName>
    <definedName name="B2TR_C1SO_675W">#REF!</definedName>
    <definedName name="B2TR_C1SO_675X">#REF!</definedName>
    <definedName name="B2TR_C1SO_675Y">#REF!</definedName>
    <definedName name="B2TR_C1SO_675Z">#REF!</definedName>
    <definedName name="B2TR_C1SO_676A">#REF!</definedName>
    <definedName name="B2TR_C1SO_676B">#REF!</definedName>
    <definedName name="B2TR_C1SO_676C">#REF!</definedName>
    <definedName name="B2TR_C1SO_676D">#REF!</definedName>
    <definedName name="B2TR_C1SO_676E">#REF!</definedName>
    <definedName name="B2TR_C1SO_676F">#REF!</definedName>
    <definedName name="B2TR_C1SO_676G">#REF!</definedName>
    <definedName name="B2TR_C1SO_676J">#REF!</definedName>
    <definedName name="B2TR_C1SO_690C">#REF!</definedName>
    <definedName name="B2TR_C1SO_690D">#REF!</definedName>
    <definedName name="B2TR_C1SO_690E">#REF!</definedName>
    <definedName name="B2TR_C1SO_690F">#REF!</definedName>
    <definedName name="B2TR_C1SO_690G">#REF!</definedName>
    <definedName name="B2TR_C1SO_690I">#REF!</definedName>
    <definedName name="B2TR_C1SO_690J">#REF!</definedName>
    <definedName name="B2TR_C1SO_690K">#REF!</definedName>
    <definedName name="B2TR_C1SO_690L">#REF!</definedName>
    <definedName name="B2TR_C1SO_700B">#REF!</definedName>
    <definedName name="B2TR_C1SO_701A">#REF!</definedName>
    <definedName name="B2TR_C1SO_702A">#REF!</definedName>
    <definedName name="B2TR_C1SO_710H">#REF!</definedName>
    <definedName name="B2TR_C1SO_710Q">#REF!</definedName>
    <definedName name="B2TR_C1SO_710Y">#REF!</definedName>
    <definedName name="B2TR_C1SO_711N">#REF!</definedName>
    <definedName name="B2TR_C1SO_711O">#REF!</definedName>
    <definedName name="B2TR_C1SO_711P">#REF!</definedName>
    <definedName name="B2TR_C1SO_712K">#REF!</definedName>
    <definedName name="B2TR_C1SO_712L">#REF!</definedName>
    <definedName name="B2TR_C1SO_712M">#REF!</definedName>
    <definedName name="B2TR_C1SO_712N">#REF!</definedName>
    <definedName name="B2TR_C1SO_811B">#REF!</definedName>
    <definedName name="B2TR_C1SO_811C">#REF!</definedName>
    <definedName name="B2TR_C1SO_813B">#REF!</definedName>
    <definedName name="B2TR_C1SO_813C">#REF!</definedName>
    <definedName name="B2TR_C1SO_841A">#REF!</definedName>
    <definedName name="B2TR_C1SO_841B">#REF!</definedName>
    <definedName name="B2TR_C1SO_841C">#REF!</definedName>
    <definedName name="B2TR_C1SO_842A">#REF!</definedName>
    <definedName name="B2TR_C1SO_842B">#REF!</definedName>
    <definedName name="B2TR_C1SO_842C">#REF!</definedName>
    <definedName name="B2TR_C1SO_843A">#REF!</definedName>
    <definedName name="B2TR_C1SO_844A">#REF!</definedName>
    <definedName name="B2TR_C1SO_845K">#REF!</definedName>
    <definedName name="B2TR_C1SO_846D">#REF!</definedName>
    <definedName name="B2TR_C1SO_846E">#REF!</definedName>
    <definedName name="B2TR_C1SO_846F">#REF!</definedName>
    <definedName name="B2TR_C1SO_846G">#REF!</definedName>
    <definedName name="B2TR_C1SO_846H">#REF!</definedName>
    <definedName name="B2TR_C1SO_846I">#REF!</definedName>
    <definedName name="B2TR_C1SO_850A">#REF!</definedName>
    <definedName name="B2TR_C1SO_850C">#REF!</definedName>
    <definedName name="B2TR_C1SO_900A">#REF!</definedName>
    <definedName name="B2TR_C1SO_900F">#REF!</definedName>
    <definedName name="B2TR_C1SO_900H">#REF!</definedName>
    <definedName name="B2TR_C1SO_900I">#REF!</definedName>
    <definedName name="B2TR_C1SO_900L">#REF!</definedName>
    <definedName name="B2TR_C1SO_905A">#REF!</definedName>
    <definedName name="B2TR_C1SO_905B">#REF!</definedName>
    <definedName name="B2TR_C1SO_905C">#REF!</definedName>
    <definedName name="B2TR_C1SO_905U">#REF!</definedName>
    <definedName name="B2TR_C1SO_906A">#REF!</definedName>
    <definedName name="B2TR_C1SO_906D">#REF!</definedName>
    <definedName name="B2TR_C1SO_906F">#REF!</definedName>
    <definedName name="B2TR_C1SO_906I">#REF!</definedName>
    <definedName name="B2TR_C1SO_906J">#REF!</definedName>
    <definedName name="B2TR_C1SO_906K">#REF!</definedName>
    <definedName name="B2TR_C1SO_906P">#REF!</definedName>
    <definedName name="B2TR_C1SO_906Z">#REF!</definedName>
    <definedName name="B2TR_C1SO_908A">#REF!</definedName>
    <definedName name="B2TR_C1SO_908B">#REF!</definedName>
    <definedName name="B2TR_C1SO_910B">#REF!</definedName>
    <definedName name="B2TR_C1SO_910C">#REF!</definedName>
    <definedName name="B2TR_C1SO_910D">#REF!</definedName>
    <definedName name="B2TR_C1SO_910E">#REF!</definedName>
    <definedName name="B2TR_C1SO_910K">#REF!</definedName>
    <definedName name="B2TR_C1SO_910M">#REF!</definedName>
    <definedName name="B2TR_C1SO_910N">#REF!</definedName>
    <definedName name="B2TR_C1SO_910O">#REF!</definedName>
    <definedName name="B2TR_C1SO_910Q">#REF!</definedName>
    <definedName name="B2TR_C1SO_910S">#REF!</definedName>
    <definedName name="B2TR_C1SO_910U">#REF!</definedName>
    <definedName name="B2TR_C1SO_910X">#REF!</definedName>
    <definedName name="B2TR_C1SO_911I">#REF!</definedName>
    <definedName name="B2TR_C1SO_911J">#REF!</definedName>
    <definedName name="B2TR_C1SO_911K">#REF!</definedName>
    <definedName name="B2TR_C1SO_911L">#REF!</definedName>
    <definedName name="B2TR_C1SO_911M">#REF!</definedName>
    <definedName name="B2TR_C1SO_911Q">#REF!</definedName>
    <definedName name="B2TR_C1SO_911QA">#REF!</definedName>
    <definedName name="B2TR_C1SO_911QB">#REF!</definedName>
    <definedName name="B2TR_C1SO_911S">#REF!</definedName>
    <definedName name="B2TR_C1SO_911V">#REF!</definedName>
    <definedName name="B2TR_C1SO_911W">#REF!</definedName>
    <definedName name="B2TR_C1SO_911Z">#REF!</definedName>
    <definedName name="B2TR_C1SO_912K">#REF!</definedName>
    <definedName name="B2TR_C1SO_913A">#REF!</definedName>
    <definedName name="B2TR_C1SO_913D">#REF!</definedName>
    <definedName name="B2TR_C1SO_913M">#REF!</definedName>
    <definedName name="B2TR_C1SO_914A">#REF!</definedName>
    <definedName name="B2TR_C1SO_914B">#REF!</definedName>
    <definedName name="B2TR_C1SO_914E">#REF!</definedName>
    <definedName name="B2TR_C1SO_914F">#REF!</definedName>
    <definedName name="B2TR_C1SO_914K">#REF!</definedName>
    <definedName name="B2TR_C1SO_914MDSIT">#REF!</definedName>
    <definedName name="B2TR_C1SO_920E">#REF!</definedName>
    <definedName name="B2TR_C1SO_921A">#REF!</definedName>
    <definedName name="B2TR_C1SO_921G">#REF!</definedName>
    <definedName name="B2TR_C1SO_930A">#REF!</definedName>
    <definedName name="B2TR_C1SO_930E">#REF!</definedName>
    <definedName name="B2TR_C1SO_930J">#REF!</definedName>
    <definedName name="B2TR_C1SO_930K">#REF!</definedName>
    <definedName name="B2TR_C1SO_940A">#REF!</definedName>
    <definedName name="B2TR_C1SO_940N">#REF!</definedName>
    <definedName name="B2TR_C1SO_940S">#REF!</definedName>
    <definedName name="B2TR_C1SO_940X">#REF!</definedName>
    <definedName name="B2TR_C1SO_960A">#REF!</definedName>
    <definedName name="B2TR_C1SO_980A">#REF!</definedName>
    <definedName name="B2TR_C1SO_980B">#REF!</definedName>
    <definedName name="B2TR_C1SO_980E">#REF!</definedName>
    <definedName name="B2TR_C1SO_980G">#REF!</definedName>
    <definedName name="B2TR_C1SO_980J">#REF!</definedName>
    <definedName name="B2TR_C1SO_980L">#REF!</definedName>
    <definedName name="B2TR_C1SO_985B">#REF!</definedName>
    <definedName name="B2TR_C1SO_990B">#REF!</definedName>
    <definedName name="B2TR_C1SO_995A">#REF!</definedName>
    <definedName name="B2TR_C1SO_999QFIN48">#REF!</definedName>
    <definedName name="B2TR_C1SO_FIT">#REF!</definedName>
    <definedName name="B2TR_C1SO_INT1">#REF!</definedName>
    <definedName name="B2TR_C1SO_M31">#REF!</definedName>
    <definedName name="B2TR_C1SO_M32">#REF!</definedName>
    <definedName name="B2TR_C1SO_M33">#REF!</definedName>
    <definedName name="B2TR_C1SO_NIT">#REF!</definedName>
    <definedName name="B2TR_C1SO_SIT">#REF!</definedName>
    <definedName name="B2TR_C2SO_0002">#REF!</definedName>
    <definedName name="B2TR_C2SO_0003">#REF!</definedName>
    <definedName name="B2TR_C2SO_230K">#REF!</definedName>
    <definedName name="B2TR_C2SO_234F">#REF!</definedName>
    <definedName name="B2TR_C2SO_310A">#REF!</definedName>
    <definedName name="B2TR_C2SO_310D">#REF!</definedName>
    <definedName name="B2TR_C2SO_310E">#REF!</definedName>
    <definedName name="B2TR_C2SO_320A">#REF!</definedName>
    <definedName name="B2TR_C2SO_320D">#REF!</definedName>
    <definedName name="B2TR_C2SO_320I">#REF!</definedName>
    <definedName name="B2TR_C2SO_320L">#REF!</definedName>
    <definedName name="B2TR_C2SO_320S">#REF!</definedName>
    <definedName name="B2TR_C2SO_320U">#REF!</definedName>
    <definedName name="B2TR_C2SO_330D">#REF!</definedName>
    <definedName name="B2TR_C2SO_390F">#REF!</definedName>
    <definedName name="B2TR_C2SO_410A">#REF!</definedName>
    <definedName name="B2TR_C2SO_430I">#REF!</definedName>
    <definedName name="B2TR_C2SO_430J">#REF!</definedName>
    <definedName name="B2TR_C2SO_432A">#REF!</definedName>
    <definedName name="B2TR_C2SO_432C">#REF!</definedName>
    <definedName name="B2TR_C2SO_432D">#REF!</definedName>
    <definedName name="B2TR_C2SO_432G">#REF!</definedName>
    <definedName name="B2TR_C2SO_432I">#REF!</definedName>
    <definedName name="B2TR_C2SO_432M">#REF!</definedName>
    <definedName name="B2TR_C2SO_433A">#REF!</definedName>
    <definedName name="B2TR_C2SO_433C">#REF!</definedName>
    <definedName name="B2TR_C2SO_433D">#REF!</definedName>
    <definedName name="B2TR_C2SO_433F">#REF!</definedName>
    <definedName name="B2TR_C2SO_520A">#REF!</definedName>
    <definedName name="B2TR_C2SO_520X">#REF!</definedName>
    <definedName name="B2TR_C2SO_520Y">#REF!</definedName>
    <definedName name="B2TR_C2SO_531A">#REF!</definedName>
    <definedName name="B2TR_C2SO_531B">#REF!</definedName>
    <definedName name="B2TR_C2SO_531H">#REF!</definedName>
    <definedName name="B2TR_C2SO_560J">#REF!</definedName>
    <definedName name="B2TR_C2SO_561A">#REF!</definedName>
    <definedName name="B2TR_C2SO_562B">#REF!</definedName>
    <definedName name="B2TR_C2SO_601E">#REF!</definedName>
    <definedName name="B2TR_C2SO_601G">#REF!</definedName>
    <definedName name="B2TR_C2SO_601T">#REF!</definedName>
    <definedName name="B2TR_C2SO_602A">#REF!</definedName>
    <definedName name="B2TR_C2SO_603A">#REF!</definedName>
    <definedName name="B2TR_C2SO_605C">#REF!</definedName>
    <definedName name="B2TR_C2SO_605E">#REF!</definedName>
    <definedName name="B2TR_C2SO_605F">#REF!</definedName>
    <definedName name="B2TR_C2SO_605I">#REF!</definedName>
    <definedName name="B2TR_C2SO_605K">#REF!</definedName>
    <definedName name="B2TR_C2SO_605O">#REF!</definedName>
    <definedName name="B2TR_C2SO_605V">#REF!</definedName>
    <definedName name="B2TR_C2SO_605W">#REF!</definedName>
    <definedName name="B2TR_C2SO_609E">#REF!</definedName>
    <definedName name="B2TR_C2SO_610A">#REF!</definedName>
    <definedName name="B2TR_C2SO_611E">#REF!</definedName>
    <definedName name="B2TR_C2SO_611G">#REF!</definedName>
    <definedName name="B2TR_C2SO_611M">#REF!</definedName>
    <definedName name="B2TR_C2SO_611S">#REF!</definedName>
    <definedName name="B2TR_C2SO_611U">#REF!</definedName>
    <definedName name="B2TR_C2SO_611Y">#REF!</definedName>
    <definedName name="B2TR_C2SO_612Y">#REF!</definedName>
    <definedName name="B2TR_C2SO_613B">#REF!</definedName>
    <definedName name="B2TR_C2SO_613C">#REF!</definedName>
    <definedName name="B2TR_C2SO_613E">#REF!</definedName>
    <definedName name="B2TR_C2SO_613F">#REF!</definedName>
    <definedName name="B2TR_C2SO_613I">#REF!</definedName>
    <definedName name="B2TR_C2SO_613K">#REF!</definedName>
    <definedName name="B2TR_C2SO_613L">#REF!</definedName>
    <definedName name="B2TR_C2SO_613O">#REF!</definedName>
    <definedName name="B2TR_C2SO_613R">#REF!</definedName>
    <definedName name="B2TR_C2SO_613S">#REF!</definedName>
    <definedName name="B2TR_C2SO_613U">#REF!</definedName>
    <definedName name="B2TR_C2SO_613Y">#REF!</definedName>
    <definedName name="B2TR_C2SO_614I">#REF!</definedName>
    <definedName name="B2TR_C2SO_614Z">#REF!</definedName>
    <definedName name="B2TR_C2SO_615B">#REF!</definedName>
    <definedName name="B2TR_C2SO_615C">#REF!</definedName>
    <definedName name="B2TR_C2SO_615Q">#REF!</definedName>
    <definedName name="B2TR_C2SO_615R">#REF!</definedName>
    <definedName name="B2TR_C2SO_615T">#REF!</definedName>
    <definedName name="B2TR_C2SO_616A">#REF!</definedName>
    <definedName name="B2TR_C2SO_620A">#REF!</definedName>
    <definedName name="B2TR_C2SO_620C">#REF!</definedName>
    <definedName name="B2TR_C2SO_625A">#REF!</definedName>
    <definedName name="B2TR_C2SO_625B">#REF!</definedName>
    <definedName name="B2TR_C2SO_629X">#REF!</definedName>
    <definedName name="B2TR_C2SO_630A">#REF!</definedName>
    <definedName name="B2TR_C2SO_630E">#REF!</definedName>
    <definedName name="B2TR_C2SO_630F">#REF!</definedName>
    <definedName name="B2TR_C2SO_630G">#REF!</definedName>
    <definedName name="B2TR_C2SO_630J">#REF!</definedName>
    <definedName name="B2TR_C2SO_630M">#REF!</definedName>
    <definedName name="B2TR_C2SO_630X">#REF!</definedName>
    <definedName name="B2TR_C2SO_630Y">#REF!</definedName>
    <definedName name="B2TR_C2SO_631C">#REF!</definedName>
    <definedName name="B2TR_C2SO_631D">#REF!</definedName>
    <definedName name="B2TR_C2SO_631E">#REF!</definedName>
    <definedName name="B2TR_C2SO_631F">#REF!</definedName>
    <definedName name="B2TR_C2SO_631G">#REF!</definedName>
    <definedName name="B2TR_C2SO_631H">#REF!</definedName>
    <definedName name="B2TR_C2SO_631I">#REF!</definedName>
    <definedName name="B2TR_C2SO_631J">#REF!</definedName>
    <definedName name="B2TR_C2SO_631S">#REF!</definedName>
    <definedName name="B2TR_C2SO_632G">#REF!</definedName>
    <definedName name="B2TR_C2SO_632O">#REF!</definedName>
    <definedName name="B2TR_C2SO_632U">#REF!</definedName>
    <definedName name="B2TR_C2SO_632Y">#REF!</definedName>
    <definedName name="B2TR_C2SO_633A">#REF!</definedName>
    <definedName name="B2TR_C2SO_641I">#REF!</definedName>
    <definedName name="B2TR_C2SO_641X">#REF!</definedName>
    <definedName name="B2TR_C2SO_641Y">#REF!</definedName>
    <definedName name="B2TR_C2SO_642B">#REF!</definedName>
    <definedName name="B2TR_C2SO_642C">#REF!</definedName>
    <definedName name="B2TR_C2SO_651C">#REF!</definedName>
    <definedName name="B2TR_C2SO_651F">#REF!</definedName>
    <definedName name="B2TR_C2SO_651H">#REF!</definedName>
    <definedName name="B2TR_C2SO_651I">#REF!</definedName>
    <definedName name="B2TR_C2SO_651J">#REF!</definedName>
    <definedName name="B2TR_C2SO_651K">#REF!</definedName>
    <definedName name="B2TR_C2SO_651M">#REF!</definedName>
    <definedName name="B2TR_C2SO_651Q">#REF!</definedName>
    <definedName name="B2TR_C2SO_651R">#REF!</definedName>
    <definedName name="B2TR_C2SO_651S">#REF!</definedName>
    <definedName name="B2TR_C2SO_651T">#REF!</definedName>
    <definedName name="B2TR_C2SO_651W">#REF!</definedName>
    <definedName name="B2TR_C2SO_651X">#REF!</definedName>
    <definedName name="B2TR_C2SO_651Y">#REF!</definedName>
    <definedName name="B2TR_C2SO_651Z">#REF!</definedName>
    <definedName name="B2TR_C2SO_659B">#REF!</definedName>
    <definedName name="B2TR_C2SO_660A">#REF!</definedName>
    <definedName name="B2TR_C2SO_660F">#REF!</definedName>
    <definedName name="B2TR_C2SO_660G">#REF!</definedName>
    <definedName name="B2TR_C2SO_660K">#REF!</definedName>
    <definedName name="B2TR_C2SO_660O">#REF!</definedName>
    <definedName name="B2TR_C2SO_660R">#REF!</definedName>
    <definedName name="B2TR_C2SO_660Z">#REF!</definedName>
    <definedName name="B2TR_C2SO_661B">#REF!</definedName>
    <definedName name="B2TR_C2SO_661R">#REF!</definedName>
    <definedName name="B2TR_C2SO_661S">#REF!</definedName>
    <definedName name="B2TR_C2SO_661T">#REF!</definedName>
    <definedName name="B2TR_C2SO_661U">#REF!</definedName>
    <definedName name="B2TR_C2SO_661V">#REF!</definedName>
    <definedName name="B2TR_C2SO_661X">#REF!</definedName>
    <definedName name="B2TR_C2SO_661Y">#REF!</definedName>
    <definedName name="B2TR_C2SO_662D">#REF!</definedName>
    <definedName name="B2TR_C2SO_663F">#REF!</definedName>
    <definedName name="B2TR_C2SO_663G">#REF!</definedName>
    <definedName name="B2TR_C2SO_663N">#REF!</definedName>
    <definedName name="B2TR_C2SO_663O">#REF!</definedName>
    <definedName name="B2TR_C2SO_663T">#REF!</definedName>
    <definedName name="B2TR_C2SO_663X">#REF!</definedName>
    <definedName name="B2TR_C2SO_664A">#REF!</definedName>
    <definedName name="B2TR_C2SO_664B">#REF!</definedName>
    <definedName name="B2TR_C2SO_664F">#REF!</definedName>
    <definedName name="B2TR_C2SO_664N">#REF!</definedName>
    <definedName name="B2TR_C2SO_664P">#REF!</definedName>
    <definedName name="B2TR_C2SO_664Q">#REF!</definedName>
    <definedName name="B2TR_C2SO_664R">#REF!</definedName>
    <definedName name="B2TR_C2SO_664V">#REF!</definedName>
    <definedName name="B2TR_C2SO_665D">#REF!</definedName>
    <definedName name="B2TR_C2SO_665G">#REF!</definedName>
    <definedName name="B2TR_C2SO_665I">#REF!</definedName>
    <definedName name="B2TR_C2SO_665J">#REF!</definedName>
    <definedName name="B2TR_C2SO_665N">#REF!</definedName>
    <definedName name="B2TR_C2SO_665V">#REF!</definedName>
    <definedName name="B2TR_C2SO_665X">#REF!</definedName>
    <definedName name="B2TR_C2SO_667C">#REF!</definedName>
    <definedName name="B2TR_C2SO_667D">#REF!</definedName>
    <definedName name="B2TR_C2SO_667E">#REF!</definedName>
    <definedName name="B2TR_C2SO_667H">#REF!</definedName>
    <definedName name="B2TR_C2SO_667J">#REF!</definedName>
    <definedName name="B2TR_C2SO_667K">#REF!</definedName>
    <definedName name="B2TR_C2SO_667N">#REF!</definedName>
    <definedName name="B2TR_C2SO_667P">#REF!</definedName>
    <definedName name="B2TR_C2SO_667R">#REF!</definedName>
    <definedName name="B2TR_C2SO_667S">#REF!</definedName>
    <definedName name="B2TR_C2SO_667T">#REF!</definedName>
    <definedName name="B2TR_C2SO_667U">#REF!</definedName>
    <definedName name="B2TR_C2SO_667V">#REF!</definedName>
    <definedName name="B2TR_C2SO_667W">#REF!</definedName>
    <definedName name="B2TR_C2SO_667Y">#REF!</definedName>
    <definedName name="B2TR_C2SO_667Z">#REF!</definedName>
    <definedName name="B2TR_C2SO_668B">#REF!</definedName>
    <definedName name="B2TR_C2SO_668F">#REF!</definedName>
    <definedName name="B2TR_C2SO_668G">#REF!</definedName>
    <definedName name="B2TR_C2SO_668H">#REF!</definedName>
    <definedName name="B2TR_C2SO_668O">#REF!</definedName>
    <definedName name="B2TR_C2SO_668P">#REF!</definedName>
    <definedName name="B2TR_C2SO_668T">#REF!</definedName>
    <definedName name="B2TR_C2SO_668U">#REF!</definedName>
    <definedName name="B2TR_C2SO_668V">#REF!</definedName>
    <definedName name="B2TR_C2SO_669A">#REF!</definedName>
    <definedName name="B2TR_C2SO_669H">#REF!</definedName>
    <definedName name="B2TR_C2SO_669I">#REF!</definedName>
    <definedName name="B2TR_C2SO_669J">#REF!</definedName>
    <definedName name="B2TR_C2SO_669K">#REF!</definedName>
    <definedName name="B2TR_C2SO_669O">#REF!</definedName>
    <definedName name="B2TR_C2SO_669R">#REF!</definedName>
    <definedName name="B2TR_C2SO_669S">#REF!</definedName>
    <definedName name="B2TR_C2SO_669U">#REF!</definedName>
    <definedName name="B2TR_C2SO_669X">#REF!</definedName>
    <definedName name="B2TR_C2SO_669Y">#REF!</definedName>
    <definedName name="B2TR_C2SO_669Z">#REF!</definedName>
    <definedName name="B2TR_C2SO_670D">#REF!</definedName>
    <definedName name="B2TR_C2SO_670F">#REF!</definedName>
    <definedName name="B2TR_C2SO_670H">#REF!</definedName>
    <definedName name="B2TR_C2SO_670I">#REF!</definedName>
    <definedName name="B2TR_C2SO_670N">#REF!</definedName>
    <definedName name="B2TR_C2SO_670O">#REF!</definedName>
    <definedName name="B2TR_C2SO_670P">#REF!</definedName>
    <definedName name="B2TR_C2SO_670Q">#REF!</definedName>
    <definedName name="B2TR_C2SO_670S">#REF!</definedName>
    <definedName name="B2TR_C2SO_670W">#REF!</definedName>
    <definedName name="B2TR_C2SO_670X">#REF!</definedName>
    <definedName name="B2TR_C2SO_670Y">#REF!</definedName>
    <definedName name="B2TR_C2SO_670Z">#REF!</definedName>
    <definedName name="B2TR_C2SO_671A">#REF!</definedName>
    <definedName name="B2TR_C2SO_671B">#REF!</definedName>
    <definedName name="B2TR_C2SO_671D">#REF!</definedName>
    <definedName name="B2TR_C2SO_671F">#REF!</definedName>
    <definedName name="B2TR_C2SO_671G">#REF!</definedName>
    <definedName name="B2TR_C2SO_671H">#REF!</definedName>
    <definedName name="B2TR_C2SO_671I">#REF!</definedName>
    <definedName name="B2TR_C2SO_671J">#REF!</definedName>
    <definedName name="B2TR_C2SO_671K">#REF!</definedName>
    <definedName name="B2TR_C2SO_671L">#REF!</definedName>
    <definedName name="B2TR_C2SO_671M">#REF!</definedName>
    <definedName name="B2TR_C2SO_671N">#REF!</definedName>
    <definedName name="B2TR_C2SO_671O">#REF!</definedName>
    <definedName name="B2TR_C2SO_671P">#REF!</definedName>
    <definedName name="B2TR_C2SO_671Q">#REF!</definedName>
    <definedName name="B2TR_C2SO_671R">#REF!</definedName>
    <definedName name="B2TR_C2SO_671S">#REF!</definedName>
    <definedName name="B2TR_C2SO_671T">#REF!</definedName>
    <definedName name="B2TR_C2SO_671W">#REF!</definedName>
    <definedName name="B2TR_C2SO_671Z">#REF!</definedName>
    <definedName name="B2TR_C2SO_672G">#REF!</definedName>
    <definedName name="B2TR_C2SO_672H">#REF!</definedName>
    <definedName name="B2TR_C2SO_672I">#REF!</definedName>
    <definedName name="B2TR_C2SO_672M">#REF!</definedName>
    <definedName name="B2TR_C2SO_672N">#REF!</definedName>
    <definedName name="B2TR_C2SO_672O">#REF!</definedName>
    <definedName name="B2TR_C2SO_672P">#REF!</definedName>
    <definedName name="B2TR_C2SO_672R">#REF!</definedName>
    <definedName name="B2TR_C2SO_672S">#REF!</definedName>
    <definedName name="B2TR_C2SO_672T">#REF!</definedName>
    <definedName name="B2TR_C2SO_673C">#REF!</definedName>
    <definedName name="B2TR_C2SO_673E">#REF!</definedName>
    <definedName name="B2TR_C2SO_673F">#REF!</definedName>
    <definedName name="B2TR_C2SO_673G">#REF!</definedName>
    <definedName name="B2TR_C2SO_673H">#REF!</definedName>
    <definedName name="B2TR_C2SO_673I">#REF!</definedName>
    <definedName name="B2TR_C2SO_673J">#REF!</definedName>
    <definedName name="B2TR_C2SO_673K">#REF!</definedName>
    <definedName name="B2TR_C2SO_673N">#REF!</definedName>
    <definedName name="B2TR_C2SO_673O">#REF!</definedName>
    <definedName name="B2TR_C2SO_673R">#REF!</definedName>
    <definedName name="B2TR_C2SO_673S">#REF!</definedName>
    <definedName name="B2TR_C2SO_673U">#REF!</definedName>
    <definedName name="B2TR_C2SO_673V">#REF!</definedName>
    <definedName name="B2TR_C2SO_673W">#REF!</definedName>
    <definedName name="B2TR_C2SO_673X">#REF!</definedName>
    <definedName name="B2TR_C2SO_673Z">#REF!</definedName>
    <definedName name="B2TR_C2SO_674B">#REF!</definedName>
    <definedName name="B2TR_C2SO_674C">#REF!</definedName>
    <definedName name="B2TR_C2SO_674D">#REF!</definedName>
    <definedName name="B2TR_C2SO_674I">#REF!</definedName>
    <definedName name="B2TR_C2SO_674M">#REF!</definedName>
    <definedName name="B2TR_C2SO_674S">#REF!</definedName>
    <definedName name="B2TR_C2SO_674W">#REF!</definedName>
    <definedName name="B2TR_C2SO_675A">#REF!</definedName>
    <definedName name="B2TR_C2SO_675C">#REF!</definedName>
    <definedName name="B2TR_C2SO_675E">#REF!</definedName>
    <definedName name="B2TR_C2SO_675F">#REF!</definedName>
    <definedName name="B2TR_C2SO_675G">#REF!</definedName>
    <definedName name="B2TR_C2SO_675H">#REF!</definedName>
    <definedName name="B2TR_C2SO_675I">#REF!</definedName>
    <definedName name="B2TR_C2SO_675J">#REF!</definedName>
    <definedName name="B2TR_C2SO_675K">#REF!</definedName>
    <definedName name="B2TR_C2SO_675L">#REF!</definedName>
    <definedName name="B2TR_C2SO_675M">#REF!</definedName>
    <definedName name="B2TR_C2SO_675N">#REF!</definedName>
    <definedName name="B2TR_C2SO_675O">#REF!</definedName>
    <definedName name="B2TR_C2SO_675P">#REF!</definedName>
    <definedName name="B2TR_C2SO_675Q">#REF!</definedName>
    <definedName name="B2TR_C2SO_675R">#REF!</definedName>
    <definedName name="B2TR_C2SO_675S">#REF!</definedName>
    <definedName name="B2TR_C2SO_675T">#REF!</definedName>
    <definedName name="B2TR_C2SO_675U">#REF!</definedName>
    <definedName name="B2TR_C2SO_675V">#REF!</definedName>
    <definedName name="B2TR_C2SO_675W">#REF!</definedName>
    <definedName name="B2TR_C2SO_675X">#REF!</definedName>
    <definedName name="B2TR_C2SO_675Y">#REF!</definedName>
    <definedName name="B2TR_C2SO_675Z">#REF!</definedName>
    <definedName name="B2TR_C2SO_676A">#REF!</definedName>
    <definedName name="B2TR_C2SO_676B">#REF!</definedName>
    <definedName name="B2TR_C2SO_676C">#REF!</definedName>
    <definedName name="B2TR_C2SO_676D">#REF!</definedName>
    <definedName name="B2TR_C2SO_676E">#REF!</definedName>
    <definedName name="B2TR_C2SO_676F">#REF!</definedName>
    <definedName name="B2TR_C2SO_676G">#REF!</definedName>
    <definedName name="B2TR_C2SO_676J">#REF!</definedName>
    <definedName name="B2TR_C2SO_690C">#REF!</definedName>
    <definedName name="B2TR_C2SO_690D">#REF!</definedName>
    <definedName name="B2TR_C2SO_690E">#REF!</definedName>
    <definedName name="B2TR_C2SO_690F">#REF!</definedName>
    <definedName name="B2TR_C2SO_690G">#REF!</definedName>
    <definedName name="B2TR_C2SO_690I">#REF!</definedName>
    <definedName name="B2TR_C2SO_690J">#REF!</definedName>
    <definedName name="B2TR_C2SO_690K">#REF!</definedName>
    <definedName name="B2TR_C2SO_690L">#REF!</definedName>
    <definedName name="B2TR_C2SO_710H">#REF!</definedName>
    <definedName name="B2TR_C2SO_811C">#REF!</definedName>
    <definedName name="B2TR_C2SO_813C">#REF!</definedName>
    <definedName name="B2TR_C2SO_843A">#REF!</definedName>
    <definedName name="B2TR_C2SO_845K">#REF!</definedName>
    <definedName name="B2TR_C2SO_850A">#REF!</definedName>
    <definedName name="B2TR_C2SO_850C">#REF!</definedName>
    <definedName name="B2TR_C2SO_900A">#REF!</definedName>
    <definedName name="B2TR_C2SO_900F">#REF!</definedName>
    <definedName name="B2TR_C2SO_900H">#REF!</definedName>
    <definedName name="B2TR_C2SO_900I">#REF!</definedName>
    <definedName name="B2TR_C2SO_905U">#REF!</definedName>
    <definedName name="B2TR_C2SO_906F">#REF!</definedName>
    <definedName name="B2TR_C2SO_906I">#REF!</definedName>
    <definedName name="B2TR_C2SO_906J">#REF!</definedName>
    <definedName name="B2TR_C2SO_906K">#REF!</definedName>
    <definedName name="B2TR_C2SO_906P">#REF!</definedName>
    <definedName name="B2TR_C2SO_906Z">#REF!</definedName>
    <definedName name="B2TR_C2SO_908A">#REF!</definedName>
    <definedName name="B2TR_C2SO_908B">#REF!</definedName>
    <definedName name="B2TR_C2SO_910C">#REF!</definedName>
    <definedName name="B2TR_C2SO_910M">#REF!</definedName>
    <definedName name="B2TR_C2SO_910O">#REF!</definedName>
    <definedName name="B2TR_C2SO_911Q">#REF!</definedName>
    <definedName name="B2TR_C2SO_911S">#REF!</definedName>
    <definedName name="B2TR_C2SO_911V">#REF!</definedName>
    <definedName name="B2TR_C2SO_911W">#REF!</definedName>
    <definedName name="B2TR_C2SO_911Z">#REF!</definedName>
    <definedName name="B2TR_C2SO_914A">#REF!</definedName>
    <definedName name="B2TR_C2SO_914B">#REF!</definedName>
    <definedName name="B2TR_C2SO_914K">#REF!</definedName>
    <definedName name="B2TR_C2SO_920E">#REF!</definedName>
    <definedName name="B2TR_C2SO_921A">#REF!</definedName>
    <definedName name="B2TR_C2SO_930E">#REF!</definedName>
    <definedName name="B2TR_C2SO_990B">#REF!</definedName>
    <definedName name="B2TR_C3SO_0001">#REF!</definedName>
    <definedName name="B2TR_C3SO_0002">#REF!</definedName>
    <definedName name="B2TR_C3SO_0003">#REF!</definedName>
    <definedName name="B2TR_C3SO_014A">#REF!</definedName>
    <definedName name="B2TR_C3SO_014ADSIT">#REF!</definedName>
    <definedName name="B2TR_C3SO_014C">#REF!</definedName>
    <definedName name="B2TR_C3SO_014CDSIT">#REF!</definedName>
    <definedName name="B2TR_C3SO_014VDSIT">#REF!</definedName>
    <definedName name="B2TR_C3SO_014WDSIT">#REF!</definedName>
    <definedName name="B2TR_C3SO_210A">#REF!</definedName>
    <definedName name="B2TR_C3SO_210B">#REF!</definedName>
    <definedName name="B2TR_C3SO_210E">#REF!</definedName>
    <definedName name="B2TR_C3SO_211A">#REF!</definedName>
    <definedName name="B2TR_C3SO_220A">#REF!</definedName>
    <definedName name="B2TR_C3SO_220E">#REF!</definedName>
    <definedName name="B2TR_C3SO_230A">#REF!</definedName>
    <definedName name="B2TR_C3SO_230B">#REF!</definedName>
    <definedName name="B2TR_C3SO_230G">#REF!</definedName>
    <definedName name="B2TR_C3SO_230I">#REF!</definedName>
    <definedName name="B2TR_C3SO_230J">#REF!</definedName>
    <definedName name="B2TR_C3SO_230K">#REF!</definedName>
    <definedName name="B2TR_C3SO_230X">#REF!</definedName>
    <definedName name="B2TR_C3SO_232A">#REF!</definedName>
    <definedName name="B2TR_C3SO_232C">#REF!</definedName>
    <definedName name="B2TR_C3SO_232K">#REF!</definedName>
    <definedName name="B2TR_C3SO_232M">#REF!</definedName>
    <definedName name="B2TR_C3SO_234F">#REF!</definedName>
    <definedName name="B2TR_C3SO_234Q">#REF!</definedName>
    <definedName name="B2TR_C3SO_280A">#REF!</definedName>
    <definedName name="B2TR_C3SO_280D">#REF!</definedName>
    <definedName name="B2TR_C3SO_280E">#REF!</definedName>
    <definedName name="B2TR_C3SO_280F">#REF!</definedName>
    <definedName name="B2TR_C3SO_280H">#REF!</definedName>
    <definedName name="B2TR_C3SO_280J">#REF!</definedName>
    <definedName name="B2TR_C3SO_280Y">#REF!</definedName>
    <definedName name="B2TR_C3SO_282A">#REF!</definedName>
    <definedName name="B2TR_C3SO_282B">#REF!</definedName>
    <definedName name="B2TR_C3SO_295A">#REF!</definedName>
    <definedName name="B2TR_C3SO_295D">#REF!</definedName>
    <definedName name="B2TR_C3SO_310A">#REF!</definedName>
    <definedName name="B2TR_C3SO_310D">#REF!</definedName>
    <definedName name="B2TR_C3SO_310E">#REF!</definedName>
    <definedName name="B2TR_C3SO_320A">#REF!</definedName>
    <definedName name="B2TR_C3SO_320D">#REF!</definedName>
    <definedName name="B2TR_C3SO_320I">#REF!</definedName>
    <definedName name="B2TR_C3SO_320L">#REF!</definedName>
    <definedName name="B2TR_C3SO_320S">#REF!</definedName>
    <definedName name="B2TR_C3SO_320U">#REF!</definedName>
    <definedName name="B2TR_C3SO_330D">#REF!</definedName>
    <definedName name="B2TR_C3SO_345A">#REF!</definedName>
    <definedName name="B2TR_C3SO_345B">#REF!</definedName>
    <definedName name="B2TR_C3SO_350A">#REF!</definedName>
    <definedName name="B2TR_C3SO_360A">#REF!</definedName>
    <definedName name="B2TR_C3SO_380F">#REF!</definedName>
    <definedName name="B2TR_C3SO_380J">#REF!</definedName>
    <definedName name="B2TR_C3SO_390A">#REF!</definedName>
    <definedName name="B2TR_C3SO_390C">#REF!</definedName>
    <definedName name="B2TR_C3SO_390D">#REF!</definedName>
    <definedName name="B2TR_C3SO_390E">#REF!</definedName>
    <definedName name="B2TR_C3SO_390F">#REF!</definedName>
    <definedName name="B2TR_C3SO_410A">#REF!</definedName>
    <definedName name="B2TR_C3SO_430I">#REF!</definedName>
    <definedName name="B2TR_C3SO_430J">#REF!</definedName>
    <definedName name="B2TR_C3SO_432A">#REF!</definedName>
    <definedName name="B2TR_C3SO_432C">#REF!</definedName>
    <definedName name="B2TR_C3SO_432D">#REF!</definedName>
    <definedName name="B2TR_C3SO_432G">#REF!</definedName>
    <definedName name="B2TR_C3SO_432I">#REF!</definedName>
    <definedName name="B2TR_C3SO_432M">#REF!</definedName>
    <definedName name="B2TR_C3SO_433A">#REF!</definedName>
    <definedName name="B2TR_C3SO_433C">#REF!</definedName>
    <definedName name="B2TR_C3SO_433D">#REF!</definedName>
    <definedName name="B2TR_C3SO_433F">#REF!</definedName>
    <definedName name="B2TR_C3SO_460A">#REF!</definedName>
    <definedName name="B2TR_C3SO_510B">#REF!</definedName>
    <definedName name="B2TR_C3SO_510H">#REF!</definedName>
    <definedName name="B2TR_C3SO_510I">#REF!</definedName>
    <definedName name="B2TR_C3SO_510M">#REF!</definedName>
    <definedName name="B2TR_C3SO_520A">#REF!</definedName>
    <definedName name="B2TR_C3SO_520X">#REF!</definedName>
    <definedName name="B2TR_C3SO_520Y">#REF!</definedName>
    <definedName name="B2TR_C3SO_531A">#REF!</definedName>
    <definedName name="B2TR_C3SO_531B">#REF!</definedName>
    <definedName name="B2TR_C3SO_531H">#REF!</definedName>
    <definedName name="B2TR_C3SO_532A">#REF!</definedName>
    <definedName name="B2TR_C3SO_532C">#REF!</definedName>
    <definedName name="B2TR_C3SO_532D">#REF!</definedName>
    <definedName name="B2TR_C3SO_532E">#REF!</definedName>
    <definedName name="B2TR_C3SO_532F">#REF!</definedName>
    <definedName name="B2TR_C3SO_532G">#REF!</definedName>
    <definedName name="B2TR_C3SO_532H">#REF!</definedName>
    <definedName name="B2TR_C3SO_533A">#REF!</definedName>
    <definedName name="B2TR_C3SO_533D">#REF!</definedName>
    <definedName name="B2TR_C3SO_533E">#REF!</definedName>
    <definedName name="B2TR_C3SO_533J">#REF!</definedName>
    <definedName name="B2TR_C3SO_534A">#REF!</definedName>
    <definedName name="B2TR_C3SO_560D">#REF!</definedName>
    <definedName name="B2TR_C3SO_560J">#REF!</definedName>
    <definedName name="B2TR_C3SO_561A">#REF!</definedName>
    <definedName name="B2TR_C3SO_561D">#REF!</definedName>
    <definedName name="B2TR_C3SO_561I">#REF!</definedName>
    <definedName name="B2TR_C3SO_561J">#REF!</definedName>
    <definedName name="B2TR_C3SO_562B">#REF!</definedName>
    <definedName name="B2TR_C3SO_562H">#REF!</definedName>
    <definedName name="B2TR_C3SO_575E">#REF!</definedName>
    <definedName name="B2TR_C3SO_575G">#REF!</definedName>
    <definedName name="B2TR_C3SO_576e">#REF!</definedName>
    <definedName name="B2TR_C3SO_576F">#REF!</definedName>
    <definedName name="B2TR_C3SO_601E">#REF!</definedName>
    <definedName name="B2TR_C3SO_601G">#REF!</definedName>
    <definedName name="B2TR_C3SO_601T">#REF!</definedName>
    <definedName name="B2TR_C3SO_602A">#REF!</definedName>
    <definedName name="B2TR_C3SO_603A">#REF!</definedName>
    <definedName name="B2TR_C3SO_603G">#REF!</definedName>
    <definedName name="B2TR_C3SO_605B">#REF!</definedName>
    <definedName name="B2TR_C3SO_605C">#REF!</definedName>
    <definedName name="B2TR_C3SO_605E">#REF!</definedName>
    <definedName name="B2TR_C3SO_605F">#REF!</definedName>
    <definedName name="B2TR_C3SO_605I">#REF!</definedName>
    <definedName name="B2TR_C3SO_605K">#REF!</definedName>
    <definedName name="B2TR_C3SO_605O">#REF!</definedName>
    <definedName name="B2TR_C3SO_605P">#REF!</definedName>
    <definedName name="B2TR_C3SO_605T">#REF!</definedName>
    <definedName name="B2TR_C3SO_605V">#REF!</definedName>
    <definedName name="B2TR_C3SO_605W">#REF!</definedName>
    <definedName name="B2TR_C3SO_609E">#REF!</definedName>
    <definedName name="B2TR_C3SO_610A">#REF!</definedName>
    <definedName name="B2TR_C3SO_610U">#REF!</definedName>
    <definedName name="B2TR_C3SO_610V">#REF!</definedName>
    <definedName name="B2TR_C3SO_611E">#REF!</definedName>
    <definedName name="B2TR_C3SO_611G">#REF!</definedName>
    <definedName name="B2TR_C3SO_611M">#REF!</definedName>
    <definedName name="B2TR_C3SO_611S">#REF!</definedName>
    <definedName name="B2TR_C3SO_611U">#REF!</definedName>
    <definedName name="B2TR_C3SO_611Y">#REF!</definedName>
    <definedName name="B2TR_C3SO_612H">#REF!</definedName>
    <definedName name="B2TR_C3SO_612Y">#REF!</definedName>
    <definedName name="B2TR_C3SO_613B">#REF!</definedName>
    <definedName name="B2TR_C3SO_613C">#REF!</definedName>
    <definedName name="B2TR_C3SO_613E">#REF!</definedName>
    <definedName name="B2TR_C3SO_613F">#REF!</definedName>
    <definedName name="B2TR_C3SO_613I">#REF!</definedName>
    <definedName name="B2TR_C3SO_613K">#REF!</definedName>
    <definedName name="B2TR_C3SO_613L">#REF!</definedName>
    <definedName name="B2TR_C3SO_613N">#REF!</definedName>
    <definedName name="B2TR_C3SO_613O">#REF!</definedName>
    <definedName name="B2TR_C3SO_613R">#REF!</definedName>
    <definedName name="B2TR_C3SO_613S">#REF!</definedName>
    <definedName name="B2TR_C3SO_613U">#REF!</definedName>
    <definedName name="B2TR_C3SO_613Y">#REF!</definedName>
    <definedName name="B2TR_C3SO_614I">#REF!</definedName>
    <definedName name="B2TR_C3SO_614W">#REF!</definedName>
    <definedName name="B2TR_C3SO_614Y">#REF!</definedName>
    <definedName name="B2TR_C3SO_614Z">#REF!</definedName>
    <definedName name="B2TR_C3SO_615B">#REF!</definedName>
    <definedName name="B2TR_C3SO_615C">#REF!</definedName>
    <definedName name="B2TR_C3SO_615Q">#REF!</definedName>
    <definedName name="B2TR_C3SO_615R">#REF!</definedName>
    <definedName name="B2TR_C3SO_615T">#REF!</definedName>
    <definedName name="B2TR_C3SO_615Z">#REF!</definedName>
    <definedName name="B2TR_C3SO_616A">#REF!</definedName>
    <definedName name="B2TR_C3SO_620A">#REF!</definedName>
    <definedName name="B2TR_C3SO_620C">#REF!</definedName>
    <definedName name="B2TR_C3SO_625A">#REF!</definedName>
    <definedName name="B2TR_C3SO_625B">#REF!</definedName>
    <definedName name="B2TR_C3SO_629X">#REF!</definedName>
    <definedName name="B2TR_C3SO_630A">#REF!</definedName>
    <definedName name="B2TR_C3SO_630E">#REF!</definedName>
    <definedName name="B2TR_C3SO_630F">#REF!</definedName>
    <definedName name="B2TR_C3SO_630G">#REF!</definedName>
    <definedName name="B2TR_C3SO_630J">#REF!</definedName>
    <definedName name="B2TR_C3SO_630M">#REF!</definedName>
    <definedName name="B2TR_C3SO_630T">#REF!</definedName>
    <definedName name="B2TR_C3SO_630X">#REF!</definedName>
    <definedName name="B2TR_C3SO_630Y">#REF!</definedName>
    <definedName name="B2TR_C3SO_631C">#REF!</definedName>
    <definedName name="B2TR_C3SO_631D">#REF!</definedName>
    <definedName name="B2TR_C3SO_631E">#REF!</definedName>
    <definedName name="B2TR_C3SO_631F">#REF!</definedName>
    <definedName name="B2TR_C3SO_631G">#REF!</definedName>
    <definedName name="B2TR_C3SO_631H">#REF!</definedName>
    <definedName name="B2TR_C3SO_631I">#REF!</definedName>
    <definedName name="B2TR_C3SO_631J">#REF!</definedName>
    <definedName name="B2TR_C3SO_631S">#REF!</definedName>
    <definedName name="B2TR_C3SO_631U">#REF!</definedName>
    <definedName name="B2TR_C3SO_632G">#REF!</definedName>
    <definedName name="B2TR_C3SO_632O">#REF!</definedName>
    <definedName name="B2TR_C3SO_632P">#REF!</definedName>
    <definedName name="B2TR_C3SO_632U">#REF!</definedName>
    <definedName name="B2TR_C3SO_632Y">#REF!</definedName>
    <definedName name="B2TR_C3SO_633A">#REF!</definedName>
    <definedName name="B2TR_C3SO_635C">#REF!</definedName>
    <definedName name="B2TR_C3SO_638A">#REF!</definedName>
    <definedName name="B2TR_C3SO_638C">#REF!</definedName>
    <definedName name="B2TR_C3SO_641I">#REF!</definedName>
    <definedName name="B2TR_C3SO_641X">#REF!</definedName>
    <definedName name="B2TR_C3SO_641Y">#REF!</definedName>
    <definedName name="B2TR_C3SO_642B">#REF!</definedName>
    <definedName name="B2TR_C3SO_642C">#REF!</definedName>
    <definedName name="B2TR_C3SO_651C">#REF!</definedName>
    <definedName name="B2TR_C3SO_651F">#REF!</definedName>
    <definedName name="B2TR_C3SO_651H">#REF!</definedName>
    <definedName name="B2TR_C3SO_651I">#REF!</definedName>
    <definedName name="B2TR_C3SO_651J">#REF!</definedName>
    <definedName name="B2TR_C3SO_651K">#REF!</definedName>
    <definedName name="B2TR_C3SO_651M">#REF!</definedName>
    <definedName name="B2TR_C3SO_651O">#REF!</definedName>
    <definedName name="B2TR_C3SO_651Q">#REF!</definedName>
    <definedName name="B2TR_C3SO_651R">#REF!</definedName>
    <definedName name="B2TR_C3SO_651S">#REF!</definedName>
    <definedName name="B2TR_C3SO_651T">#REF!</definedName>
    <definedName name="B2TR_C3SO_651U">#REF!</definedName>
    <definedName name="B2TR_C3SO_651W">#REF!</definedName>
    <definedName name="B2TR_C3SO_651X">#REF!</definedName>
    <definedName name="B2TR_C3SO_651Y">#REF!</definedName>
    <definedName name="B2TR_C3SO_651Z">#REF!</definedName>
    <definedName name="B2TR_C3SO_652G">#REF!</definedName>
    <definedName name="B2TR_C3SO_653A">#REF!</definedName>
    <definedName name="B2TR_C3SO_659B">#REF!</definedName>
    <definedName name="B2TR_C3SO_660A">#REF!</definedName>
    <definedName name="B2TR_C3SO_660F">#REF!</definedName>
    <definedName name="B2TR_C3SO_660G">#REF!</definedName>
    <definedName name="B2TR_C3SO_660K">#REF!</definedName>
    <definedName name="B2TR_C3SO_660O">#REF!</definedName>
    <definedName name="B2TR_C3SO_660R">#REF!</definedName>
    <definedName name="B2TR_C3SO_660Z">#REF!</definedName>
    <definedName name="B2TR_C3SO_661B">#REF!</definedName>
    <definedName name="B2TR_C3SO_661R">#REF!</definedName>
    <definedName name="B2TR_C3SO_661S">#REF!</definedName>
    <definedName name="B2TR_C3SO_661T">#REF!</definedName>
    <definedName name="B2TR_C3SO_661U">#REF!</definedName>
    <definedName name="B2TR_C3SO_661V">#REF!</definedName>
    <definedName name="B2TR_C3SO_661X">#REF!</definedName>
    <definedName name="B2TR_C3SO_661Y">#REF!</definedName>
    <definedName name="B2TR_C3SO_662A">#REF!</definedName>
    <definedName name="B2TR_C3SO_662D">#REF!</definedName>
    <definedName name="B2TR_C3SO_663F">#REF!</definedName>
    <definedName name="B2TR_C3SO_663G">#REF!</definedName>
    <definedName name="B2TR_C3SO_663N">#REF!</definedName>
    <definedName name="B2TR_C3SO_663O">#REF!</definedName>
    <definedName name="B2TR_C3SO_663T">#REF!</definedName>
    <definedName name="B2TR_C3SO_663X">#REF!</definedName>
    <definedName name="B2TR_C3SO_664A">#REF!</definedName>
    <definedName name="B2TR_C3SO_664B">#REF!</definedName>
    <definedName name="B2TR_C3SO_664F">#REF!</definedName>
    <definedName name="B2TR_C3SO_664N">#REF!</definedName>
    <definedName name="B2TR_C3SO_664P">#REF!</definedName>
    <definedName name="B2TR_C3SO_664Q">#REF!</definedName>
    <definedName name="B2TR_C3SO_664R">#REF!</definedName>
    <definedName name="B2TR_C3SO_664V">#REF!</definedName>
    <definedName name="B2TR_C3SO_665D">#REF!</definedName>
    <definedName name="B2TR_C3SO_665G">#REF!</definedName>
    <definedName name="B2TR_C3SO_665I">#REF!</definedName>
    <definedName name="B2TR_C3SO_665J">#REF!</definedName>
    <definedName name="B2TR_C3SO_665N">#REF!</definedName>
    <definedName name="B2TR_C3SO_665V">#REF!</definedName>
    <definedName name="B2TR_C3SO_665X">#REF!</definedName>
    <definedName name="B2TR_C3SO_667C">#REF!</definedName>
    <definedName name="B2TR_C3SO_667D">#REF!</definedName>
    <definedName name="B2TR_C3SO_667E">#REF!</definedName>
    <definedName name="B2TR_C3SO_667H">#REF!</definedName>
    <definedName name="B2TR_C3SO_667J">#REF!</definedName>
    <definedName name="B2TR_C3SO_667K">#REF!</definedName>
    <definedName name="B2TR_C3SO_667N">#REF!</definedName>
    <definedName name="B2TR_C3SO_667P">#REF!</definedName>
    <definedName name="B2TR_C3SO_667R">#REF!</definedName>
    <definedName name="B2TR_C3SO_667S">#REF!</definedName>
    <definedName name="B2TR_C3SO_667T">#REF!</definedName>
    <definedName name="B2TR_C3SO_667U">#REF!</definedName>
    <definedName name="B2TR_C3SO_667V">#REF!</definedName>
    <definedName name="B2TR_C3SO_667W">#REF!</definedName>
    <definedName name="B2TR_C3SO_667Y">#REF!</definedName>
    <definedName name="B2TR_C3SO_667Z">#REF!</definedName>
    <definedName name="B2TR_C3SO_668B">#REF!</definedName>
    <definedName name="B2TR_C3SO_668D">#REF!</definedName>
    <definedName name="B2TR_C3SO_668E">#REF!</definedName>
    <definedName name="B2TR_C3SO_668F">#REF!</definedName>
    <definedName name="B2TR_C3SO_668G">#REF!</definedName>
    <definedName name="B2TR_C3SO_668H">#REF!</definedName>
    <definedName name="B2TR_C3SO_668I">#REF!</definedName>
    <definedName name="B2TR_C3SO_668J">#REF!</definedName>
    <definedName name="B2TR_C3SO_668O">#REF!</definedName>
    <definedName name="B2TR_C3SO_668P">#REF!</definedName>
    <definedName name="B2TR_C3SO_668T">#REF!</definedName>
    <definedName name="B2TR_C3SO_668U">#REF!</definedName>
    <definedName name="B2TR_C3SO_668V">#REF!</definedName>
    <definedName name="B2TR_C3SO_669A">#REF!</definedName>
    <definedName name="B2TR_C3SO_669H">#REF!</definedName>
    <definedName name="B2TR_C3SO_669I">#REF!</definedName>
    <definedName name="B2TR_C3SO_669J">#REF!</definedName>
    <definedName name="B2TR_C3SO_669K">#REF!</definedName>
    <definedName name="B2TR_C3SO_669O">#REF!</definedName>
    <definedName name="B2TR_C3SO_669R">#REF!</definedName>
    <definedName name="B2TR_C3SO_669S">#REF!</definedName>
    <definedName name="B2TR_C3SO_669T">#REF!</definedName>
    <definedName name="B2TR_C3SO_669U">#REF!</definedName>
    <definedName name="B2TR_C3SO_669W">#REF!</definedName>
    <definedName name="B2TR_C3SO_669X">#REF!</definedName>
    <definedName name="B2TR_C3SO_669Y">#REF!</definedName>
    <definedName name="B2TR_C3SO_669Z">#REF!</definedName>
    <definedName name="B2TR_C3SO_670D">#REF!</definedName>
    <definedName name="B2TR_C3SO_670F">#REF!</definedName>
    <definedName name="B2TR_C3SO_670H">#REF!</definedName>
    <definedName name="B2TR_C3SO_670I">#REF!</definedName>
    <definedName name="B2TR_C3SO_670N">#REF!</definedName>
    <definedName name="B2TR_C3SO_670O">#REF!</definedName>
    <definedName name="B2TR_C3SO_670P">#REF!</definedName>
    <definedName name="B2TR_C3SO_670Q">#REF!</definedName>
    <definedName name="B2TR_C3SO_670S">#REF!</definedName>
    <definedName name="B2TR_C3SO_670W">#REF!</definedName>
    <definedName name="B2TR_C3SO_670X">#REF!</definedName>
    <definedName name="B2TR_C3SO_670Y">#REF!</definedName>
    <definedName name="B2TR_C3SO_670Z">#REF!</definedName>
    <definedName name="B2TR_C3SO_671A">#REF!</definedName>
    <definedName name="B2TR_C3SO_671B">#REF!</definedName>
    <definedName name="B2TR_C3SO_671D">#REF!</definedName>
    <definedName name="B2TR_C3SO_671F">#REF!</definedName>
    <definedName name="B2TR_C3SO_671G">#REF!</definedName>
    <definedName name="B2TR_C3SO_671H">#REF!</definedName>
    <definedName name="B2TR_C3SO_671I">#REF!</definedName>
    <definedName name="B2TR_C3SO_671J">#REF!</definedName>
    <definedName name="B2TR_C3SO_671K">#REF!</definedName>
    <definedName name="B2TR_C3SO_671L">#REF!</definedName>
    <definedName name="B2TR_C3SO_671M">#REF!</definedName>
    <definedName name="B2TR_C3SO_671N">#REF!</definedName>
    <definedName name="B2TR_C3SO_671O">#REF!</definedName>
    <definedName name="B2TR_C3SO_671P">#REF!</definedName>
    <definedName name="B2TR_C3SO_671Q">#REF!</definedName>
    <definedName name="B2TR_C3SO_671R">#REF!</definedName>
    <definedName name="B2TR_C3SO_671S">#REF!</definedName>
    <definedName name="B2TR_C3SO_671T">#REF!</definedName>
    <definedName name="B2TR_C3SO_671W">#REF!</definedName>
    <definedName name="B2TR_C3SO_671Z">#REF!</definedName>
    <definedName name="B2TR_C3SO_672G">#REF!</definedName>
    <definedName name="B2TR_C3SO_672H">#REF!</definedName>
    <definedName name="B2TR_C3SO_672I">#REF!</definedName>
    <definedName name="B2TR_C3SO_672M">#REF!</definedName>
    <definedName name="B2TR_C3SO_672N">#REF!</definedName>
    <definedName name="B2TR_C3SO_672O">#REF!</definedName>
    <definedName name="B2TR_C3SO_672P">#REF!</definedName>
    <definedName name="B2TR_C3SO_672R">#REF!</definedName>
    <definedName name="B2TR_C3SO_672S">#REF!</definedName>
    <definedName name="B2TR_C3SO_672T">#REF!</definedName>
    <definedName name="B2TR_C3SO_673C">#REF!</definedName>
    <definedName name="B2TR_C3SO_673E">#REF!</definedName>
    <definedName name="B2TR_C3SO_673F">#REF!</definedName>
    <definedName name="B2TR_C3SO_673G">#REF!</definedName>
    <definedName name="B2TR_C3SO_673H">#REF!</definedName>
    <definedName name="B2TR_C3SO_673I">#REF!</definedName>
    <definedName name="B2TR_C3SO_673J">#REF!</definedName>
    <definedName name="B2TR_C3SO_673K">#REF!</definedName>
    <definedName name="B2TR_C3SO_673M">#REF!</definedName>
    <definedName name="B2TR_C3SO_673N">#REF!</definedName>
    <definedName name="B2TR_C3SO_673O">#REF!</definedName>
    <definedName name="B2TR_C3SO_673R">#REF!</definedName>
    <definedName name="B2TR_C3SO_673S">#REF!</definedName>
    <definedName name="B2TR_C3SO_673U">#REF!</definedName>
    <definedName name="B2TR_C3SO_673V">#REF!</definedName>
    <definedName name="B2TR_C3SO_673W">#REF!</definedName>
    <definedName name="B2TR_C3SO_673X">#REF!</definedName>
    <definedName name="B2TR_C3SO_673Y">#REF!</definedName>
    <definedName name="B2TR_C3SO_673Z">#REF!</definedName>
    <definedName name="B2TR_C3SO_674A">#REF!</definedName>
    <definedName name="B2TR_C3SO_674B">#REF!</definedName>
    <definedName name="B2TR_C3SO_674C">#REF!</definedName>
    <definedName name="B2TR_C3SO_674D">#REF!</definedName>
    <definedName name="B2TR_C3SO_674E">#REF!</definedName>
    <definedName name="B2TR_C3SO_674F">#REF!</definedName>
    <definedName name="B2TR_C3SO_674G">#REF!</definedName>
    <definedName name="B2TR_C3SO_674I">#REF!</definedName>
    <definedName name="B2TR_C3SO_674J">#REF!</definedName>
    <definedName name="B2TR_C3SO_674M">#REF!</definedName>
    <definedName name="B2TR_C3SO_674P">#REF!</definedName>
    <definedName name="B2TR_C3SO_674Q">#REF!</definedName>
    <definedName name="B2TR_C3SO_674R">#REF!</definedName>
    <definedName name="B2TR_C3SO_674S">#REF!</definedName>
    <definedName name="B2TR_C3SO_674V">#REF!</definedName>
    <definedName name="B2TR_C3SO_674W">#REF!</definedName>
    <definedName name="B2TR_C3SO_675A">#REF!</definedName>
    <definedName name="B2TR_C3SO_675C">#REF!</definedName>
    <definedName name="B2TR_C3SO_675E">#REF!</definedName>
    <definedName name="B2TR_C3SO_675F">#REF!</definedName>
    <definedName name="B2TR_C3SO_675G">#REF!</definedName>
    <definedName name="B2TR_C3SO_675H">#REF!</definedName>
    <definedName name="B2TR_C3SO_675I">#REF!</definedName>
    <definedName name="B2TR_C3SO_675J">#REF!</definedName>
    <definedName name="B2TR_C3SO_675K">#REF!</definedName>
    <definedName name="B2TR_C3SO_675L">#REF!</definedName>
    <definedName name="B2TR_C3SO_675M">#REF!</definedName>
    <definedName name="B2TR_C3SO_675N">#REF!</definedName>
    <definedName name="B2TR_C3SO_675O">#REF!</definedName>
    <definedName name="B2TR_C3SO_675P">#REF!</definedName>
    <definedName name="B2TR_C3SO_675Q">#REF!</definedName>
    <definedName name="B2TR_C3SO_675R">#REF!</definedName>
    <definedName name="B2TR_C3SO_675S">#REF!</definedName>
    <definedName name="B2TR_C3SO_675T">#REF!</definedName>
    <definedName name="B2TR_C3SO_675U">#REF!</definedName>
    <definedName name="B2TR_C3SO_675V">#REF!</definedName>
    <definedName name="B2TR_C3SO_675W">#REF!</definedName>
    <definedName name="B2TR_C3SO_675X">#REF!</definedName>
    <definedName name="B2TR_C3SO_675Y">#REF!</definedName>
    <definedName name="B2TR_C3SO_675Z">#REF!</definedName>
    <definedName name="B2TR_C3SO_676A">#REF!</definedName>
    <definedName name="B2TR_C3SO_676B">#REF!</definedName>
    <definedName name="B2TR_C3SO_676C">#REF!</definedName>
    <definedName name="B2TR_C3SO_676D">#REF!</definedName>
    <definedName name="B2TR_C3SO_676E">#REF!</definedName>
    <definedName name="B2TR_C3SO_676F">#REF!</definedName>
    <definedName name="B2TR_C3SO_676G">#REF!</definedName>
    <definedName name="B2TR_C3SO_676J">#REF!</definedName>
    <definedName name="B2TR_C3SO_690C">#REF!</definedName>
    <definedName name="B2TR_C3SO_690D">#REF!</definedName>
    <definedName name="B2TR_C3SO_690E">#REF!</definedName>
    <definedName name="B2TR_C3SO_690F">#REF!</definedName>
    <definedName name="B2TR_C3SO_690G">#REF!</definedName>
    <definedName name="B2TR_C3SO_690I">#REF!</definedName>
    <definedName name="B2TR_C3SO_690J">#REF!</definedName>
    <definedName name="B2TR_C3SO_690K">#REF!</definedName>
    <definedName name="B2TR_C3SO_690L">#REF!</definedName>
    <definedName name="B2TR_C3SO_700B">#REF!</definedName>
    <definedName name="B2TR_C3SO_701A">#REF!</definedName>
    <definedName name="B2TR_C3SO_702A">#REF!</definedName>
    <definedName name="B2TR_C3SO_710H">#REF!</definedName>
    <definedName name="B2TR_C3SO_710Q">#REF!</definedName>
    <definedName name="B2TR_C3SO_710Y">#REF!</definedName>
    <definedName name="B2TR_C3SO_711N">#REF!</definedName>
    <definedName name="B2TR_C3SO_711O">#REF!</definedName>
    <definedName name="B2TR_C3SO_711P">#REF!</definedName>
    <definedName name="B2TR_C3SO_712K">#REF!</definedName>
    <definedName name="B2TR_C3SO_712L">#REF!</definedName>
    <definedName name="B2TR_C3SO_712M">#REF!</definedName>
    <definedName name="B2TR_C3SO_712N">#REF!</definedName>
    <definedName name="B2TR_C3SO_811B">#REF!</definedName>
    <definedName name="B2TR_C3SO_811C">#REF!</definedName>
    <definedName name="B2TR_C3SO_813B">#REF!</definedName>
    <definedName name="B2TR_C3SO_813C">#REF!</definedName>
    <definedName name="B2TR_C3SO_841A">#REF!</definedName>
    <definedName name="B2TR_C3SO_841B">#REF!</definedName>
    <definedName name="B2TR_C3SO_841C">#REF!</definedName>
    <definedName name="B2TR_C3SO_842A">#REF!</definedName>
    <definedName name="B2TR_C3SO_842B">#REF!</definedName>
    <definedName name="B2TR_C3SO_842C">#REF!</definedName>
    <definedName name="B2TR_C3SO_843A">#REF!</definedName>
    <definedName name="B2TR_C3SO_844A">#REF!</definedName>
    <definedName name="B2TR_C3SO_845K">#REF!</definedName>
    <definedName name="B2TR_C3SO_846D">#REF!</definedName>
    <definedName name="B2TR_C3SO_846E">#REF!</definedName>
    <definedName name="B2TR_C3SO_846F">#REF!</definedName>
    <definedName name="B2TR_C3SO_846G">#REF!</definedName>
    <definedName name="B2TR_C3SO_846H">#REF!</definedName>
    <definedName name="B2TR_C3SO_846I">#REF!</definedName>
    <definedName name="B2TR_C3SO_850A">#REF!</definedName>
    <definedName name="B2TR_C3SO_850C">#REF!</definedName>
    <definedName name="B2TR_C3SO_900A">#REF!</definedName>
    <definedName name="B2TR_C3SO_900F">#REF!</definedName>
    <definedName name="B2TR_C3SO_900H">#REF!</definedName>
    <definedName name="B2TR_C3SO_900I">#REF!</definedName>
    <definedName name="B2TR_C3SO_900L">#REF!</definedName>
    <definedName name="B2TR_C3SO_905A">#REF!</definedName>
    <definedName name="B2TR_C3SO_905B">#REF!</definedName>
    <definedName name="B2TR_C3SO_905C">#REF!</definedName>
    <definedName name="B2TR_C3SO_905U">#REF!</definedName>
    <definedName name="B2TR_C3SO_906A">#REF!</definedName>
    <definedName name="B2TR_C3SO_906D">#REF!</definedName>
    <definedName name="B2TR_C3SO_906F">#REF!</definedName>
    <definedName name="B2TR_C3SO_906I">#REF!</definedName>
    <definedName name="B2TR_C3SO_906J">#REF!</definedName>
    <definedName name="B2TR_C3SO_906K">#REF!</definedName>
    <definedName name="B2TR_C3SO_906P">#REF!</definedName>
    <definedName name="B2TR_C3SO_906Z">#REF!</definedName>
    <definedName name="B2TR_C3SO_908A">#REF!</definedName>
    <definedName name="B2TR_C3SO_908B">#REF!</definedName>
    <definedName name="B2TR_C3SO_910B">#REF!</definedName>
    <definedName name="B2TR_C3SO_910C">#REF!</definedName>
    <definedName name="B2TR_C3SO_910D">#REF!</definedName>
    <definedName name="B2TR_C3SO_910E">#REF!</definedName>
    <definedName name="B2TR_C3SO_910K">#REF!</definedName>
    <definedName name="B2TR_C3SO_910M">#REF!</definedName>
    <definedName name="B2TR_C3SO_910N">#REF!</definedName>
    <definedName name="B2TR_C3SO_910O">#REF!</definedName>
    <definedName name="B2TR_C3SO_910Q">#REF!</definedName>
    <definedName name="B2TR_C3SO_910S">#REF!</definedName>
    <definedName name="B2TR_C3SO_910U">#REF!</definedName>
    <definedName name="B2TR_C3SO_910X">#REF!</definedName>
    <definedName name="B2TR_C3SO_911I">#REF!</definedName>
    <definedName name="B2TR_C3SO_911J">#REF!</definedName>
    <definedName name="B2TR_C3SO_911K">#REF!</definedName>
    <definedName name="B2TR_C3SO_911L">#REF!</definedName>
    <definedName name="B2TR_C3SO_911M">#REF!</definedName>
    <definedName name="B2TR_C3SO_911Q">#REF!</definedName>
    <definedName name="B2TR_C3SO_911QA">#REF!</definedName>
    <definedName name="B2TR_C3SO_911QB">#REF!</definedName>
    <definedName name="B2TR_C3SO_911S">#REF!</definedName>
    <definedName name="B2TR_C3SO_911V">#REF!</definedName>
    <definedName name="B2TR_C3SO_911W">#REF!</definedName>
    <definedName name="B2TR_C3SO_911Z">#REF!</definedName>
    <definedName name="B2TR_C3SO_912K">#REF!</definedName>
    <definedName name="B2TR_C3SO_913A">#REF!</definedName>
    <definedName name="B2TR_C3SO_913D">#REF!</definedName>
    <definedName name="B2TR_C3SO_913M">#REF!</definedName>
    <definedName name="B2TR_C3SO_914A">#REF!</definedName>
    <definedName name="B2TR_C3SO_914B">#REF!</definedName>
    <definedName name="B2TR_C3SO_914E">#REF!</definedName>
    <definedName name="B2TR_C3SO_914F">#REF!</definedName>
    <definedName name="B2TR_C3SO_914K">#REF!</definedName>
    <definedName name="B2TR_C3SO_914MDSIT">#REF!</definedName>
    <definedName name="B2TR_C3SO_920E">#REF!</definedName>
    <definedName name="B2TR_C3SO_921A">#REF!</definedName>
    <definedName name="B2TR_C3SO_921G">#REF!</definedName>
    <definedName name="B2TR_C3SO_930A">#REF!</definedName>
    <definedName name="B2TR_C3SO_930E">#REF!</definedName>
    <definedName name="B2TR_C3SO_930J">#REF!</definedName>
    <definedName name="B2TR_C3SO_930K">#REF!</definedName>
    <definedName name="B2TR_C3SO_940A">#REF!</definedName>
    <definedName name="B2TR_C3SO_940N">#REF!</definedName>
    <definedName name="B2TR_C3SO_940S">#REF!</definedName>
    <definedName name="B2TR_C3SO_940X">#REF!</definedName>
    <definedName name="B2TR_C3SO_960A">#REF!</definedName>
    <definedName name="B2TR_C3SO_980A">#REF!</definedName>
    <definedName name="B2TR_C3SO_980B">#REF!</definedName>
    <definedName name="B2TR_C3SO_980E">#REF!</definedName>
    <definedName name="B2TR_C3SO_980G">#REF!</definedName>
    <definedName name="B2TR_C3SO_980J">#REF!</definedName>
    <definedName name="B2TR_C3SO_980L">#REF!</definedName>
    <definedName name="B2TR_C3SO_985B">#REF!</definedName>
    <definedName name="B2TR_C3SO_990B">#REF!</definedName>
    <definedName name="B2TR_C3SO_995A">#REF!</definedName>
    <definedName name="B2TR_C3SO_999QFIN48">#REF!</definedName>
    <definedName name="B2TR_C3SO_FIT">#REF!</definedName>
    <definedName name="B2TR_C3SO_INT1">#REF!</definedName>
    <definedName name="B2TR_C3SO_M31">#REF!</definedName>
    <definedName name="B2TR_C3SO_M32">#REF!</definedName>
    <definedName name="B2TR_C3SO_M33">#REF!</definedName>
    <definedName name="B2TR_C3SO_NIT">#REF!</definedName>
    <definedName name="B2TR_C3SO_SIT">#REF!</definedName>
    <definedName name="B2TR_C4SO_0001">#REF!</definedName>
    <definedName name="B2TR_C4SO_0002">#REF!</definedName>
    <definedName name="B2TR_C4SO_0003">#REF!</definedName>
    <definedName name="B2TR_C4SO_014A">#REF!</definedName>
    <definedName name="B2TR_C4SO_014ADSIT">#REF!</definedName>
    <definedName name="B2TR_C4SO_014C">#REF!</definedName>
    <definedName name="B2TR_C4SO_014CDSIT">#REF!</definedName>
    <definedName name="B2TR_C4SO_014VDSIT">#REF!</definedName>
    <definedName name="B2TR_C4SO_014WDSIT">#REF!</definedName>
    <definedName name="B2TR_C4SO_210A">#REF!</definedName>
    <definedName name="B2TR_C4SO_210B">#REF!</definedName>
    <definedName name="B2TR_C4SO_210E">#REF!</definedName>
    <definedName name="B2TR_C4SO_211A">#REF!</definedName>
    <definedName name="B2TR_C4SO_220A">#REF!</definedName>
    <definedName name="B2TR_C4SO_220E">#REF!</definedName>
    <definedName name="B2TR_C4SO_230A">#REF!</definedName>
    <definedName name="B2TR_C4SO_230B">#REF!</definedName>
    <definedName name="B2TR_C4SO_230G">#REF!</definedName>
    <definedName name="B2TR_C4SO_230I">#REF!</definedName>
    <definedName name="B2TR_C4SO_230J">#REF!</definedName>
    <definedName name="B2TR_C4SO_230K">#REF!</definedName>
    <definedName name="B2TR_C4SO_230X">#REF!</definedName>
    <definedName name="B2TR_C4SO_232A">#REF!</definedName>
    <definedName name="B2TR_C4SO_232C">#REF!</definedName>
    <definedName name="B2TR_C4SO_232K">#REF!</definedName>
    <definedName name="B2TR_C4SO_232M">#REF!</definedName>
    <definedName name="B2TR_C4SO_234F">#REF!</definedName>
    <definedName name="B2TR_C4SO_234Q">#REF!</definedName>
    <definedName name="B2TR_C4SO_280A">#REF!</definedName>
    <definedName name="B2TR_C4SO_280D">#REF!</definedName>
    <definedName name="B2TR_C4SO_280E">#REF!</definedName>
    <definedName name="B2TR_C4SO_280F">#REF!</definedName>
    <definedName name="B2TR_C4SO_280H">#REF!</definedName>
    <definedName name="B2TR_C4SO_280J">#REF!</definedName>
    <definedName name="B2TR_C4SO_280Y">#REF!</definedName>
    <definedName name="B2TR_C4SO_282A">#REF!</definedName>
    <definedName name="B2TR_C4SO_282B">#REF!</definedName>
    <definedName name="B2TR_C4SO_295A">#REF!</definedName>
    <definedName name="B2TR_C4SO_295D">#REF!</definedName>
    <definedName name="B2TR_C4SO_310A">#REF!</definedName>
    <definedName name="B2TR_C4SO_310D">#REF!</definedName>
    <definedName name="B2TR_C4SO_310E">#REF!</definedName>
    <definedName name="B2TR_C4SO_320A">#REF!</definedName>
    <definedName name="B2TR_C4SO_320D">#REF!</definedName>
    <definedName name="B2TR_C4SO_320I">#REF!</definedName>
    <definedName name="B2TR_C4SO_320L">#REF!</definedName>
    <definedName name="B2TR_C4SO_320S">#REF!</definedName>
    <definedName name="B2TR_C4SO_320U">#REF!</definedName>
    <definedName name="B2TR_C4SO_330D">#REF!</definedName>
    <definedName name="B2TR_C4SO_345A">#REF!</definedName>
    <definedName name="B2TR_C4SO_345B">#REF!</definedName>
    <definedName name="B2TR_C4SO_350A">#REF!</definedName>
    <definedName name="B2TR_C4SO_360A">#REF!</definedName>
    <definedName name="B2TR_C4SO_380F">#REF!</definedName>
    <definedName name="B2TR_C4SO_380J">#REF!</definedName>
    <definedName name="B2TR_C4SO_390A">#REF!</definedName>
    <definedName name="B2TR_C4SO_390C">#REF!</definedName>
    <definedName name="B2TR_C4SO_390D">#REF!</definedName>
    <definedName name="B2TR_C4SO_390E">#REF!</definedName>
    <definedName name="B2TR_C4SO_390F">#REF!</definedName>
    <definedName name="B2TR_C4SO_410A">#REF!</definedName>
    <definedName name="B2TR_C4SO_430I">#REF!</definedName>
    <definedName name="B2TR_C4SO_430J">#REF!</definedName>
    <definedName name="B2TR_C4SO_432A">#REF!</definedName>
    <definedName name="B2TR_C4SO_432C">#REF!</definedName>
    <definedName name="B2TR_C4SO_432D">#REF!</definedName>
    <definedName name="B2TR_C4SO_432G">#REF!</definedName>
    <definedName name="B2TR_C4SO_432I">#REF!</definedName>
    <definedName name="B2TR_C4SO_432M">#REF!</definedName>
    <definedName name="B2TR_C4SO_433A">#REF!</definedName>
    <definedName name="B2TR_C4SO_433C">#REF!</definedName>
    <definedName name="B2TR_C4SO_433D">#REF!</definedName>
    <definedName name="B2TR_C4SO_433F">#REF!</definedName>
    <definedName name="B2TR_C4SO_460A">#REF!</definedName>
    <definedName name="B2TR_C4SO_510B">#REF!</definedName>
    <definedName name="B2TR_C4SO_510H">#REF!</definedName>
    <definedName name="B2TR_C4SO_510I">#REF!</definedName>
    <definedName name="B2TR_C4SO_510M">#REF!</definedName>
    <definedName name="B2TR_C4SO_520A">#REF!</definedName>
    <definedName name="B2TR_C4SO_520X">#REF!</definedName>
    <definedName name="B2TR_C4SO_520Y">#REF!</definedName>
    <definedName name="B2TR_C4SO_531A">#REF!</definedName>
    <definedName name="B2TR_C4SO_531B">#REF!</definedName>
    <definedName name="B2TR_C4SO_531H">#REF!</definedName>
    <definedName name="B2TR_C4SO_532A">#REF!</definedName>
    <definedName name="B2TR_C4SO_532C">#REF!</definedName>
    <definedName name="B2TR_C4SO_532D">#REF!</definedName>
    <definedName name="B2TR_C4SO_532E">#REF!</definedName>
    <definedName name="B2TR_C4SO_532F">#REF!</definedName>
    <definedName name="B2TR_C4SO_532G">#REF!</definedName>
    <definedName name="B2TR_C4SO_532H">#REF!</definedName>
    <definedName name="B2TR_C4SO_533A">#REF!</definedName>
    <definedName name="B2TR_C4SO_533D">#REF!</definedName>
    <definedName name="B2TR_C4SO_533E">#REF!</definedName>
    <definedName name="B2TR_C4SO_533J">#REF!</definedName>
    <definedName name="B2TR_C4SO_534A">#REF!</definedName>
    <definedName name="B2TR_C4SO_560D">#REF!</definedName>
    <definedName name="B2TR_C4SO_560J">#REF!</definedName>
    <definedName name="B2TR_C4SO_561A">#REF!</definedName>
    <definedName name="B2TR_C4SO_561D">#REF!</definedName>
    <definedName name="B2TR_C4SO_561I">#REF!</definedName>
    <definedName name="B2TR_C4SO_561J">#REF!</definedName>
    <definedName name="B2TR_C4SO_562B">#REF!</definedName>
    <definedName name="B2TR_C4SO_562H">#REF!</definedName>
    <definedName name="B2TR_C4SO_575E">#REF!</definedName>
    <definedName name="B2TR_C4SO_575G">#REF!</definedName>
    <definedName name="B2TR_C4SO_576e">#REF!</definedName>
    <definedName name="B2TR_C4SO_576F">#REF!</definedName>
    <definedName name="B2TR_C4SO_601E">#REF!</definedName>
    <definedName name="B2TR_C4SO_601G">#REF!</definedName>
    <definedName name="B2TR_C4SO_601T">#REF!</definedName>
    <definedName name="B2TR_C4SO_602A">#REF!</definedName>
    <definedName name="B2TR_C4SO_603A">#REF!</definedName>
    <definedName name="B2TR_C4SO_603G">#REF!</definedName>
    <definedName name="B2TR_C4SO_605B">#REF!</definedName>
    <definedName name="B2TR_C4SO_605C">#REF!</definedName>
    <definedName name="B2TR_C4SO_605E">#REF!</definedName>
    <definedName name="B2TR_C4SO_605F">#REF!</definedName>
    <definedName name="B2TR_C4SO_605I">#REF!</definedName>
    <definedName name="B2TR_C4SO_605K">#REF!</definedName>
    <definedName name="B2TR_C4SO_605O">#REF!</definedName>
    <definedName name="B2TR_C4SO_605P">#REF!</definedName>
    <definedName name="B2TR_C4SO_605T">#REF!</definedName>
    <definedName name="B2TR_C4SO_605V">#REF!</definedName>
    <definedName name="B2TR_C4SO_605W">#REF!</definedName>
    <definedName name="B2TR_C4SO_609E">#REF!</definedName>
    <definedName name="B2TR_C4SO_610A">#REF!</definedName>
    <definedName name="B2TR_C4SO_610U">#REF!</definedName>
    <definedName name="B2TR_C4SO_610V">#REF!</definedName>
    <definedName name="B2TR_C4SO_611E">#REF!</definedName>
    <definedName name="B2TR_C4SO_611G">#REF!</definedName>
    <definedName name="B2TR_C4SO_611M">#REF!</definedName>
    <definedName name="B2TR_C4SO_611S">#REF!</definedName>
    <definedName name="B2TR_C4SO_611U">#REF!</definedName>
    <definedName name="B2TR_C4SO_611Y">#REF!</definedName>
    <definedName name="B2TR_C4SO_612H">#REF!</definedName>
    <definedName name="B2TR_C4SO_612Y">#REF!</definedName>
    <definedName name="B2TR_C4SO_613B">#REF!</definedName>
    <definedName name="B2TR_C4SO_613C">#REF!</definedName>
    <definedName name="B2TR_C4SO_613E">#REF!</definedName>
    <definedName name="B2TR_C4SO_613F">#REF!</definedName>
    <definedName name="B2TR_C4SO_613I">#REF!</definedName>
    <definedName name="B2TR_C4SO_613K">#REF!</definedName>
    <definedName name="B2TR_C4SO_613L">#REF!</definedName>
    <definedName name="B2TR_C4SO_613N">#REF!</definedName>
    <definedName name="B2TR_C4SO_613O">#REF!</definedName>
    <definedName name="B2TR_C4SO_613R">#REF!</definedName>
    <definedName name="B2TR_C4SO_613S">#REF!</definedName>
    <definedName name="B2TR_C4SO_613U">#REF!</definedName>
    <definedName name="B2TR_C4SO_613Y">#REF!</definedName>
    <definedName name="B2TR_C4SO_614I">#REF!</definedName>
    <definedName name="B2TR_C4SO_614W">#REF!</definedName>
    <definedName name="B2TR_C4SO_614Y">#REF!</definedName>
    <definedName name="B2TR_C4SO_614Z">#REF!</definedName>
    <definedName name="B2TR_C4SO_615B">#REF!</definedName>
    <definedName name="B2TR_C4SO_615C">#REF!</definedName>
    <definedName name="B2TR_C4SO_615Q">#REF!</definedName>
    <definedName name="B2TR_C4SO_615R">#REF!</definedName>
    <definedName name="B2TR_C4SO_615T">#REF!</definedName>
    <definedName name="B2TR_C4SO_615Z">#REF!</definedName>
    <definedName name="B2TR_C4SO_616A">#REF!</definedName>
    <definedName name="B2TR_C4SO_620A">#REF!</definedName>
    <definedName name="B2TR_C4SO_620C">#REF!</definedName>
    <definedName name="B2TR_C4SO_625A">#REF!</definedName>
    <definedName name="B2TR_C4SO_625B">#REF!</definedName>
    <definedName name="B2TR_C4SO_629X">#REF!</definedName>
    <definedName name="B2TR_C4SO_630A">#REF!</definedName>
    <definedName name="B2TR_C4SO_630E">#REF!</definedName>
    <definedName name="B2TR_C4SO_630F">#REF!</definedName>
    <definedName name="B2TR_C4SO_630G">#REF!</definedName>
    <definedName name="B2TR_C4SO_630J">#REF!</definedName>
    <definedName name="B2TR_C4SO_630M">#REF!</definedName>
    <definedName name="B2TR_C4SO_630T">#REF!</definedName>
    <definedName name="B2TR_C4SO_630X">#REF!</definedName>
    <definedName name="B2TR_C4SO_630Y">#REF!</definedName>
    <definedName name="B2TR_C4SO_631C">#REF!</definedName>
    <definedName name="B2TR_C4SO_631D">#REF!</definedName>
    <definedName name="B2TR_C4SO_631E">#REF!</definedName>
    <definedName name="B2TR_C4SO_631F">#REF!</definedName>
    <definedName name="B2TR_C4SO_631G">#REF!</definedName>
    <definedName name="B2TR_C4SO_631H">#REF!</definedName>
    <definedName name="B2TR_C4SO_631I">#REF!</definedName>
    <definedName name="B2TR_C4SO_631J">#REF!</definedName>
    <definedName name="B2TR_C4SO_631S">#REF!</definedName>
    <definedName name="B2TR_C4SO_631U">#REF!</definedName>
    <definedName name="B2TR_C4SO_632G">#REF!</definedName>
    <definedName name="B2TR_C4SO_632O">#REF!</definedName>
    <definedName name="B2TR_C4SO_632P">#REF!</definedName>
    <definedName name="B2TR_C4SO_632U">#REF!</definedName>
    <definedName name="B2TR_C4SO_632Y">#REF!</definedName>
    <definedName name="B2TR_C4SO_633A">#REF!</definedName>
    <definedName name="B2TR_C4SO_635C">#REF!</definedName>
    <definedName name="B2TR_C4SO_638A">#REF!</definedName>
    <definedName name="B2TR_C4SO_638C">#REF!</definedName>
    <definedName name="B2TR_C4SO_641I">#REF!</definedName>
    <definedName name="B2TR_C4SO_641X">#REF!</definedName>
    <definedName name="B2TR_C4SO_641Y">#REF!</definedName>
    <definedName name="B2TR_C4SO_642B">#REF!</definedName>
    <definedName name="B2TR_C4SO_642C">#REF!</definedName>
    <definedName name="B2TR_C4SO_651C">#REF!</definedName>
    <definedName name="B2TR_C4SO_651F">#REF!</definedName>
    <definedName name="B2TR_C4SO_651H">#REF!</definedName>
    <definedName name="B2TR_C4SO_651I">#REF!</definedName>
    <definedName name="B2TR_C4SO_651J">#REF!</definedName>
    <definedName name="B2TR_C4SO_651K">#REF!</definedName>
    <definedName name="B2TR_C4SO_651M">#REF!</definedName>
    <definedName name="B2TR_C4SO_651O">#REF!</definedName>
    <definedName name="B2TR_C4SO_651Q">#REF!</definedName>
    <definedName name="B2TR_C4SO_651R">#REF!</definedName>
    <definedName name="B2TR_C4SO_651S">#REF!</definedName>
    <definedName name="B2TR_C4SO_651T">#REF!</definedName>
    <definedName name="B2TR_C4SO_651U">#REF!</definedName>
    <definedName name="B2TR_C4SO_651W">#REF!</definedName>
    <definedName name="B2TR_C4SO_651X">#REF!</definedName>
    <definedName name="B2TR_C4SO_651Y">#REF!</definedName>
    <definedName name="B2TR_C4SO_651Z">#REF!</definedName>
    <definedName name="B2TR_C4SO_652G">#REF!</definedName>
    <definedName name="B2TR_C4SO_653A">#REF!</definedName>
    <definedName name="B2TR_C4SO_659B">#REF!</definedName>
    <definedName name="B2TR_C4SO_660A">#REF!</definedName>
    <definedName name="B2TR_C4SO_660F">#REF!</definedName>
    <definedName name="B2TR_C4SO_660G">#REF!</definedName>
    <definedName name="B2TR_C4SO_660K">#REF!</definedName>
    <definedName name="B2TR_C4SO_660O">#REF!</definedName>
    <definedName name="B2TR_C4SO_660R">#REF!</definedName>
    <definedName name="B2TR_C4SO_660Z">#REF!</definedName>
    <definedName name="B2TR_C4SO_661B">#REF!</definedName>
    <definedName name="B2TR_C4SO_661R">#REF!</definedName>
    <definedName name="B2TR_C4SO_661S">#REF!</definedName>
    <definedName name="B2TR_C4SO_661T">#REF!</definedName>
    <definedName name="B2TR_C4SO_661U">#REF!</definedName>
    <definedName name="B2TR_C4SO_661V">#REF!</definedName>
    <definedName name="B2TR_C4SO_661X">#REF!</definedName>
    <definedName name="B2TR_C4SO_661Y">#REF!</definedName>
    <definedName name="B2TR_C4SO_662A">#REF!</definedName>
    <definedName name="B2TR_C4SO_662D">#REF!</definedName>
    <definedName name="B2TR_C4SO_663F">#REF!</definedName>
    <definedName name="B2TR_C4SO_663G">#REF!</definedName>
    <definedName name="B2TR_C4SO_663N">#REF!</definedName>
    <definedName name="B2TR_C4SO_663O">#REF!</definedName>
    <definedName name="B2TR_C4SO_663T">#REF!</definedName>
    <definedName name="B2TR_C4SO_663X">#REF!</definedName>
    <definedName name="B2TR_C4SO_664A">#REF!</definedName>
    <definedName name="B2TR_C4SO_664B">#REF!</definedName>
    <definedName name="B2TR_C4SO_664F">#REF!</definedName>
    <definedName name="B2TR_C4SO_664N">#REF!</definedName>
    <definedName name="B2TR_C4SO_664P">#REF!</definedName>
    <definedName name="B2TR_C4SO_664Q">#REF!</definedName>
    <definedName name="B2TR_C4SO_664R">#REF!</definedName>
    <definedName name="B2TR_C4SO_664V">#REF!</definedName>
    <definedName name="B2TR_C4SO_665D">#REF!</definedName>
    <definedName name="B2TR_C4SO_665G">#REF!</definedName>
    <definedName name="B2TR_C4SO_665I">#REF!</definedName>
    <definedName name="B2TR_C4SO_665J">#REF!</definedName>
    <definedName name="B2TR_C4SO_665N">#REF!</definedName>
    <definedName name="B2TR_C4SO_665V">#REF!</definedName>
    <definedName name="B2TR_C4SO_665X">#REF!</definedName>
    <definedName name="B2TR_C4SO_667C">#REF!</definedName>
    <definedName name="B2TR_C4SO_667D">#REF!</definedName>
    <definedName name="B2TR_C4SO_667E">#REF!</definedName>
    <definedName name="B2TR_C4SO_667H">#REF!</definedName>
    <definedName name="B2TR_C4SO_667J">#REF!</definedName>
    <definedName name="B2TR_C4SO_667K">#REF!</definedName>
    <definedName name="B2TR_C4SO_667N">#REF!</definedName>
    <definedName name="B2TR_C4SO_667P">#REF!</definedName>
    <definedName name="B2TR_C4SO_667R">#REF!</definedName>
    <definedName name="B2TR_C4SO_667S">#REF!</definedName>
    <definedName name="B2TR_C4SO_667T">#REF!</definedName>
    <definedName name="B2TR_C4SO_667U">#REF!</definedName>
    <definedName name="B2TR_C4SO_667V">#REF!</definedName>
    <definedName name="B2TR_C4SO_667W">#REF!</definedName>
    <definedName name="B2TR_C4SO_667Y">#REF!</definedName>
    <definedName name="B2TR_C4SO_667Z">#REF!</definedName>
    <definedName name="B2TR_C4SO_668B">#REF!</definedName>
    <definedName name="B2TR_C4SO_668D">#REF!</definedName>
    <definedName name="B2TR_C4SO_668E">#REF!</definedName>
    <definedName name="B2TR_C4SO_668F">#REF!</definedName>
    <definedName name="B2TR_C4SO_668G">#REF!</definedName>
    <definedName name="B2TR_C4SO_668H">#REF!</definedName>
    <definedName name="B2TR_C4SO_668I">#REF!</definedName>
    <definedName name="B2TR_C4SO_668J">#REF!</definedName>
    <definedName name="B2TR_C4SO_668O">#REF!</definedName>
    <definedName name="B2TR_C4SO_668P">#REF!</definedName>
    <definedName name="B2TR_C4SO_668T">#REF!</definedName>
    <definedName name="B2TR_C4SO_668U">#REF!</definedName>
    <definedName name="B2TR_C4SO_668V">#REF!</definedName>
    <definedName name="B2TR_C4SO_669A">#REF!</definedName>
    <definedName name="B2TR_C4SO_669H">#REF!</definedName>
    <definedName name="B2TR_C4SO_669I">#REF!</definedName>
    <definedName name="B2TR_C4SO_669J">#REF!</definedName>
    <definedName name="B2TR_C4SO_669K">#REF!</definedName>
    <definedName name="B2TR_C4SO_669O">#REF!</definedName>
    <definedName name="B2TR_C4SO_669R">#REF!</definedName>
    <definedName name="B2TR_C4SO_669S">#REF!</definedName>
    <definedName name="B2TR_C4SO_669T">#REF!</definedName>
    <definedName name="B2TR_C4SO_669U">#REF!</definedName>
    <definedName name="B2TR_C4SO_669W">#REF!</definedName>
    <definedName name="B2TR_C4SO_669X">#REF!</definedName>
    <definedName name="B2TR_C4SO_669Y">#REF!</definedName>
    <definedName name="B2TR_C4SO_669Z">#REF!</definedName>
    <definedName name="B2TR_C4SO_670D">#REF!</definedName>
    <definedName name="B2TR_C4SO_670F">#REF!</definedName>
    <definedName name="B2TR_C4SO_670H">#REF!</definedName>
    <definedName name="B2TR_C4SO_670I">#REF!</definedName>
    <definedName name="B2TR_C4SO_670N">#REF!</definedName>
    <definedName name="B2TR_C4SO_670O">#REF!</definedName>
    <definedName name="B2TR_C4SO_670P">#REF!</definedName>
    <definedName name="B2TR_C4SO_670Q">#REF!</definedName>
    <definedName name="B2TR_C4SO_670S">#REF!</definedName>
    <definedName name="B2TR_C4SO_670W">#REF!</definedName>
    <definedName name="B2TR_C4SO_670X">#REF!</definedName>
    <definedName name="B2TR_C4SO_670Y">#REF!</definedName>
    <definedName name="B2TR_C4SO_670Z">#REF!</definedName>
    <definedName name="B2TR_C4SO_671A">#REF!</definedName>
    <definedName name="B2TR_C4SO_671B">#REF!</definedName>
    <definedName name="B2TR_C4SO_671D">#REF!</definedName>
    <definedName name="B2TR_C4SO_671F">#REF!</definedName>
    <definedName name="B2TR_C4SO_671G">#REF!</definedName>
    <definedName name="B2TR_C4SO_671H">#REF!</definedName>
    <definedName name="B2TR_C4SO_671I">#REF!</definedName>
    <definedName name="B2TR_C4SO_671J">#REF!</definedName>
    <definedName name="B2TR_C4SO_671K">#REF!</definedName>
    <definedName name="B2TR_C4SO_671L">#REF!</definedName>
    <definedName name="B2TR_C4SO_671M">#REF!</definedName>
    <definedName name="B2TR_C4SO_671N">#REF!</definedName>
    <definedName name="B2TR_C4SO_671O">#REF!</definedName>
    <definedName name="B2TR_C4SO_671P">#REF!</definedName>
    <definedName name="B2TR_C4SO_671Q">#REF!</definedName>
    <definedName name="B2TR_C4SO_671R">#REF!</definedName>
    <definedName name="B2TR_C4SO_671S">#REF!</definedName>
    <definedName name="B2TR_C4SO_671T">#REF!</definedName>
    <definedName name="B2TR_C4SO_671W">#REF!</definedName>
    <definedName name="B2TR_C4SO_671Z">#REF!</definedName>
    <definedName name="B2TR_C4SO_672G">#REF!</definedName>
    <definedName name="B2TR_C4SO_672H">#REF!</definedName>
    <definedName name="B2TR_C4SO_672I">#REF!</definedName>
    <definedName name="B2TR_C4SO_672M">#REF!</definedName>
    <definedName name="B2TR_C4SO_672N">#REF!</definedName>
    <definedName name="B2TR_C4SO_672O">#REF!</definedName>
    <definedName name="B2TR_C4SO_672P">#REF!</definedName>
    <definedName name="B2TR_C4SO_672R">#REF!</definedName>
    <definedName name="B2TR_C4SO_672S">#REF!</definedName>
    <definedName name="B2TR_C4SO_672T">#REF!</definedName>
    <definedName name="B2TR_C4SO_673C">#REF!</definedName>
    <definedName name="B2TR_C4SO_673E">#REF!</definedName>
    <definedName name="B2TR_C4SO_673F">#REF!</definedName>
    <definedName name="B2TR_C4SO_673G">#REF!</definedName>
    <definedName name="B2TR_C4SO_673H">#REF!</definedName>
    <definedName name="B2TR_C4SO_673I">#REF!</definedName>
    <definedName name="B2TR_C4SO_673J">#REF!</definedName>
    <definedName name="B2TR_C4SO_673K">#REF!</definedName>
    <definedName name="B2TR_C4SO_673M">#REF!</definedName>
    <definedName name="B2TR_C4SO_673N">#REF!</definedName>
    <definedName name="B2TR_C4SO_673O">#REF!</definedName>
    <definedName name="B2TR_C4SO_673R">#REF!</definedName>
    <definedName name="B2TR_C4SO_673S">#REF!</definedName>
    <definedName name="B2TR_C4SO_673U">#REF!</definedName>
    <definedName name="B2TR_C4SO_673V">#REF!</definedName>
    <definedName name="B2TR_C4SO_673W">#REF!</definedName>
    <definedName name="B2TR_C4SO_673X">#REF!</definedName>
    <definedName name="B2TR_C4SO_673Y">#REF!</definedName>
    <definedName name="B2TR_C4SO_673Z">#REF!</definedName>
    <definedName name="B2TR_C4SO_674A">#REF!</definedName>
    <definedName name="B2TR_C4SO_674B">#REF!</definedName>
    <definedName name="B2TR_C4SO_674C">#REF!</definedName>
    <definedName name="B2TR_C4SO_674D">#REF!</definedName>
    <definedName name="B2TR_C4SO_674E">#REF!</definedName>
    <definedName name="B2TR_C4SO_674F">#REF!</definedName>
    <definedName name="B2TR_C4SO_674G">#REF!</definedName>
    <definedName name="B2TR_C4SO_674I">#REF!</definedName>
    <definedName name="B2TR_C4SO_674J">#REF!</definedName>
    <definedName name="B2TR_C4SO_674M">#REF!</definedName>
    <definedName name="B2TR_C4SO_674P">#REF!</definedName>
    <definedName name="B2TR_C4SO_674Q">#REF!</definedName>
    <definedName name="B2TR_C4SO_674R">#REF!</definedName>
    <definedName name="B2TR_C4SO_674S">#REF!</definedName>
    <definedName name="B2TR_C4SO_674V">#REF!</definedName>
    <definedName name="B2TR_C4SO_674W">#REF!</definedName>
    <definedName name="B2TR_C4SO_675A">#REF!</definedName>
    <definedName name="B2TR_C4SO_675C">#REF!</definedName>
    <definedName name="B2TR_C4SO_675E">#REF!</definedName>
    <definedName name="B2TR_C4SO_675F">#REF!</definedName>
    <definedName name="B2TR_C4SO_675G">#REF!</definedName>
    <definedName name="B2TR_C4SO_675H">#REF!</definedName>
    <definedName name="B2TR_C4SO_675I">#REF!</definedName>
    <definedName name="B2TR_C4SO_675J">#REF!</definedName>
    <definedName name="B2TR_C4SO_675K">#REF!</definedName>
    <definedName name="B2TR_C4SO_675L">#REF!</definedName>
    <definedName name="B2TR_C4SO_675M">#REF!</definedName>
    <definedName name="B2TR_C4SO_675N">#REF!</definedName>
    <definedName name="B2TR_C4SO_675O">#REF!</definedName>
    <definedName name="B2TR_C4SO_675P">#REF!</definedName>
    <definedName name="B2TR_C4SO_675Q">#REF!</definedName>
    <definedName name="B2TR_C4SO_675R">#REF!</definedName>
    <definedName name="B2TR_C4SO_675S">#REF!</definedName>
    <definedName name="B2TR_C4SO_675T">#REF!</definedName>
    <definedName name="B2TR_C4SO_675U">#REF!</definedName>
    <definedName name="B2TR_C4SO_675V">#REF!</definedName>
    <definedName name="B2TR_C4SO_675W">#REF!</definedName>
    <definedName name="B2TR_C4SO_675X">#REF!</definedName>
    <definedName name="B2TR_C4SO_675Y">#REF!</definedName>
    <definedName name="B2TR_C4SO_675Z">#REF!</definedName>
    <definedName name="B2TR_C4SO_676A">#REF!</definedName>
    <definedName name="B2TR_C4SO_676B">#REF!</definedName>
    <definedName name="B2TR_C4SO_676C">#REF!</definedName>
    <definedName name="B2TR_C4SO_676D">#REF!</definedName>
    <definedName name="B2TR_C4SO_676E">#REF!</definedName>
    <definedName name="B2TR_C4SO_676F">#REF!</definedName>
    <definedName name="B2TR_C4SO_676G">#REF!</definedName>
    <definedName name="B2TR_C4SO_676J">#REF!</definedName>
    <definedName name="B2TR_C4SO_690C">#REF!</definedName>
    <definedName name="B2TR_C4SO_690D">#REF!</definedName>
    <definedName name="B2TR_C4SO_690E">#REF!</definedName>
    <definedName name="B2TR_C4SO_690F">#REF!</definedName>
    <definedName name="B2TR_C4SO_690G">#REF!</definedName>
    <definedName name="B2TR_C4SO_690I">#REF!</definedName>
    <definedName name="B2TR_C4SO_690J">#REF!</definedName>
    <definedName name="B2TR_C4SO_690K">#REF!</definedName>
    <definedName name="B2TR_C4SO_690L">#REF!</definedName>
    <definedName name="B2TR_C4SO_700B">#REF!</definedName>
    <definedName name="B2TR_C4SO_701A">#REF!</definedName>
    <definedName name="B2TR_C4SO_702A">#REF!</definedName>
    <definedName name="B2TR_C4SO_710H">#REF!</definedName>
    <definedName name="B2TR_C4SO_710Q">#REF!</definedName>
    <definedName name="B2TR_C4SO_710Y">#REF!</definedName>
    <definedName name="B2TR_C4SO_711N">#REF!</definedName>
    <definedName name="B2TR_C4SO_711O">#REF!</definedName>
    <definedName name="B2TR_C4SO_711P">#REF!</definedName>
    <definedName name="B2TR_C4SO_712K">#REF!</definedName>
    <definedName name="B2TR_C4SO_712L">#REF!</definedName>
    <definedName name="B2TR_C4SO_712M">#REF!</definedName>
    <definedName name="B2TR_C4SO_712N">#REF!</definedName>
    <definedName name="B2TR_C4SO_811B">#REF!</definedName>
    <definedName name="B2TR_C4SO_811C">#REF!</definedName>
    <definedName name="B2TR_C4SO_813B">#REF!</definedName>
    <definedName name="B2TR_C4SO_813C">#REF!</definedName>
    <definedName name="B2TR_C4SO_841A">#REF!</definedName>
    <definedName name="B2TR_C4SO_841B">#REF!</definedName>
    <definedName name="B2TR_C4SO_841C">#REF!</definedName>
    <definedName name="B2TR_C4SO_842A">#REF!</definedName>
    <definedName name="B2TR_C4SO_842B">#REF!</definedName>
    <definedName name="B2TR_C4SO_842C">#REF!</definedName>
    <definedName name="B2TR_C4SO_843A">#REF!</definedName>
    <definedName name="B2TR_C4SO_844A">#REF!</definedName>
    <definedName name="B2TR_C4SO_845K">#REF!</definedName>
    <definedName name="B2TR_C4SO_846D">#REF!</definedName>
    <definedName name="B2TR_C4SO_846E">#REF!</definedName>
    <definedName name="B2TR_C4SO_846F">#REF!</definedName>
    <definedName name="B2TR_C4SO_846G">#REF!</definedName>
    <definedName name="B2TR_C4SO_846H">#REF!</definedName>
    <definedName name="B2TR_C4SO_846I">#REF!</definedName>
    <definedName name="B2TR_C4SO_850A">#REF!</definedName>
    <definedName name="B2TR_C4SO_850C">#REF!</definedName>
    <definedName name="B2TR_C4SO_900A">#REF!</definedName>
    <definedName name="B2TR_C4SO_900F">#REF!</definedName>
    <definedName name="B2TR_C4SO_900H">#REF!</definedName>
    <definedName name="B2TR_C4SO_900I">#REF!</definedName>
    <definedName name="B2TR_C4SO_900L">#REF!</definedName>
    <definedName name="B2TR_C4SO_905A">#REF!</definedName>
    <definedName name="B2TR_C4SO_905B">#REF!</definedName>
    <definedName name="B2TR_C4SO_905C">#REF!</definedName>
    <definedName name="B2TR_C4SO_905U">#REF!</definedName>
    <definedName name="B2TR_C4SO_906A">#REF!</definedName>
    <definedName name="B2TR_C4SO_906D">#REF!</definedName>
    <definedName name="B2TR_C4SO_906F">#REF!</definedName>
    <definedName name="B2TR_C4SO_906I">#REF!</definedName>
    <definedName name="B2TR_C4SO_906J">#REF!</definedName>
    <definedName name="B2TR_C4SO_906K">#REF!</definedName>
    <definedName name="B2TR_C4SO_906P">#REF!</definedName>
    <definedName name="B2TR_C4SO_906Z">#REF!</definedName>
    <definedName name="B2TR_C4SO_908A">#REF!</definedName>
    <definedName name="B2TR_C4SO_908B">#REF!</definedName>
    <definedName name="B2TR_C4SO_910B">#REF!</definedName>
    <definedName name="B2TR_C4SO_910C">#REF!</definedName>
    <definedName name="B2TR_C4SO_910D">#REF!</definedName>
    <definedName name="B2TR_C4SO_910E">#REF!</definedName>
    <definedName name="B2TR_C4SO_910K">#REF!</definedName>
    <definedName name="B2TR_C4SO_910M">#REF!</definedName>
    <definedName name="B2TR_C4SO_910N">#REF!</definedName>
    <definedName name="B2TR_C4SO_910O">#REF!</definedName>
    <definedName name="B2TR_C4SO_910Q">#REF!</definedName>
    <definedName name="B2TR_C4SO_910S">#REF!</definedName>
    <definedName name="B2TR_C4SO_910U">#REF!</definedName>
    <definedName name="B2TR_C4SO_910X">#REF!</definedName>
    <definedName name="B2TR_C4SO_911I">#REF!</definedName>
    <definedName name="B2TR_C4SO_911J">#REF!</definedName>
    <definedName name="B2TR_C4SO_911K">#REF!</definedName>
    <definedName name="B2TR_C4SO_911L">#REF!</definedName>
    <definedName name="B2TR_C4SO_911M">#REF!</definedName>
    <definedName name="B2TR_C4SO_911Q">#REF!</definedName>
    <definedName name="B2TR_C4SO_911QA">#REF!</definedName>
    <definedName name="B2TR_C4SO_911QB">#REF!</definedName>
    <definedName name="B2TR_C4SO_911S">#REF!</definedName>
    <definedName name="B2TR_C4SO_911V">#REF!</definedName>
    <definedName name="B2TR_C4SO_911W">#REF!</definedName>
    <definedName name="B2TR_C4SO_911Z">#REF!</definedName>
    <definedName name="B2TR_C4SO_912K">#REF!</definedName>
    <definedName name="B2TR_C4SO_913A">#REF!</definedName>
    <definedName name="B2TR_C4SO_913D">#REF!</definedName>
    <definedName name="B2TR_C4SO_913M">#REF!</definedName>
    <definedName name="B2TR_C4SO_914A">#REF!</definedName>
    <definedName name="B2TR_C4SO_914B">#REF!</definedName>
    <definedName name="B2TR_C4SO_914E">#REF!</definedName>
    <definedName name="B2TR_C4SO_914F">#REF!</definedName>
    <definedName name="B2TR_C4SO_914K">#REF!</definedName>
    <definedName name="B2TR_C4SO_914MDSIT">#REF!</definedName>
    <definedName name="B2TR_C4SO_920E">#REF!</definedName>
    <definedName name="B2TR_C4SO_921A">#REF!</definedName>
    <definedName name="B2TR_C4SO_921G">#REF!</definedName>
    <definedName name="B2TR_C4SO_930A">#REF!</definedName>
    <definedName name="B2TR_C4SO_930E">#REF!</definedName>
    <definedName name="B2TR_C4SO_930J">#REF!</definedName>
    <definedName name="B2TR_C4SO_930K">#REF!</definedName>
    <definedName name="B2TR_C4SO_940A">#REF!</definedName>
    <definedName name="B2TR_C4SO_940N">#REF!</definedName>
    <definedName name="B2TR_C4SO_940S">#REF!</definedName>
    <definedName name="B2TR_C4SO_940X">#REF!</definedName>
    <definedName name="B2TR_C4SO_960A">#REF!</definedName>
    <definedName name="B2TR_C4SO_980A">#REF!</definedName>
    <definedName name="B2TR_C4SO_980B">#REF!</definedName>
    <definedName name="B2TR_C4SO_980E">#REF!</definedName>
    <definedName name="B2TR_C4SO_980G">#REF!</definedName>
    <definedName name="B2TR_C4SO_980J">#REF!</definedName>
    <definedName name="B2TR_C4SO_980L">#REF!</definedName>
    <definedName name="B2TR_C4SO_985B">#REF!</definedName>
    <definedName name="B2TR_C4SO_990B">#REF!</definedName>
    <definedName name="B2TR_C4SO_995A">#REF!</definedName>
    <definedName name="B2TR_C4SO_999QFIN48">#REF!</definedName>
    <definedName name="B2TR_C4SO_FIT">#REF!</definedName>
    <definedName name="B2TR_C4SO_INT1">#REF!</definedName>
    <definedName name="B2TR_C4SO_M31">#REF!</definedName>
    <definedName name="B2TR_C4SO_M32">#REF!</definedName>
    <definedName name="B2TR_C4SO_M33">#REF!</definedName>
    <definedName name="B2TR_C4SO_NIT">#REF!</definedName>
    <definedName name="B2TR_C4SO_SIT">#REF!</definedName>
    <definedName name="B2TR_C5SO_0001">#REF!</definedName>
    <definedName name="B2TR_C5SO_0002">#REF!</definedName>
    <definedName name="B2TR_C5SO_0003">#REF!</definedName>
    <definedName name="B2TR_C5SO_014A">#REF!</definedName>
    <definedName name="B2TR_C5SO_014ADSIT">#REF!</definedName>
    <definedName name="B2TR_C5SO_014C">#REF!</definedName>
    <definedName name="B2TR_C5SO_014CDSIT">#REF!</definedName>
    <definedName name="B2TR_C5SO_014VDSIT">#REF!</definedName>
    <definedName name="B2TR_C5SO_014WDSIT">#REF!</definedName>
    <definedName name="B2TR_C5SO_210A">#REF!</definedName>
    <definedName name="B2TR_C5SO_210B">#REF!</definedName>
    <definedName name="B2TR_C5SO_210E">#REF!</definedName>
    <definedName name="B2TR_C5SO_211A">#REF!</definedName>
    <definedName name="B2TR_C5SO_220A">#REF!</definedName>
    <definedName name="B2TR_C5SO_220E">#REF!</definedName>
    <definedName name="B2TR_C5SO_230A">#REF!</definedName>
    <definedName name="B2TR_C5SO_230B">#REF!</definedName>
    <definedName name="B2TR_C5SO_230G">#REF!</definedName>
    <definedName name="B2TR_C5SO_230I">#REF!</definedName>
    <definedName name="B2TR_C5SO_230J">#REF!</definedName>
    <definedName name="B2TR_C5SO_230K">#REF!</definedName>
    <definedName name="B2TR_C5SO_230X">#REF!</definedName>
    <definedName name="B2TR_C5SO_232A">#REF!</definedName>
    <definedName name="B2TR_C5SO_232C">#REF!</definedName>
    <definedName name="B2TR_C5SO_232K">#REF!</definedName>
    <definedName name="B2TR_C5SO_232M">#REF!</definedName>
    <definedName name="B2TR_C5SO_234F">#REF!</definedName>
    <definedName name="B2TR_C5SO_234Q">#REF!</definedName>
    <definedName name="B2TR_C5SO_280A">#REF!</definedName>
    <definedName name="B2TR_C5SO_280D">#REF!</definedName>
    <definedName name="B2TR_C5SO_280E">#REF!</definedName>
    <definedName name="B2TR_C5SO_280F">#REF!</definedName>
    <definedName name="B2TR_C5SO_280H">#REF!</definedName>
    <definedName name="B2TR_C5SO_280J">#REF!</definedName>
    <definedName name="B2TR_C5SO_280Y">#REF!</definedName>
    <definedName name="B2TR_C5SO_282A">#REF!</definedName>
    <definedName name="B2TR_C5SO_282B">#REF!</definedName>
    <definedName name="B2TR_C5SO_295A">#REF!</definedName>
    <definedName name="B2TR_C5SO_295D">#REF!</definedName>
    <definedName name="B2TR_C5SO_310A">#REF!</definedName>
    <definedName name="B2TR_C5SO_310D">#REF!</definedName>
    <definedName name="B2TR_C5SO_310E">#REF!</definedName>
    <definedName name="B2TR_C5SO_320A">#REF!</definedName>
    <definedName name="B2TR_C5SO_320D">#REF!</definedName>
    <definedName name="B2TR_C5SO_320I">#REF!</definedName>
    <definedName name="B2TR_C5SO_320L">#REF!</definedName>
    <definedName name="B2TR_C5SO_320S">#REF!</definedName>
    <definedName name="B2TR_C5SO_320U">#REF!</definedName>
    <definedName name="B2TR_C5SO_330D">#REF!</definedName>
    <definedName name="B2TR_C5SO_345A">#REF!</definedName>
    <definedName name="B2TR_C5SO_345B">#REF!</definedName>
    <definedName name="B2TR_C5SO_350A">#REF!</definedName>
    <definedName name="B2TR_C5SO_360A">#REF!</definedName>
    <definedName name="B2TR_C5SO_380F">#REF!</definedName>
    <definedName name="B2TR_C5SO_380J">#REF!</definedName>
    <definedName name="B2TR_C5SO_390A">#REF!</definedName>
    <definedName name="B2TR_C5SO_390C">#REF!</definedName>
    <definedName name="B2TR_C5SO_390D">#REF!</definedName>
    <definedName name="B2TR_C5SO_390E">#REF!</definedName>
    <definedName name="B2TR_C5SO_390F">#REF!</definedName>
    <definedName name="B2TR_C5SO_410A">#REF!</definedName>
    <definedName name="B2TR_C5SO_430I">#REF!</definedName>
    <definedName name="B2TR_C5SO_430J">#REF!</definedName>
    <definedName name="B2TR_C5SO_432A">#REF!</definedName>
    <definedName name="B2TR_C5SO_432C">#REF!</definedName>
    <definedName name="B2TR_C5SO_432D">#REF!</definedName>
    <definedName name="B2TR_C5SO_432G">#REF!</definedName>
    <definedName name="B2TR_C5SO_432I">#REF!</definedName>
    <definedName name="B2TR_C5SO_432M">#REF!</definedName>
    <definedName name="B2TR_C5SO_433A">#REF!</definedName>
    <definedName name="B2TR_C5SO_433C">#REF!</definedName>
    <definedName name="B2TR_C5SO_433D">#REF!</definedName>
    <definedName name="B2TR_C5SO_433F">#REF!</definedName>
    <definedName name="B2TR_C5SO_460A">#REF!</definedName>
    <definedName name="B2TR_C5SO_510B">#REF!</definedName>
    <definedName name="B2TR_C5SO_510H">#REF!</definedName>
    <definedName name="B2TR_C5SO_510I">#REF!</definedName>
    <definedName name="B2TR_C5SO_510M">#REF!</definedName>
    <definedName name="B2TR_C5SO_520A">#REF!</definedName>
    <definedName name="B2TR_C5SO_520X">#REF!</definedName>
    <definedName name="B2TR_C5SO_520Y">#REF!</definedName>
    <definedName name="B2TR_C5SO_531A">#REF!</definedName>
    <definedName name="B2TR_C5SO_531B">#REF!</definedName>
    <definedName name="B2TR_C5SO_531H">#REF!</definedName>
    <definedName name="B2TR_C5SO_532A">#REF!</definedName>
    <definedName name="B2TR_C5SO_532C">#REF!</definedName>
    <definedName name="B2TR_C5SO_532D">#REF!</definedName>
    <definedName name="B2TR_C5SO_532E">#REF!</definedName>
    <definedName name="B2TR_C5SO_532F">#REF!</definedName>
    <definedName name="B2TR_C5SO_532G">#REF!</definedName>
    <definedName name="B2TR_C5SO_532H">#REF!</definedName>
    <definedName name="B2TR_C5SO_533A">#REF!</definedName>
    <definedName name="B2TR_C5SO_533D">#REF!</definedName>
    <definedName name="B2TR_C5SO_533E">#REF!</definedName>
    <definedName name="B2TR_C5SO_533J">#REF!</definedName>
    <definedName name="B2TR_C5SO_534A">#REF!</definedName>
    <definedName name="B2TR_C5SO_560D">#REF!</definedName>
    <definedName name="B2TR_C5SO_560J">#REF!</definedName>
    <definedName name="B2TR_C5SO_561A">#REF!</definedName>
    <definedName name="B2TR_C5SO_561D">#REF!</definedName>
    <definedName name="B2TR_C5SO_561I">#REF!</definedName>
    <definedName name="B2TR_C5SO_561J">#REF!</definedName>
    <definedName name="B2TR_C5SO_562B">#REF!</definedName>
    <definedName name="B2TR_C5SO_562H">#REF!</definedName>
    <definedName name="B2TR_C5SO_575E">#REF!</definedName>
    <definedName name="B2TR_C5SO_575G">#REF!</definedName>
    <definedName name="B2TR_C5SO_576e">#REF!</definedName>
    <definedName name="B2TR_C5SO_576F">#REF!</definedName>
    <definedName name="B2TR_C5SO_601E">#REF!</definedName>
    <definedName name="B2TR_C5SO_601G">#REF!</definedName>
    <definedName name="B2TR_C5SO_601T">#REF!</definedName>
    <definedName name="B2TR_C5SO_602A">#REF!</definedName>
    <definedName name="B2TR_C5SO_603A">#REF!</definedName>
    <definedName name="B2TR_C5SO_603G">#REF!</definedName>
    <definedName name="B2TR_C5SO_605B">#REF!</definedName>
    <definedName name="B2TR_C5SO_605C">#REF!</definedName>
    <definedName name="B2TR_C5SO_605E">#REF!</definedName>
    <definedName name="B2TR_C5SO_605F">#REF!</definedName>
    <definedName name="B2TR_C5SO_605I">#REF!</definedName>
    <definedName name="B2TR_C5SO_605K">#REF!</definedName>
    <definedName name="B2TR_C5SO_605O">#REF!</definedName>
    <definedName name="B2TR_C5SO_605P">#REF!</definedName>
    <definedName name="B2TR_C5SO_605T">#REF!</definedName>
    <definedName name="B2TR_C5SO_605V">#REF!</definedName>
    <definedName name="B2TR_C5SO_605W">#REF!</definedName>
    <definedName name="B2TR_C5SO_609E">#REF!</definedName>
    <definedName name="B2TR_C5SO_610A">#REF!</definedName>
    <definedName name="B2TR_C5SO_610U">#REF!</definedName>
    <definedName name="B2TR_C5SO_610V">#REF!</definedName>
    <definedName name="B2TR_C5SO_611E">#REF!</definedName>
    <definedName name="B2TR_C5SO_611G">#REF!</definedName>
    <definedName name="B2TR_C5SO_611M">#REF!</definedName>
    <definedName name="B2TR_C5SO_611S">#REF!</definedName>
    <definedName name="B2TR_C5SO_611U">#REF!</definedName>
    <definedName name="B2TR_C5SO_611Y">#REF!</definedName>
    <definedName name="B2TR_C5SO_612H">#REF!</definedName>
    <definedName name="B2TR_C5SO_612Y">#REF!</definedName>
    <definedName name="B2TR_C5SO_613B">#REF!</definedName>
    <definedName name="B2TR_C5SO_613C">#REF!</definedName>
    <definedName name="B2TR_C5SO_613E">#REF!</definedName>
    <definedName name="B2TR_C5SO_613F">#REF!</definedName>
    <definedName name="B2TR_C5SO_613I">#REF!</definedName>
    <definedName name="B2TR_C5SO_613K">#REF!</definedName>
    <definedName name="B2TR_C5SO_613L">#REF!</definedName>
    <definedName name="B2TR_C5SO_613N">#REF!</definedName>
    <definedName name="B2TR_C5SO_613O">#REF!</definedName>
    <definedName name="B2TR_C5SO_613R">#REF!</definedName>
    <definedName name="B2TR_C5SO_613S">#REF!</definedName>
    <definedName name="B2TR_C5SO_613U">#REF!</definedName>
    <definedName name="B2TR_C5SO_613Y">#REF!</definedName>
    <definedName name="B2TR_C5SO_614I">#REF!</definedName>
    <definedName name="B2TR_C5SO_614W">#REF!</definedName>
    <definedName name="B2TR_C5SO_614Y">#REF!</definedName>
    <definedName name="B2TR_C5SO_614Z">#REF!</definedName>
    <definedName name="B2TR_C5SO_615B">#REF!</definedName>
    <definedName name="B2TR_C5SO_615C">#REF!</definedName>
    <definedName name="B2TR_C5SO_615Q">#REF!</definedName>
    <definedName name="B2TR_C5SO_615R">#REF!</definedName>
    <definedName name="B2TR_C5SO_615T">#REF!</definedName>
    <definedName name="B2TR_C5SO_615Z">#REF!</definedName>
    <definedName name="B2TR_C5SO_616A">#REF!</definedName>
    <definedName name="B2TR_C5SO_620A">#REF!</definedName>
    <definedName name="B2TR_C5SO_620C">#REF!</definedName>
    <definedName name="B2TR_C5SO_625A">#REF!</definedName>
    <definedName name="B2TR_C5SO_625B">#REF!</definedName>
    <definedName name="B2TR_C5SO_629X">#REF!</definedName>
    <definedName name="B2TR_C5SO_630A">#REF!</definedName>
    <definedName name="B2TR_C5SO_630E">#REF!</definedName>
    <definedName name="B2TR_C5SO_630F">#REF!</definedName>
    <definedName name="B2TR_C5SO_630G">#REF!</definedName>
    <definedName name="B2TR_C5SO_630J">#REF!</definedName>
    <definedName name="B2TR_C5SO_630M">#REF!</definedName>
    <definedName name="B2TR_C5SO_630T">#REF!</definedName>
    <definedName name="B2TR_C5SO_630X">#REF!</definedName>
    <definedName name="B2TR_C5SO_630Y">#REF!</definedName>
    <definedName name="B2TR_C5SO_631C">#REF!</definedName>
    <definedName name="B2TR_C5SO_631D">#REF!</definedName>
    <definedName name="B2TR_C5SO_631E">#REF!</definedName>
    <definedName name="B2TR_C5SO_631F">#REF!</definedName>
    <definedName name="B2TR_C5SO_631G">#REF!</definedName>
    <definedName name="B2TR_C5SO_631H">#REF!</definedName>
    <definedName name="B2TR_C5SO_631I">#REF!</definedName>
    <definedName name="B2TR_C5SO_631J">#REF!</definedName>
    <definedName name="B2TR_C5SO_631S">#REF!</definedName>
    <definedName name="B2TR_C5SO_631U">#REF!</definedName>
    <definedName name="B2TR_C5SO_632G">#REF!</definedName>
    <definedName name="B2TR_C5SO_632O">#REF!</definedName>
    <definedName name="B2TR_C5SO_632P">#REF!</definedName>
    <definedName name="B2TR_C5SO_632U">#REF!</definedName>
    <definedName name="B2TR_C5SO_632Y">#REF!</definedName>
    <definedName name="B2TR_C5SO_633A">#REF!</definedName>
    <definedName name="B2TR_C5SO_635C">#REF!</definedName>
    <definedName name="B2TR_C5SO_638A">#REF!</definedName>
    <definedName name="B2TR_C5SO_638C">#REF!</definedName>
    <definedName name="B2TR_C5SO_641I">#REF!</definedName>
    <definedName name="B2TR_C5SO_641X">#REF!</definedName>
    <definedName name="B2TR_C5SO_641Y">#REF!</definedName>
    <definedName name="B2TR_C5SO_642B">#REF!</definedName>
    <definedName name="B2TR_C5SO_642C">#REF!</definedName>
    <definedName name="B2TR_C5SO_651C">#REF!</definedName>
    <definedName name="B2TR_C5SO_651F">#REF!</definedName>
    <definedName name="B2TR_C5SO_651H">#REF!</definedName>
    <definedName name="B2TR_C5SO_651I">#REF!</definedName>
    <definedName name="B2TR_C5SO_651J">#REF!</definedName>
    <definedName name="B2TR_C5SO_651K">#REF!</definedName>
    <definedName name="B2TR_C5SO_651M">#REF!</definedName>
    <definedName name="B2TR_C5SO_651O">#REF!</definedName>
    <definedName name="B2TR_C5SO_651Q">#REF!</definedName>
    <definedName name="B2TR_C5SO_651R">#REF!</definedName>
    <definedName name="B2TR_C5SO_651S">#REF!</definedName>
    <definedName name="B2TR_C5SO_651T">#REF!</definedName>
    <definedName name="B2TR_C5SO_651U">#REF!</definedName>
    <definedName name="B2TR_C5SO_651W">#REF!</definedName>
    <definedName name="B2TR_C5SO_651X">#REF!</definedName>
    <definedName name="B2TR_C5SO_651Y">#REF!</definedName>
    <definedName name="B2TR_C5SO_651Z">#REF!</definedName>
    <definedName name="B2TR_C5SO_652G">#REF!</definedName>
    <definedName name="B2TR_C5SO_653A">#REF!</definedName>
    <definedName name="B2TR_C5SO_659B">#REF!</definedName>
    <definedName name="B2TR_C5SO_660A">#REF!</definedName>
    <definedName name="B2TR_C5SO_660F">#REF!</definedName>
    <definedName name="B2TR_C5SO_660G">#REF!</definedName>
    <definedName name="B2TR_C5SO_660K">#REF!</definedName>
    <definedName name="B2TR_C5SO_660O">#REF!</definedName>
    <definedName name="B2TR_C5SO_660R">#REF!</definedName>
    <definedName name="B2TR_C5SO_660Z">#REF!</definedName>
    <definedName name="B2TR_C5SO_661B">#REF!</definedName>
    <definedName name="B2TR_C5SO_661R">#REF!</definedName>
    <definedName name="B2TR_C5SO_661S">#REF!</definedName>
    <definedName name="B2TR_C5SO_661T">#REF!</definedName>
    <definedName name="B2TR_C5SO_661U">#REF!</definedName>
    <definedName name="B2TR_C5SO_661V">#REF!</definedName>
    <definedName name="B2TR_C5SO_661X">#REF!</definedName>
    <definedName name="B2TR_C5SO_661Y">#REF!</definedName>
    <definedName name="B2TR_C5SO_662A">#REF!</definedName>
    <definedName name="B2TR_C5SO_662D">#REF!</definedName>
    <definedName name="B2TR_C5SO_663F">#REF!</definedName>
    <definedName name="B2TR_C5SO_663G">#REF!</definedName>
    <definedName name="B2TR_C5SO_663N">#REF!</definedName>
    <definedName name="B2TR_C5SO_663O">#REF!</definedName>
    <definedName name="B2TR_C5SO_663T">#REF!</definedName>
    <definedName name="B2TR_C5SO_663X">#REF!</definedName>
    <definedName name="B2TR_C5SO_664A">#REF!</definedName>
    <definedName name="B2TR_C5SO_664B">#REF!</definedName>
    <definedName name="B2TR_C5SO_664F">#REF!</definedName>
    <definedName name="B2TR_C5SO_664N">#REF!</definedName>
    <definedName name="B2TR_C5SO_664P">#REF!</definedName>
    <definedName name="B2TR_C5SO_664Q">#REF!</definedName>
    <definedName name="B2TR_C5SO_664R">#REF!</definedName>
    <definedName name="B2TR_C5SO_664V">#REF!</definedName>
    <definedName name="B2TR_C5SO_665D">#REF!</definedName>
    <definedName name="B2TR_C5SO_665G">#REF!</definedName>
    <definedName name="B2TR_C5SO_665I">#REF!</definedName>
    <definedName name="B2TR_C5SO_665J">#REF!</definedName>
    <definedName name="B2TR_C5SO_665N">#REF!</definedName>
    <definedName name="B2TR_C5SO_665V">#REF!</definedName>
    <definedName name="B2TR_C5SO_665X">#REF!</definedName>
    <definedName name="B2TR_C5SO_667C">#REF!</definedName>
    <definedName name="B2TR_C5SO_667D">#REF!</definedName>
    <definedName name="B2TR_C5SO_667E">#REF!</definedName>
    <definedName name="B2TR_C5SO_667H">#REF!</definedName>
    <definedName name="B2TR_C5SO_667J">#REF!</definedName>
    <definedName name="B2TR_C5SO_667K">#REF!</definedName>
    <definedName name="B2TR_C5SO_667N">#REF!</definedName>
    <definedName name="B2TR_C5SO_667P">#REF!</definedName>
    <definedName name="B2TR_C5SO_667R">#REF!</definedName>
    <definedName name="B2TR_C5SO_667S">#REF!</definedName>
    <definedName name="B2TR_C5SO_667T">#REF!</definedName>
    <definedName name="B2TR_C5SO_667U">#REF!</definedName>
    <definedName name="B2TR_C5SO_667V">#REF!</definedName>
    <definedName name="B2TR_C5SO_667W">#REF!</definedName>
    <definedName name="B2TR_C5SO_667Y">#REF!</definedName>
    <definedName name="B2TR_C5SO_667Z">#REF!</definedName>
    <definedName name="B2TR_C5SO_668B">#REF!</definedName>
    <definedName name="B2TR_C5SO_668D">#REF!</definedName>
    <definedName name="B2TR_C5SO_668E">#REF!</definedName>
    <definedName name="B2TR_C5SO_668F">#REF!</definedName>
    <definedName name="B2TR_C5SO_668G">#REF!</definedName>
    <definedName name="B2TR_C5SO_668H">#REF!</definedName>
    <definedName name="B2TR_C5SO_668I">#REF!</definedName>
    <definedName name="B2TR_C5SO_668J">#REF!</definedName>
    <definedName name="B2TR_C5SO_668O">#REF!</definedName>
    <definedName name="B2TR_C5SO_668P">#REF!</definedName>
    <definedName name="B2TR_C5SO_668T">#REF!</definedName>
    <definedName name="B2TR_C5SO_668U">#REF!</definedName>
    <definedName name="B2TR_C5SO_668V">#REF!</definedName>
    <definedName name="B2TR_C5SO_669A">#REF!</definedName>
    <definedName name="B2TR_C5SO_669H">#REF!</definedName>
    <definedName name="B2TR_C5SO_669I">#REF!</definedName>
    <definedName name="B2TR_C5SO_669J">#REF!</definedName>
    <definedName name="B2TR_C5SO_669K">#REF!</definedName>
    <definedName name="B2TR_C5SO_669O">#REF!</definedName>
    <definedName name="B2TR_C5SO_669R">#REF!</definedName>
    <definedName name="B2TR_C5SO_669S">#REF!</definedName>
    <definedName name="B2TR_C5SO_669T">#REF!</definedName>
    <definedName name="B2TR_C5SO_669U">#REF!</definedName>
    <definedName name="B2TR_C5SO_669W">#REF!</definedName>
    <definedName name="B2TR_C5SO_669X">#REF!</definedName>
    <definedName name="B2TR_C5SO_669Y">#REF!</definedName>
    <definedName name="B2TR_C5SO_669Z">#REF!</definedName>
    <definedName name="B2TR_C5SO_670D">#REF!</definedName>
    <definedName name="B2TR_C5SO_670F">#REF!</definedName>
    <definedName name="B2TR_C5SO_670H">#REF!</definedName>
    <definedName name="B2TR_C5SO_670I">#REF!</definedName>
    <definedName name="B2TR_C5SO_670N">#REF!</definedName>
    <definedName name="B2TR_C5SO_670O">#REF!</definedName>
    <definedName name="B2TR_C5SO_670P">#REF!</definedName>
    <definedName name="B2TR_C5SO_670Q">#REF!</definedName>
    <definedName name="B2TR_C5SO_670S">#REF!</definedName>
    <definedName name="B2TR_C5SO_670W">#REF!</definedName>
    <definedName name="B2TR_C5SO_670X">#REF!</definedName>
    <definedName name="B2TR_C5SO_670Y">#REF!</definedName>
    <definedName name="B2TR_C5SO_670Z">#REF!</definedName>
    <definedName name="B2TR_C5SO_671A">#REF!</definedName>
    <definedName name="B2TR_C5SO_671B">#REF!</definedName>
    <definedName name="B2TR_C5SO_671D">#REF!</definedName>
    <definedName name="B2TR_C5SO_671F">#REF!</definedName>
    <definedName name="B2TR_C5SO_671G">#REF!</definedName>
    <definedName name="B2TR_C5SO_671H">#REF!</definedName>
    <definedName name="B2TR_C5SO_671I">#REF!</definedName>
    <definedName name="B2TR_C5SO_671J">#REF!</definedName>
    <definedName name="B2TR_C5SO_671K">#REF!</definedName>
    <definedName name="B2TR_C5SO_671L">#REF!</definedName>
    <definedName name="B2TR_C5SO_671M">#REF!</definedName>
    <definedName name="B2TR_C5SO_671N">#REF!</definedName>
    <definedName name="B2TR_C5SO_671O">#REF!</definedName>
    <definedName name="B2TR_C5SO_671P">#REF!</definedName>
    <definedName name="B2TR_C5SO_671Q">#REF!</definedName>
    <definedName name="B2TR_C5SO_671R">#REF!</definedName>
    <definedName name="B2TR_C5SO_671S">#REF!</definedName>
    <definedName name="B2TR_C5SO_671T">#REF!</definedName>
    <definedName name="B2TR_C5SO_671W">#REF!</definedName>
    <definedName name="B2TR_C5SO_671Z">#REF!</definedName>
    <definedName name="B2TR_C5SO_672G">#REF!</definedName>
    <definedName name="B2TR_C5SO_672H">#REF!</definedName>
    <definedName name="B2TR_C5SO_672I">#REF!</definedName>
    <definedName name="B2TR_C5SO_672M">#REF!</definedName>
    <definedName name="B2TR_C5SO_672N">#REF!</definedName>
    <definedName name="B2TR_C5SO_672O">#REF!</definedName>
    <definedName name="B2TR_C5SO_672P">#REF!</definedName>
    <definedName name="B2TR_C5SO_672R">#REF!</definedName>
    <definedName name="B2TR_C5SO_672S">#REF!</definedName>
    <definedName name="B2TR_C5SO_672T">#REF!</definedName>
    <definedName name="B2TR_C5SO_673C">#REF!</definedName>
    <definedName name="B2TR_C5SO_673E">#REF!</definedName>
    <definedName name="B2TR_C5SO_673F">#REF!</definedName>
    <definedName name="B2TR_C5SO_673G">#REF!</definedName>
    <definedName name="B2TR_C5SO_673H">#REF!</definedName>
    <definedName name="B2TR_C5SO_673I">#REF!</definedName>
    <definedName name="B2TR_C5SO_673J">#REF!</definedName>
    <definedName name="B2TR_C5SO_673K">#REF!</definedName>
    <definedName name="B2TR_C5SO_673M">#REF!</definedName>
    <definedName name="B2TR_C5SO_673N">#REF!</definedName>
    <definedName name="B2TR_C5SO_673O">#REF!</definedName>
    <definedName name="B2TR_C5SO_673R">#REF!</definedName>
    <definedName name="B2TR_C5SO_673S">#REF!</definedName>
    <definedName name="B2TR_C5SO_673U">#REF!</definedName>
    <definedName name="B2TR_C5SO_673V">#REF!</definedName>
    <definedName name="B2TR_C5SO_673W">#REF!</definedName>
    <definedName name="B2TR_C5SO_673X">#REF!</definedName>
    <definedName name="B2TR_C5SO_673Y">#REF!</definedName>
    <definedName name="B2TR_C5SO_673Z">#REF!</definedName>
    <definedName name="B2TR_C5SO_674A">#REF!</definedName>
    <definedName name="B2TR_C5SO_674B">#REF!</definedName>
    <definedName name="B2TR_C5SO_674C">#REF!</definedName>
    <definedName name="B2TR_C5SO_674D">#REF!</definedName>
    <definedName name="B2TR_C5SO_674E">#REF!</definedName>
    <definedName name="B2TR_C5SO_674F">#REF!</definedName>
    <definedName name="B2TR_C5SO_674G">#REF!</definedName>
    <definedName name="B2TR_C5SO_674I">#REF!</definedName>
    <definedName name="B2TR_C5SO_674J">#REF!</definedName>
    <definedName name="B2TR_C5SO_674M">#REF!</definedName>
    <definedName name="B2TR_C5SO_674P">#REF!</definedName>
    <definedName name="B2TR_C5SO_674Q">#REF!</definedName>
    <definedName name="B2TR_C5SO_674R">#REF!</definedName>
    <definedName name="B2TR_C5SO_674S">#REF!</definedName>
    <definedName name="B2TR_C5SO_674V">#REF!</definedName>
    <definedName name="B2TR_C5SO_674W">#REF!</definedName>
    <definedName name="B2TR_C5SO_675A">#REF!</definedName>
    <definedName name="B2TR_C5SO_675C">#REF!</definedName>
    <definedName name="B2TR_C5SO_675E">#REF!</definedName>
    <definedName name="B2TR_C5SO_675F">#REF!</definedName>
    <definedName name="B2TR_C5SO_675G">#REF!</definedName>
    <definedName name="B2TR_C5SO_675H">#REF!</definedName>
    <definedName name="B2TR_C5SO_675I">#REF!</definedName>
    <definedName name="B2TR_C5SO_675J">#REF!</definedName>
    <definedName name="B2TR_C5SO_675K">#REF!</definedName>
    <definedName name="B2TR_C5SO_675L">#REF!</definedName>
    <definedName name="B2TR_C5SO_675M">#REF!</definedName>
    <definedName name="B2TR_C5SO_675N">#REF!</definedName>
    <definedName name="B2TR_C5SO_675O">#REF!</definedName>
    <definedName name="B2TR_C5SO_675P">#REF!</definedName>
    <definedName name="B2TR_C5SO_675Q">#REF!</definedName>
    <definedName name="B2TR_C5SO_675R">#REF!</definedName>
    <definedName name="B2TR_C5SO_675S">#REF!</definedName>
    <definedName name="B2TR_C5SO_675T">#REF!</definedName>
    <definedName name="B2TR_C5SO_675U">#REF!</definedName>
    <definedName name="B2TR_C5SO_675V">#REF!</definedName>
    <definedName name="B2TR_C5SO_675W">#REF!</definedName>
    <definedName name="B2TR_C5SO_675X">#REF!</definedName>
    <definedName name="B2TR_C5SO_675Y">#REF!</definedName>
    <definedName name="B2TR_C5SO_675Z">#REF!</definedName>
    <definedName name="B2TR_C5SO_676A">#REF!</definedName>
    <definedName name="B2TR_C5SO_676B">#REF!</definedName>
    <definedName name="B2TR_C5SO_676C">#REF!</definedName>
    <definedName name="B2TR_C5SO_676D">#REF!</definedName>
    <definedName name="B2TR_C5SO_676E">#REF!</definedName>
    <definedName name="B2TR_C5SO_676F">#REF!</definedName>
    <definedName name="B2TR_C5SO_676G">#REF!</definedName>
    <definedName name="B2TR_C5SO_676J">#REF!</definedName>
    <definedName name="B2TR_C5SO_690C">#REF!</definedName>
    <definedName name="B2TR_C5SO_690D">#REF!</definedName>
    <definedName name="B2TR_C5SO_690E">#REF!</definedName>
    <definedName name="B2TR_C5SO_690F">#REF!</definedName>
    <definedName name="B2TR_C5SO_690G">#REF!</definedName>
    <definedName name="B2TR_C5SO_690I">#REF!</definedName>
    <definedName name="B2TR_C5SO_690J">#REF!</definedName>
    <definedName name="B2TR_C5SO_690K">#REF!</definedName>
    <definedName name="B2TR_C5SO_690L">#REF!</definedName>
    <definedName name="B2TR_C5SO_700B">#REF!</definedName>
    <definedName name="B2TR_C5SO_701A">#REF!</definedName>
    <definedName name="B2TR_C5SO_702A">#REF!</definedName>
    <definedName name="B2TR_C5SO_710H">#REF!</definedName>
    <definedName name="B2TR_C5SO_710Q">#REF!</definedName>
    <definedName name="B2TR_C5SO_710Y">#REF!</definedName>
    <definedName name="B2TR_C5SO_711N">#REF!</definedName>
    <definedName name="B2TR_C5SO_711O">#REF!</definedName>
    <definedName name="B2TR_C5SO_711P">#REF!</definedName>
    <definedName name="B2TR_C5SO_712K">#REF!</definedName>
    <definedName name="B2TR_C5SO_712L">#REF!</definedName>
    <definedName name="B2TR_C5SO_712M">#REF!</definedName>
    <definedName name="B2TR_C5SO_712N">#REF!</definedName>
    <definedName name="B2TR_C5SO_811B">#REF!</definedName>
    <definedName name="B2TR_C5SO_811C">#REF!</definedName>
    <definedName name="B2TR_C5SO_813B">#REF!</definedName>
    <definedName name="B2TR_C5SO_813C">#REF!</definedName>
    <definedName name="B2TR_C5SO_841A">#REF!</definedName>
    <definedName name="B2TR_C5SO_841B">#REF!</definedName>
    <definedName name="B2TR_C5SO_841C">#REF!</definedName>
    <definedName name="B2TR_C5SO_842A">#REF!</definedName>
    <definedName name="B2TR_C5SO_842B">#REF!</definedName>
    <definedName name="B2TR_C5SO_842C">#REF!</definedName>
    <definedName name="B2TR_C5SO_843A">#REF!</definedName>
    <definedName name="B2TR_C5SO_844A">#REF!</definedName>
    <definedName name="B2TR_C5SO_845K">#REF!</definedName>
    <definedName name="B2TR_C5SO_846D">#REF!</definedName>
    <definedName name="B2TR_C5SO_846E">#REF!</definedName>
    <definedName name="B2TR_C5SO_846F">#REF!</definedName>
    <definedName name="B2TR_C5SO_846G">#REF!</definedName>
    <definedName name="B2TR_C5SO_846H">#REF!</definedName>
    <definedName name="B2TR_C5SO_846I">#REF!</definedName>
    <definedName name="B2TR_C5SO_850A">#REF!</definedName>
    <definedName name="B2TR_C5SO_850C">#REF!</definedName>
    <definedName name="B2TR_C5SO_900A">#REF!</definedName>
    <definedName name="B2TR_C5SO_900F">#REF!</definedName>
    <definedName name="B2TR_C5SO_900H">#REF!</definedName>
    <definedName name="B2TR_C5SO_900I">#REF!</definedName>
    <definedName name="B2TR_C5SO_900L">#REF!</definedName>
    <definedName name="B2TR_C5SO_905A">#REF!</definedName>
    <definedName name="B2TR_C5SO_905B">#REF!</definedName>
    <definedName name="B2TR_C5SO_905C">#REF!</definedName>
    <definedName name="B2TR_C5SO_905U">#REF!</definedName>
    <definedName name="B2TR_C5SO_906A">#REF!</definedName>
    <definedName name="B2TR_C5SO_906D">#REF!</definedName>
    <definedName name="B2TR_C5SO_906F">#REF!</definedName>
    <definedName name="B2TR_C5SO_906I">#REF!</definedName>
    <definedName name="B2TR_C5SO_906J">#REF!</definedName>
    <definedName name="B2TR_C5SO_906K">#REF!</definedName>
    <definedName name="B2TR_C5SO_906P">#REF!</definedName>
    <definedName name="B2TR_C5SO_906Z">#REF!</definedName>
    <definedName name="B2TR_C5SO_908A">#REF!</definedName>
    <definedName name="B2TR_C5SO_908B">#REF!</definedName>
    <definedName name="B2TR_C5SO_910B">#REF!</definedName>
    <definedName name="B2TR_C5SO_910C">#REF!</definedName>
    <definedName name="B2TR_C5SO_910D">#REF!</definedName>
    <definedName name="B2TR_C5SO_910E">#REF!</definedName>
    <definedName name="B2TR_C5SO_910K">#REF!</definedName>
    <definedName name="B2TR_C5SO_910M">#REF!</definedName>
    <definedName name="B2TR_C5SO_910N">#REF!</definedName>
    <definedName name="B2TR_C5SO_910O">#REF!</definedName>
    <definedName name="B2TR_C5SO_910Q">#REF!</definedName>
    <definedName name="B2TR_C5SO_910S">#REF!</definedName>
    <definedName name="B2TR_C5SO_910U">#REF!</definedName>
    <definedName name="B2TR_C5SO_910X">#REF!</definedName>
    <definedName name="B2TR_C5SO_911I">#REF!</definedName>
    <definedName name="B2TR_C5SO_911J">#REF!</definedName>
    <definedName name="B2TR_C5SO_911K">#REF!</definedName>
    <definedName name="B2TR_C5SO_911L">#REF!</definedName>
    <definedName name="B2TR_C5SO_911M">#REF!</definedName>
    <definedName name="B2TR_C5SO_911Q">#REF!</definedName>
    <definedName name="B2TR_C5SO_911QA">#REF!</definedName>
    <definedName name="B2TR_C5SO_911QB">#REF!</definedName>
    <definedName name="B2TR_C5SO_911S">#REF!</definedName>
    <definedName name="B2TR_C5SO_911V">#REF!</definedName>
    <definedName name="B2TR_C5SO_911W">#REF!</definedName>
    <definedName name="B2TR_C5SO_911Z">#REF!</definedName>
    <definedName name="B2TR_C5SO_912K">#REF!</definedName>
    <definedName name="B2TR_C5SO_913A">#REF!</definedName>
    <definedName name="B2TR_C5SO_913D">#REF!</definedName>
    <definedName name="B2TR_C5SO_913M">#REF!</definedName>
    <definedName name="B2TR_C5SO_914A">#REF!</definedName>
    <definedName name="B2TR_C5SO_914B">#REF!</definedName>
    <definedName name="B2TR_C5SO_914E">#REF!</definedName>
    <definedName name="B2TR_C5SO_914F">#REF!</definedName>
    <definedName name="B2TR_C5SO_914K">#REF!</definedName>
    <definedName name="B2TR_C5SO_914MDSIT">#REF!</definedName>
    <definedName name="B2TR_C5SO_920E">#REF!</definedName>
    <definedName name="B2TR_C5SO_921A">#REF!</definedName>
    <definedName name="B2TR_C5SO_921G">#REF!</definedName>
    <definedName name="B2TR_C5SO_930A">#REF!</definedName>
    <definedName name="B2TR_C5SO_930E">#REF!</definedName>
    <definedName name="B2TR_C5SO_930J">#REF!</definedName>
    <definedName name="B2TR_C5SO_930K">#REF!</definedName>
    <definedName name="B2TR_C5SO_940A">#REF!</definedName>
    <definedName name="B2TR_C5SO_940N">#REF!</definedName>
    <definedName name="B2TR_C5SO_940S">#REF!</definedName>
    <definedName name="B2TR_C5SO_940X">#REF!</definedName>
    <definedName name="B2TR_C5SO_960A">#REF!</definedName>
    <definedName name="B2TR_C5SO_980A">#REF!</definedName>
    <definedName name="B2TR_C5SO_980B">#REF!</definedName>
    <definedName name="B2TR_C5SO_980E">#REF!</definedName>
    <definedName name="B2TR_C5SO_980G">#REF!</definedName>
    <definedName name="B2TR_C5SO_980J">#REF!</definedName>
    <definedName name="B2TR_C5SO_980L">#REF!</definedName>
    <definedName name="B2TR_C5SO_985B">#REF!</definedName>
    <definedName name="B2TR_C5SO_990B">#REF!</definedName>
    <definedName name="B2TR_C5SO_995A">#REF!</definedName>
    <definedName name="B2TR_C5SO_999QFIN48">#REF!</definedName>
    <definedName name="B2TR_C5SO_INT1">#REF!</definedName>
    <definedName name="B2TR_C5SO_M31">#REF!</definedName>
    <definedName name="B2TR_C5SO_M32">#REF!</definedName>
    <definedName name="B2TR_C5SO_M33">#REF!</definedName>
    <definedName name="B2TR_C5SO_NIT">#REF!</definedName>
    <definedName name="B2TR_Comm_0001">#REF!</definedName>
    <definedName name="B2TR_Comm_0002">#REF!</definedName>
    <definedName name="B2TR_Comm_0003">#REF!</definedName>
    <definedName name="B2TR_Comm_014A">#REF!</definedName>
    <definedName name="B2TR_Comm_014ADSIT">#REF!</definedName>
    <definedName name="B2TR_Comm_014C">#REF!</definedName>
    <definedName name="B2TR_Comm_014CDSIT">#REF!</definedName>
    <definedName name="B2TR_Comm_014VDSIT">#REF!</definedName>
    <definedName name="B2TR_Comm_014WDSIT">#REF!</definedName>
    <definedName name="B2TR_Comm_210A">#REF!</definedName>
    <definedName name="B2TR_Comm_210B">#REF!</definedName>
    <definedName name="B2TR_Comm_210E">#REF!</definedName>
    <definedName name="B2TR_Comm_211A">#REF!</definedName>
    <definedName name="B2TR_Comm_220A">#REF!</definedName>
    <definedName name="B2TR_Comm_220E">#REF!</definedName>
    <definedName name="B2TR_Comm_230A">#REF!</definedName>
    <definedName name="B2TR_Comm_230B">#REF!</definedName>
    <definedName name="B2TR_Comm_230G">#REF!</definedName>
    <definedName name="B2TR_Comm_230I">#REF!</definedName>
    <definedName name="B2TR_Comm_230J">#REF!</definedName>
    <definedName name="B2TR_Comm_230K">#REF!</definedName>
    <definedName name="B2TR_Comm_230X">#REF!</definedName>
    <definedName name="B2TR_Comm_232A">#REF!</definedName>
    <definedName name="B2TR_Comm_232C">#REF!</definedName>
    <definedName name="B2TR_Comm_232K">#REF!</definedName>
    <definedName name="B2TR_Comm_232M">#REF!</definedName>
    <definedName name="B2TR_Comm_234F">#REF!</definedName>
    <definedName name="B2TR_Comm_234Q">#REF!</definedName>
    <definedName name="B2TR_Comm_280A">#REF!</definedName>
    <definedName name="B2TR_Comm_280D">#REF!</definedName>
    <definedName name="B2TR_Comm_280E">#REF!</definedName>
    <definedName name="B2TR_Comm_280F">#REF!</definedName>
    <definedName name="B2TR_Comm_280H">#REF!</definedName>
    <definedName name="B2TR_Comm_280J">#REF!</definedName>
    <definedName name="B2TR_Comm_280Y">#REF!</definedName>
    <definedName name="B2TR_Comm_282A">#REF!</definedName>
    <definedName name="B2TR_Comm_282B">#REF!</definedName>
    <definedName name="B2TR_Comm_295A">#REF!</definedName>
    <definedName name="B2TR_Comm_295D">#REF!</definedName>
    <definedName name="B2TR_Comm_310A">#REF!</definedName>
    <definedName name="B2TR_Comm_310D">#REF!</definedName>
    <definedName name="B2TR_Comm_310E">#REF!</definedName>
    <definedName name="B2TR_Comm_320A">#REF!</definedName>
    <definedName name="B2TR_Comm_320D">#REF!</definedName>
    <definedName name="B2TR_Comm_320I">#REF!</definedName>
    <definedName name="B2TR_Comm_320L">#REF!</definedName>
    <definedName name="B2TR_Comm_320S">#REF!</definedName>
    <definedName name="B2TR_Comm_320U">#REF!</definedName>
    <definedName name="B2TR_Comm_330D">#REF!</definedName>
    <definedName name="B2TR_Comm_345A">#REF!</definedName>
    <definedName name="B2TR_Comm_345B">#REF!</definedName>
    <definedName name="B2TR_Comm_350A">#REF!</definedName>
    <definedName name="B2TR_Comm_360A">#REF!</definedName>
    <definedName name="B2TR_Comm_380F">#REF!</definedName>
    <definedName name="B2TR_Comm_380J">#REF!</definedName>
    <definedName name="B2TR_Comm_390A">#REF!</definedName>
    <definedName name="B2TR_Comm_390C">#REF!</definedName>
    <definedName name="B2TR_Comm_390D">#REF!</definedName>
    <definedName name="B2TR_Comm_390E">#REF!</definedName>
    <definedName name="B2TR_Comm_390F">#REF!</definedName>
    <definedName name="B2TR_Comm_410A">#REF!</definedName>
    <definedName name="B2TR_Comm_430I">#REF!</definedName>
    <definedName name="B2TR_Comm_430J">#REF!</definedName>
    <definedName name="B2TR_Comm_432A">#REF!</definedName>
    <definedName name="B2TR_Comm_432C">#REF!</definedName>
    <definedName name="B2TR_Comm_432D">#REF!</definedName>
    <definedName name="B2TR_Comm_432G">#REF!</definedName>
    <definedName name="B2TR_Comm_432I">#REF!</definedName>
    <definedName name="B2TR_Comm_432M">#REF!</definedName>
    <definedName name="B2TR_Comm_433A">#REF!</definedName>
    <definedName name="B2TR_Comm_433C">#REF!</definedName>
    <definedName name="B2TR_Comm_433D">#REF!</definedName>
    <definedName name="B2TR_Comm_433F">#REF!</definedName>
    <definedName name="B2TR_Comm_460A">#REF!</definedName>
    <definedName name="B2TR_Comm_510B">#REF!</definedName>
    <definedName name="B2TR_Comm_510H">#REF!</definedName>
    <definedName name="B2TR_Comm_510I">#REF!</definedName>
    <definedName name="B2TR_Comm_510M">#REF!</definedName>
    <definedName name="B2TR_Comm_520A">#REF!</definedName>
    <definedName name="B2TR_Comm_520X">#REF!</definedName>
    <definedName name="B2TR_Comm_520Y">#REF!</definedName>
    <definedName name="B2TR_Comm_531A">#REF!</definedName>
    <definedName name="B2TR_Comm_531B">#REF!</definedName>
    <definedName name="B2TR_Comm_531H">#REF!</definedName>
    <definedName name="B2TR_Comm_532A">#REF!</definedName>
    <definedName name="B2TR_Comm_532C">#REF!</definedName>
    <definedName name="B2TR_Comm_532D">#REF!</definedName>
    <definedName name="B2TR_Comm_532E">#REF!</definedName>
    <definedName name="B2TR_Comm_532F">#REF!</definedName>
    <definedName name="B2TR_Comm_532G">#REF!</definedName>
    <definedName name="B2TR_Comm_532H">#REF!</definedName>
    <definedName name="B2TR_Comm_533A">#REF!</definedName>
    <definedName name="B2TR_Comm_533D">#REF!</definedName>
    <definedName name="B2TR_Comm_533E">#REF!</definedName>
    <definedName name="B2TR_Comm_533J">#REF!</definedName>
    <definedName name="B2TR_Comm_534A">#REF!</definedName>
    <definedName name="B2TR_Comm_560D">#REF!</definedName>
    <definedName name="B2TR_Comm_560J">#REF!</definedName>
    <definedName name="B2TR_Comm_561A">#REF!</definedName>
    <definedName name="B2TR_Comm_561D">#REF!</definedName>
    <definedName name="B2TR_Comm_561I">#REF!</definedName>
    <definedName name="B2TR_Comm_561J">#REF!</definedName>
    <definedName name="B2TR_Comm_562B">#REF!</definedName>
    <definedName name="B2TR_Comm_562H">#REF!</definedName>
    <definedName name="B2TR_Comm_575E">#REF!</definedName>
    <definedName name="B2TR_Comm_575G">#REF!</definedName>
    <definedName name="B2TR_Comm_576e">#REF!</definedName>
    <definedName name="B2TR_Comm_576F">#REF!</definedName>
    <definedName name="B2TR_Comm_601E">#REF!</definedName>
    <definedName name="B2TR_Comm_601G">#REF!</definedName>
    <definedName name="B2TR_Comm_601T">#REF!</definedName>
    <definedName name="B2TR_Comm_602A">#REF!</definedName>
    <definedName name="B2TR_Comm_603A">#REF!</definedName>
    <definedName name="B2TR_Comm_603G">#REF!</definedName>
    <definedName name="B2TR_Comm_605B">#REF!</definedName>
    <definedName name="B2TR_Comm_605C">#REF!</definedName>
    <definedName name="B2TR_Comm_605E">#REF!</definedName>
    <definedName name="B2TR_Comm_605F">#REF!</definedName>
    <definedName name="B2TR_Comm_605I">#REF!</definedName>
    <definedName name="B2TR_Comm_605K">#REF!</definedName>
    <definedName name="B2TR_Comm_605O">#REF!</definedName>
    <definedName name="B2TR_Comm_605P">#REF!</definedName>
    <definedName name="B2TR_Comm_605T">#REF!</definedName>
    <definedName name="B2TR_Comm_605V">#REF!</definedName>
    <definedName name="B2TR_Comm_605W">#REF!</definedName>
    <definedName name="B2TR_Comm_609E">#REF!</definedName>
    <definedName name="B2TR_Comm_610A">#REF!</definedName>
    <definedName name="B2TR_Comm_610U">#REF!</definedName>
    <definedName name="B2TR_Comm_610V">#REF!</definedName>
    <definedName name="B2TR_Comm_611E">#REF!</definedName>
    <definedName name="B2TR_Comm_611G">#REF!</definedName>
    <definedName name="B2TR_Comm_611M">#REF!</definedName>
    <definedName name="B2TR_Comm_611S">#REF!</definedName>
    <definedName name="B2TR_Comm_611U">#REF!</definedName>
    <definedName name="B2TR_Comm_611Y">#REF!</definedName>
    <definedName name="B2TR_Comm_612H">#REF!</definedName>
    <definedName name="B2TR_Comm_612Y">#REF!</definedName>
    <definedName name="B2TR_Comm_613B">#REF!</definedName>
    <definedName name="B2TR_Comm_613C">#REF!</definedName>
    <definedName name="B2TR_Comm_613E">#REF!</definedName>
    <definedName name="B2TR_Comm_613F">#REF!</definedName>
    <definedName name="B2TR_Comm_613I">#REF!</definedName>
    <definedName name="B2TR_Comm_613K">#REF!</definedName>
    <definedName name="B2TR_Comm_613L">#REF!</definedName>
    <definedName name="B2TR_Comm_613N">#REF!</definedName>
    <definedName name="B2TR_Comm_613O">#REF!</definedName>
    <definedName name="B2TR_Comm_613R">#REF!</definedName>
    <definedName name="B2TR_Comm_613S">#REF!</definedName>
    <definedName name="B2TR_Comm_613U">#REF!</definedName>
    <definedName name="B2TR_Comm_613Y">#REF!</definedName>
    <definedName name="B2TR_Comm_614I">#REF!</definedName>
    <definedName name="B2TR_Comm_614W">#REF!</definedName>
    <definedName name="B2TR_Comm_614Y">#REF!</definedName>
    <definedName name="B2TR_Comm_614Z">#REF!</definedName>
    <definedName name="B2TR_Comm_615B">#REF!</definedName>
    <definedName name="B2TR_Comm_615C">#REF!</definedName>
    <definedName name="B2TR_Comm_615Q">#REF!</definedName>
    <definedName name="B2TR_Comm_615R">#REF!</definedName>
    <definedName name="B2TR_Comm_615T">#REF!</definedName>
    <definedName name="B2TR_Comm_615Z">#REF!</definedName>
    <definedName name="B2TR_Comm_616A">#REF!</definedName>
    <definedName name="B2TR_Comm_620A">#REF!</definedName>
    <definedName name="B2TR_Comm_620C">#REF!</definedName>
    <definedName name="B2TR_Comm_625A">#REF!</definedName>
    <definedName name="B2TR_Comm_625B">#REF!</definedName>
    <definedName name="B2TR_Comm_629X">#REF!</definedName>
    <definedName name="B2TR_Comm_630A">#REF!</definedName>
    <definedName name="B2TR_Comm_630E">#REF!</definedName>
    <definedName name="B2TR_Comm_630F">#REF!</definedName>
    <definedName name="B2TR_Comm_630G">#REF!</definedName>
    <definedName name="B2TR_Comm_630J">#REF!</definedName>
    <definedName name="B2TR_Comm_630M">#REF!</definedName>
    <definedName name="B2TR_Comm_630T">#REF!</definedName>
    <definedName name="B2TR_Comm_630X">#REF!</definedName>
    <definedName name="B2TR_Comm_630Y">#REF!</definedName>
    <definedName name="B2TR_Comm_631C">#REF!</definedName>
    <definedName name="B2TR_Comm_631D">#REF!</definedName>
    <definedName name="B2TR_Comm_631E">#REF!</definedName>
    <definedName name="B2TR_Comm_631F">#REF!</definedName>
    <definedName name="B2TR_Comm_631G">#REF!</definedName>
    <definedName name="B2TR_Comm_631H">#REF!</definedName>
    <definedName name="B2TR_Comm_631I">#REF!</definedName>
    <definedName name="B2TR_Comm_631J">#REF!</definedName>
    <definedName name="B2TR_Comm_631S">#REF!</definedName>
    <definedName name="B2TR_Comm_631U">#REF!</definedName>
    <definedName name="B2TR_Comm_632G">#REF!</definedName>
    <definedName name="B2TR_Comm_632O">#REF!</definedName>
    <definedName name="B2TR_Comm_632P">#REF!</definedName>
    <definedName name="B2TR_Comm_632U">#REF!</definedName>
    <definedName name="B2TR_Comm_632Y">#REF!</definedName>
    <definedName name="B2TR_Comm_633A">#REF!</definedName>
    <definedName name="B2TR_Comm_635C">#REF!</definedName>
    <definedName name="B2TR_Comm_638A">#REF!</definedName>
    <definedName name="B2TR_Comm_638C">#REF!</definedName>
    <definedName name="B2TR_Comm_641I">#REF!</definedName>
    <definedName name="B2TR_Comm_641X">#REF!</definedName>
    <definedName name="B2TR_Comm_641Y">#REF!</definedName>
    <definedName name="B2TR_Comm_642B">#REF!</definedName>
    <definedName name="B2TR_Comm_642C">#REF!</definedName>
    <definedName name="B2TR_Comm_651C">#REF!</definedName>
    <definedName name="B2TR_Comm_651F">#REF!</definedName>
    <definedName name="B2TR_Comm_651H">#REF!</definedName>
    <definedName name="B2TR_Comm_651I">#REF!</definedName>
    <definedName name="B2TR_Comm_651J">#REF!</definedName>
    <definedName name="B2TR_Comm_651K">#REF!</definedName>
    <definedName name="B2TR_Comm_651M">#REF!</definedName>
    <definedName name="B2TR_Comm_651O">#REF!</definedName>
    <definedName name="B2TR_Comm_651Q">#REF!</definedName>
    <definedName name="B2TR_Comm_651R">#REF!</definedName>
    <definedName name="B2TR_Comm_651S">#REF!</definedName>
    <definedName name="B2TR_Comm_651T">#REF!</definedName>
    <definedName name="B2TR_Comm_651U">#REF!</definedName>
    <definedName name="B2TR_Comm_651W">#REF!</definedName>
    <definedName name="B2TR_Comm_651X">#REF!</definedName>
    <definedName name="B2TR_Comm_651Y">#REF!</definedName>
    <definedName name="B2TR_Comm_651Z">#REF!</definedName>
    <definedName name="B2TR_Comm_652G">#REF!</definedName>
    <definedName name="B2TR_Comm_653A">#REF!</definedName>
    <definedName name="B2TR_Comm_659B">#REF!</definedName>
    <definedName name="B2TR_Comm_660A">#REF!</definedName>
    <definedName name="B2TR_Comm_660F">#REF!</definedName>
    <definedName name="B2TR_Comm_660G">#REF!</definedName>
    <definedName name="B2TR_Comm_660K">#REF!</definedName>
    <definedName name="B2TR_Comm_660O">#REF!</definedName>
    <definedName name="B2TR_Comm_660R">#REF!</definedName>
    <definedName name="B2TR_Comm_660Z">#REF!</definedName>
    <definedName name="B2TR_Comm_661B">#REF!</definedName>
    <definedName name="B2TR_Comm_661R">#REF!</definedName>
    <definedName name="B2TR_Comm_661S">#REF!</definedName>
    <definedName name="B2TR_Comm_661T">#REF!</definedName>
    <definedName name="B2TR_Comm_661U">#REF!</definedName>
    <definedName name="B2TR_Comm_661V">#REF!</definedName>
    <definedName name="B2TR_Comm_661X">#REF!</definedName>
    <definedName name="B2TR_Comm_661Y">#REF!</definedName>
    <definedName name="B2TR_Comm_662A">#REF!</definedName>
    <definedName name="B2TR_Comm_662D">#REF!</definedName>
    <definedName name="B2TR_Comm_663F">#REF!</definedName>
    <definedName name="B2TR_Comm_663G">#REF!</definedName>
    <definedName name="B2TR_Comm_663N">#REF!</definedName>
    <definedName name="B2TR_Comm_663O">#REF!</definedName>
    <definedName name="B2TR_Comm_663T">#REF!</definedName>
    <definedName name="B2TR_Comm_663X">#REF!</definedName>
    <definedName name="B2TR_Comm_664A">#REF!</definedName>
    <definedName name="B2TR_Comm_664B">#REF!</definedName>
    <definedName name="B2TR_Comm_664F">#REF!</definedName>
    <definedName name="B2TR_Comm_664N">#REF!</definedName>
    <definedName name="B2TR_Comm_664P">#REF!</definedName>
    <definedName name="B2TR_Comm_664Q">#REF!</definedName>
    <definedName name="B2TR_Comm_664R">#REF!</definedName>
    <definedName name="B2TR_Comm_664V">#REF!</definedName>
    <definedName name="B2TR_Comm_665D">#REF!</definedName>
    <definedName name="B2TR_Comm_665G">#REF!</definedName>
    <definedName name="B2TR_Comm_665I">#REF!</definedName>
    <definedName name="B2TR_Comm_665J">#REF!</definedName>
    <definedName name="B2TR_Comm_665N">#REF!</definedName>
    <definedName name="B2TR_Comm_665V">#REF!</definedName>
    <definedName name="B2TR_Comm_665X">#REF!</definedName>
    <definedName name="B2TR_Comm_667C">#REF!</definedName>
    <definedName name="B2TR_Comm_667D">#REF!</definedName>
    <definedName name="B2TR_Comm_667E">#REF!</definedName>
    <definedName name="B2TR_Comm_667H">#REF!</definedName>
    <definedName name="B2TR_Comm_667J">#REF!</definedName>
    <definedName name="B2TR_Comm_667K">#REF!</definedName>
    <definedName name="B2TR_Comm_667N">#REF!</definedName>
    <definedName name="B2TR_Comm_667P">#REF!</definedName>
    <definedName name="B2TR_Comm_667R">#REF!</definedName>
    <definedName name="B2TR_Comm_667S">#REF!</definedName>
    <definedName name="B2TR_Comm_667T">#REF!</definedName>
    <definedName name="B2TR_Comm_667U">#REF!</definedName>
    <definedName name="B2TR_Comm_667V">#REF!</definedName>
    <definedName name="B2TR_Comm_667W">#REF!</definedName>
    <definedName name="B2TR_Comm_667Y">#REF!</definedName>
    <definedName name="B2TR_Comm_667Z">#REF!</definedName>
    <definedName name="B2TR_Comm_668B">#REF!</definedName>
    <definedName name="B2TR_Comm_668D">#REF!</definedName>
    <definedName name="B2TR_Comm_668E">#REF!</definedName>
    <definedName name="B2TR_Comm_668F">#REF!</definedName>
    <definedName name="B2TR_Comm_668G">#REF!</definedName>
    <definedName name="B2TR_Comm_668H">#REF!</definedName>
    <definedName name="B2TR_Comm_668I">#REF!</definedName>
    <definedName name="B2TR_Comm_668J">#REF!</definedName>
    <definedName name="B2TR_Comm_668O">#REF!</definedName>
    <definedName name="B2TR_Comm_668P">#REF!</definedName>
    <definedName name="B2TR_Comm_668T">#REF!</definedName>
    <definedName name="B2TR_Comm_668U">#REF!</definedName>
    <definedName name="B2TR_Comm_668V">#REF!</definedName>
    <definedName name="B2TR_Comm_669A">#REF!</definedName>
    <definedName name="B2TR_Comm_669H">#REF!</definedName>
    <definedName name="B2TR_Comm_669I">#REF!</definedName>
    <definedName name="B2TR_Comm_669J">#REF!</definedName>
    <definedName name="B2TR_Comm_669K">#REF!</definedName>
    <definedName name="B2TR_Comm_669O">#REF!</definedName>
    <definedName name="B2TR_Comm_669R">#REF!</definedName>
    <definedName name="B2TR_Comm_669S">#REF!</definedName>
    <definedName name="B2TR_Comm_669T">#REF!</definedName>
    <definedName name="B2TR_Comm_669U">#REF!</definedName>
    <definedName name="B2TR_Comm_669W">#REF!</definedName>
    <definedName name="B2TR_Comm_669X">#REF!</definedName>
    <definedName name="B2TR_Comm_669Y">#REF!</definedName>
    <definedName name="B2TR_Comm_669Z">#REF!</definedName>
    <definedName name="B2TR_Comm_670D">#REF!</definedName>
    <definedName name="B2TR_Comm_670F">#REF!</definedName>
    <definedName name="B2TR_Comm_670H">#REF!</definedName>
    <definedName name="B2TR_Comm_670I">#REF!</definedName>
    <definedName name="B2TR_Comm_670N">#REF!</definedName>
    <definedName name="B2TR_Comm_670O">#REF!</definedName>
    <definedName name="B2TR_Comm_670P">#REF!</definedName>
    <definedName name="B2TR_Comm_670Q">#REF!</definedName>
    <definedName name="B2TR_Comm_670S">#REF!</definedName>
    <definedName name="B2TR_Comm_670W">#REF!</definedName>
    <definedName name="B2TR_Comm_670X">#REF!</definedName>
    <definedName name="B2TR_Comm_670Y">#REF!</definedName>
    <definedName name="B2TR_Comm_670Z">#REF!</definedName>
    <definedName name="B2TR_Comm_671A">#REF!</definedName>
    <definedName name="B2TR_Comm_671B">#REF!</definedName>
    <definedName name="B2TR_Comm_671D">#REF!</definedName>
    <definedName name="B2TR_Comm_671F">#REF!</definedName>
    <definedName name="B2TR_Comm_671G">#REF!</definedName>
    <definedName name="B2TR_Comm_671H">#REF!</definedName>
    <definedName name="B2TR_Comm_671I">#REF!</definedName>
    <definedName name="B2TR_Comm_671J">#REF!</definedName>
    <definedName name="B2TR_Comm_671K">#REF!</definedName>
    <definedName name="B2TR_Comm_671L">#REF!</definedName>
    <definedName name="B2TR_Comm_671M">#REF!</definedName>
    <definedName name="B2TR_Comm_671N">#REF!</definedName>
    <definedName name="B2TR_Comm_671O">#REF!</definedName>
    <definedName name="B2TR_Comm_671P">#REF!</definedName>
    <definedName name="B2TR_Comm_671Q">#REF!</definedName>
    <definedName name="B2TR_Comm_671R">#REF!</definedName>
    <definedName name="B2TR_Comm_671S">#REF!</definedName>
    <definedName name="B2TR_Comm_671T">#REF!</definedName>
    <definedName name="B2TR_Comm_671W">#REF!</definedName>
    <definedName name="B2TR_Comm_671Z">#REF!</definedName>
    <definedName name="B2TR_Comm_672G">#REF!</definedName>
    <definedName name="B2TR_Comm_672H">#REF!</definedName>
    <definedName name="B2TR_Comm_672I">#REF!</definedName>
    <definedName name="B2TR_Comm_672M">#REF!</definedName>
    <definedName name="B2TR_Comm_672N">#REF!</definedName>
    <definedName name="B2TR_Comm_672O">#REF!</definedName>
    <definedName name="B2TR_Comm_672P">#REF!</definedName>
    <definedName name="B2TR_Comm_672R">#REF!</definedName>
    <definedName name="B2TR_Comm_672S">#REF!</definedName>
    <definedName name="B2TR_Comm_672T">#REF!</definedName>
    <definedName name="B2TR_Comm_673C">#REF!</definedName>
    <definedName name="B2TR_Comm_673E">#REF!</definedName>
    <definedName name="B2TR_Comm_673F">#REF!</definedName>
    <definedName name="B2TR_Comm_673G">#REF!</definedName>
    <definedName name="B2TR_Comm_673H">#REF!</definedName>
    <definedName name="B2TR_Comm_673I">#REF!</definedName>
    <definedName name="B2TR_Comm_673J">#REF!</definedName>
    <definedName name="B2TR_Comm_673K">#REF!</definedName>
    <definedName name="B2TR_Comm_673M">#REF!</definedName>
    <definedName name="B2TR_Comm_673N">#REF!</definedName>
    <definedName name="B2TR_Comm_673O">#REF!</definedName>
    <definedName name="B2TR_Comm_673R">#REF!</definedName>
    <definedName name="B2TR_Comm_673S">#REF!</definedName>
    <definedName name="B2TR_Comm_673U">#REF!</definedName>
    <definedName name="B2TR_Comm_673V">#REF!</definedName>
    <definedName name="B2TR_Comm_673W">#REF!</definedName>
    <definedName name="B2TR_Comm_673X">#REF!</definedName>
    <definedName name="B2TR_Comm_673Y">#REF!</definedName>
    <definedName name="B2TR_Comm_673Z">#REF!</definedName>
    <definedName name="B2TR_Comm_674A">#REF!</definedName>
    <definedName name="B2TR_Comm_674B">#REF!</definedName>
    <definedName name="B2TR_Comm_674C">#REF!</definedName>
    <definedName name="B2TR_Comm_674D">#REF!</definedName>
    <definedName name="B2TR_Comm_674E">#REF!</definedName>
    <definedName name="B2TR_Comm_674F">#REF!</definedName>
    <definedName name="B2TR_Comm_674G">#REF!</definedName>
    <definedName name="B2TR_Comm_674I">#REF!</definedName>
    <definedName name="B2TR_Comm_674J">#REF!</definedName>
    <definedName name="B2TR_Comm_674M">#REF!</definedName>
    <definedName name="B2TR_Comm_674P">#REF!</definedName>
    <definedName name="B2TR_Comm_674Q">#REF!</definedName>
    <definedName name="B2TR_Comm_674R">#REF!</definedName>
    <definedName name="B2TR_Comm_674S">#REF!</definedName>
    <definedName name="B2TR_Comm_674V">#REF!</definedName>
    <definedName name="B2TR_Comm_674W">#REF!</definedName>
    <definedName name="B2TR_Comm_675A">#REF!</definedName>
    <definedName name="B2TR_Comm_675C">#REF!</definedName>
    <definedName name="B2TR_Comm_675E">#REF!</definedName>
    <definedName name="B2TR_Comm_675F">#REF!</definedName>
    <definedName name="B2TR_Comm_675G">#REF!</definedName>
    <definedName name="B2TR_Comm_675H">#REF!</definedName>
    <definedName name="B2TR_Comm_675I">#REF!</definedName>
    <definedName name="B2TR_Comm_675J">#REF!</definedName>
    <definedName name="B2TR_Comm_675K">#REF!</definedName>
    <definedName name="B2TR_Comm_675L">#REF!</definedName>
    <definedName name="B2TR_Comm_675M">#REF!</definedName>
    <definedName name="B2TR_Comm_675N">#REF!</definedName>
    <definedName name="B2TR_Comm_675O">#REF!</definedName>
    <definedName name="B2TR_Comm_675P">#REF!</definedName>
    <definedName name="B2TR_Comm_675Q">#REF!</definedName>
    <definedName name="B2TR_Comm_675R">#REF!</definedName>
    <definedName name="B2TR_Comm_675S">#REF!</definedName>
    <definedName name="B2TR_Comm_675T">#REF!</definedName>
    <definedName name="B2TR_Comm_675U">#REF!</definedName>
    <definedName name="B2TR_Comm_675V">#REF!</definedName>
    <definedName name="B2TR_Comm_675W">#REF!</definedName>
    <definedName name="B2TR_Comm_675X">#REF!</definedName>
    <definedName name="B2TR_Comm_675Y">#REF!</definedName>
    <definedName name="B2TR_Comm_675Z">#REF!</definedName>
    <definedName name="B2TR_Comm_676A">#REF!</definedName>
    <definedName name="B2TR_Comm_676B">#REF!</definedName>
    <definedName name="B2TR_Comm_676C">#REF!</definedName>
    <definedName name="B2TR_Comm_676D">#REF!</definedName>
    <definedName name="B2TR_Comm_676E">#REF!</definedName>
    <definedName name="B2TR_Comm_676F">#REF!</definedName>
    <definedName name="B2TR_Comm_676G">#REF!</definedName>
    <definedName name="B2TR_Comm_676J">#REF!</definedName>
    <definedName name="B2TR_Comm_690C">#REF!</definedName>
    <definedName name="B2TR_Comm_690D">#REF!</definedName>
    <definedName name="B2TR_Comm_690E">#REF!</definedName>
    <definedName name="B2TR_Comm_690F">#REF!</definedName>
    <definedName name="B2TR_Comm_690G">#REF!</definedName>
    <definedName name="B2TR_Comm_690I">#REF!</definedName>
    <definedName name="B2TR_Comm_690J">#REF!</definedName>
    <definedName name="B2TR_Comm_690K">#REF!</definedName>
    <definedName name="B2TR_Comm_690L">#REF!</definedName>
    <definedName name="B2TR_Comm_700B">#REF!</definedName>
    <definedName name="B2TR_Comm_701A">#REF!</definedName>
    <definedName name="B2TR_Comm_702A">#REF!</definedName>
    <definedName name="B2TR_Comm_710H">#REF!</definedName>
    <definedName name="B2TR_Comm_710Q">#REF!</definedName>
    <definedName name="B2TR_Comm_710Y">#REF!</definedName>
    <definedName name="B2TR_Comm_711N">#REF!</definedName>
    <definedName name="B2TR_Comm_711O">#REF!</definedName>
    <definedName name="B2TR_Comm_711P">#REF!</definedName>
    <definedName name="B2TR_Comm_712K">#REF!</definedName>
    <definedName name="B2TR_Comm_712L">#REF!</definedName>
    <definedName name="B2TR_Comm_712M">#REF!</definedName>
    <definedName name="B2TR_Comm_712N">#REF!</definedName>
    <definedName name="B2TR_Comm_811B">#REF!</definedName>
    <definedName name="B2TR_Comm_811C">#REF!</definedName>
    <definedName name="B2TR_Comm_813B">#REF!</definedName>
    <definedName name="B2TR_Comm_813C">#REF!</definedName>
    <definedName name="B2TR_Comm_841A">#REF!</definedName>
    <definedName name="B2TR_Comm_841B">#REF!</definedName>
    <definedName name="B2TR_Comm_841C">#REF!</definedName>
    <definedName name="B2TR_Comm_842A">#REF!</definedName>
    <definedName name="B2TR_Comm_842B">#REF!</definedName>
    <definedName name="B2TR_Comm_842C">#REF!</definedName>
    <definedName name="B2TR_Comm_843A">#REF!</definedName>
    <definedName name="B2TR_Comm_844A">#REF!</definedName>
    <definedName name="B2TR_Comm_845K">#REF!</definedName>
    <definedName name="B2TR_Comm_846D">#REF!</definedName>
    <definedName name="B2TR_Comm_846E">#REF!</definedName>
    <definedName name="B2TR_Comm_846F">#REF!</definedName>
    <definedName name="B2TR_Comm_846G">#REF!</definedName>
    <definedName name="B2TR_Comm_846H">#REF!</definedName>
    <definedName name="B2TR_Comm_846I">#REF!</definedName>
    <definedName name="B2TR_Comm_850A">#REF!</definedName>
    <definedName name="B2TR_Comm_850C">#REF!</definedName>
    <definedName name="B2TR_Comm_900A">#REF!</definedName>
    <definedName name="B2TR_Comm_900F">#REF!</definedName>
    <definedName name="B2TR_Comm_900H">#REF!</definedName>
    <definedName name="B2TR_Comm_900I">#REF!</definedName>
    <definedName name="B2TR_Comm_900L">#REF!</definedName>
    <definedName name="B2TR_Comm_905A">#REF!</definedName>
    <definedName name="B2TR_Comm_905B">#REF!</definedName>
    <definedName name="B2TR_Comm_905C">#REF!</definedName>
    <definedName name="B2TR_Comm_905U">#REF!</definedName>
    <definedName name="B2TR_Comm_906A">#REF!</definedName>
    <definedName name="B2TR_Comm_906D">#REF!</definedName>
    <definedName name="B2TR_Comm_906F">#REF!</definedName>
    <definedName name="B2TR_Comm_906I">#REF!</definedName>
    <definedName name="B2TR_Comm_906J">#REF!</definedName>
    <definedName name="B2TR_Comm_906K">#REF!</definedName>
    <definedName name="B2TR_Comm_906P">#REF!</definedName>
    <definedName name="B2TR_Comm_906Z">#REF!</definedName>
    <definedName name="B2TR_Comm_908A">#REF!</definedName>
    <definedName name="B2TR_Comm_908B">#REF!</definedName>
    <definedName name="B2TR_Comm_910B">#REF!</definedName>
    <definedName name="B2TR_Comm_910C">#REF!</definedName>
    <definedName name="B2TR_Comm_910D">#REF!</definedName>
    <definedName name="B2TR_Comm_910E">#REF!</definedName>
    <definedName name="B2TR_Comm_910K">#REF!</definedName>
    <definedName name="B2TR_Comm_910M">#REF!</definedName>
    <definedName name="B2TR_Comm_910N">#REF!</definedName>
    <definedName name="B2TR_Comm_910O">#REF!</definedName>
    <definedName name="B2TR_Comm_910Q">#REF!</definedName>
    <definedName name="B2TR_Comm_910S">#REF!</definedName>
    <definedName name="B2TR_Comm_910U">#REF!</definedName>
    <definedName name="B2TR_Comm_910X">#REF!</definedName>
    <definedName name="B2TR_Comm_911I">#REF!</definedName>
    <definedName name="B2TR_Comm_911J">#REF!</definedName>
    <definedName name="B2TR_Comm_911K">#REF!</definedName>
    <definedName name="B2TR_Comm_911L">#REF!</definedName>
    <definedName name="B2TR_Comm_911M">#REF!</definedName>
    <definedName name="B2TR_Comm_911Q">#REF!</definedName>
    <definedName name="B2TR_Comm_911QA">#REF!</definedName>
    <definedName name="B2TR_Comm_911QB">#REF!</definedName>
    <definedName name="B2TR_Comm_911S">#REF!</definedName>
    <definedName name="B2TR_Comm_911V">#REF!</definedName>
    <definedName name="B2TR_Comm_911W">#REF!</definedName>
    <definedName name="B2TR_Comm_911Z">#REF!</definedName>
    <definedName name="B2TR_Comm_912K">#REF!</definedName>
    <definedName name="B2TR_Comm_913A">#REF!</definedName>
    <definedName name="B2TR_Comm_913D">#REF!</definedName>
    <definedName name="B2TR_Comm_913M">#REF!</definedName>
    <definedName name="B2TR_Comm_914A">#REF!</definedName>
    <definedName name="B2TR_Comm_914B">#REF!</definedName>
    <definedName name="B2TR_Comm_914E">#REF!</definedName>
    <definedName name="B2TR_Comm_914F">#REF!</definedName>
    <definedName name="B2TR_Comm_914K">#REF!</definedName>
    <definedName name="B2TR_Comm_914MDSIT">#REF!</definedName>
    <definedName name="B2TR_Comm_920E">#REF!</definedName>
    <definedName name="B2TR_Comm_921A">#REF!</definedName>
    <definedName name="B2TR_Comm_921G">#REF!</definedName>
    <definedName name="B2TR_Comm_930A">#REF!</definedName>
    <definedName name="B2TR_Comm_930E">#REF!</definedName>
    <definedName name="B2TR_Comm_930J">#REF!</definedName>
    <definedName name="B2TR_Comm_930K">#REF!</definedName>
    <definedName name="B2TR_Comm_940A">#REF!</definedName>
    <definedName name="B2TR_Comm_940N">#REF!</definedName>
    <definedName name="B2TR_Comm_940S">#REF!</definedName>
    <definedName name="B2TR_Comm_940X">#REF!</definedName>
    <definedName name="B2TR_Comm_960A">#REF!</definedName>
    <definedName name="B2TR_Comm_980A">#REF!</definedName>
    <definedName name="B2TR_Comm_980B">#REF!</definedName>
    <definedName name="B2TR_Comm_980E">#REF!</definedName>
    <definedName name="B2TR_Comm_980G">#REF!</definedName>
    <definedName name="B2TR_Comm_980J">#REF!</definedName>
    <definedName name="B2TR_Comm_980L">#REF!</definedName>
    <definedName name="B2TR_Comm_985B">#REF!</definedName>
    <definedName name="B2TR_Comm_990B">#REF!</definedName>
    <definedName name="B2TR_Comm_995A">#REF!</definedName>
    <definedName name="B2TR_Comm_999QFIN48">#REF!</definedName>
    <definedName name="B2TR_Comm_Credits">#REF!</definedName>
    <definedName name="B2TR_Comm_FIT">#REF!</definedName>
    <definedName name="B2TR_Comm_INT1">#REF!</definedName>
    <definedName name="B2TR_Comm_M31">#REF!</definedName>
    <definedName name="B2TR_Comm_M32">#REF!</definedName>
    <definedName name="B2TR_Comm_M33">#REF!</definedName>
    <definedName name="B2TR_Comm_NIT">#REF!</definedName>
    <definedName name="B2TR_Comm_SIT">#REF!</definedName>
    <definedName name="B2TR_EE_0001">#REF!</definedName>
    <definedName name="B2TR_EE_0002">#REF!</definedName>
    <definedName name="B2TR_EE_0003">#REF!</definedName>
    <definedName name="B2TR_EE_014A">#REF!</definedName>
    <definedName name="B2TR_EE_014ADSIT">#REF!</definedName>
    <definedName name="B2TR_EE_014C">#REF!</definedName>
    <definedName name="B2TR_EE_014CDSIT">#REF!</definedName>
    <definedName name="B2TR_EE_014VDSIT">#REF!</definedName>
    <definedName name="B2TR_EE_014WDSIT">#REF!</definedName>
    <definedName name="B2TR_EE_210A">#REF!</definedName>
    <definedName name="B2TR_EE_210B">#REF!</definedName>
    <definedName name="B2TR_EE_210E">#REF!</definedName>
    <definedName name="B2TR_EE_211A">#REF!</definedName>
    <definedName name="B2TR_EE_220A">#REF!</definedName>
    <definedName name="B2TR_EE_220E">#REF!</definedName>
    <definedName name="B2TR_EE_230A">#REF!</definedName>
    <definedName name="B2TR_EE_230B">#REF!</definedName>
    <definedName name="B2TR_EE_230G">#REF!</definedName>
    <definedName name="B2TR_EE_230I">#REF!</definedName>
    <definedName name="B2TR_EE_230J">#REF!</definedName>
    <definedName name="B2TR_EE_230K">#REF!</definedName>
    <definedName name="B2TR_EE_230X">#REF!</definedName>
    <definedName name="B2TR_EE_232A">#REF!</definedName>
    <definedName name="B2TR_EE_232C">#REF!</definedName>
    <definedName name="B2TR_EE_232K">#REF!</definedName>
    <definedName name="B2TR_EE_232M">#REF!</definedName>
    <definedName name="B2TR_EE_234F">#REF!</definedName>
    <definedName name="B2TR_EE_234Q">#REF!</definedName>
    <definedName name="B2TR_EE_280A">#REF!</definedName>
    <definedName name="B2TR_EE_280D">#REF!</definedName>
    <definedName name="B2TR_EE_280E">#REF!</definedName>
    <definedName name="B2TR_EE_280F">#REF!</definedName>
    <definedName name="B2TR_EE_280H">#REF!</definedName>
    <definedName name="B2TR_EE_280J">#REF!</definedName>
    <definedName name="B2TR_EE_280Y">#REF!</definedName>
    <definedName name="B2TR_EE_282A">#REF!</definedName>
    <definedName name="B2TR_EE_282B">#REF!</definedName>
    <definedName name="B2TR_EE_295A">#REF!</definedName>
    <definedName name="B2TR_EE_295D">#REF!</definedName>
    <definedName name="B2TR_EE_310A">#REF!</definedName>
    <definedName name="B2TR_EE_310D">#REF!</definedName>
    <definedName name="B2TR_EE_310E">#REF!</definedName>
    <definedName name="B2TR_EE_320A">#REF!</definedName>
    <definedName name="B2TR_EE_320D">#REF!</definedName>
    <definedName name="B2TR_EE_320I">#REF!</definedName>
    <definedName name="B2TR_EE_320L">#REF!</definedName>
    <definedName name="B2TR_EE_320S">#REF!</definedName>
    <definedName name="B2TR_EE_320U">#REF!</definedName>
    <definedName name="B2TR_EE_330D">#REF!</definedName>
    <definedName name="B2TR_EE_345A">#REF!</definedName>
    <definedName name="B2TR_EE_345B">#REF!</definedName>
    <definedName name="B2TR_EE_350A">#REF!</definedName>
    <definedName name="B2TR_EE_360A">#REF!</definedName>
    <definedName name="B2TR_EE_380F">#REF!</definedName>
    <definedName name="B2TR_EE_380J">#REF!</definedName>
    <definedName name="B2TR_EE_390A">#REF!</definedName>
    <definedName name="B2TR_EE_390C">#REF!</definedName>
    <definedName name="B2TR_EE_390D">#REF!</definedName>
    <definedName name="B2TR_EE_390E">#REF!</definedName>
    <definedName name="B2TR_EE_390F">#REF!</definedName>
    <definedName name="B2TR_EE_410A">#REF!</definedName>
    <definedName name="B2TR_EE_430I">#REF!</definedName>
    <definedName name="B2TR_EE_430J">#REF!</definedName>
    <definedName name="B2TR_EE_432A">#REF!</definedName>
    <definedName name="B2TR_EE_432C">#REF!</definedName>
    <definedName name="B2TR_EE_432D">#REF!</definedName>
    <definedName name="B2TR_EE_432G">#REF!</definedName>
    <definedName name="B2TR_EE_432I">#REF!</definedName>
    <definedName name="B2TR_EE_432M">#REF!</definedName>
    <definedName name="B2TR_EE_433A">#REF!</definedName>
    <definedName name="B2TR_EE_433C">#REF!</definedName>
    <definedName name="B2TR_EE_433D">#REF!</definedName>
    <definedName name="B2TR_EE_433F">#REF!</definedName>
    <definedName name="B2TR_EE_460A">#REF!</definedName>
    <definedName name="B2TR_EE_510B">#REF!</definedName>
    <definedName name="B2TR_EE_510H">#REF!</definedName>
    <definedName name="B2TR_EE_510I">#REF!</definedName>
    <definedName name="B2TR_EE_510M">#REF!</definedName>
    <definedName name="B2TR_EE_520A">#REF!</definedName>
    <definedName name="B2TR_EE_520X">#REF!</definedName>
    <definedName name="B2TR_EE_520Y">#REF!</definedName>
    <definedName name="B2TR_EE_531A">#REF!</definedName>
    <definedName name="B2TR_EE_531B">#REF!</definedName>
    <definedName name="B2TR_EE_531H">#REF!</definedName>
    <definedName name="B2TR_EE_532A">#REF!</definedName>
    <definedName name="B2TR_EE_532C">#REF!</definedName>
    <definedName name="B2TR_EE_532D">#REF!</definedName>
    <definedName name="B2TR_EE_532E">#REF!</definedName>
    <definedName name="B2TR_EE_532F">#REF!</definedName>
    <definedName name="B2TR_EE_532G">#REF!</definedName>
    <definedName name="B2TR_EE_532H">#REF!</definedName>
    <definedName name="B2TR_EE_533A">#REF!</definedName>
    <definedName name="B2TR_EE_533D">#REF!</definedName>
    <definedName name="B2TR_EE_533E">#REF!</definedName>
    <definedName name="B2TR_EE_533J">#REF!</definedName>
    <definedName name="B2TR_EE_534A">#REF!</definedName>
    <definedName name="B2TR_EE_560D">#REF!</definedName>
    <definedName name="B2TR_EE_560J">#REF!</definedName>
    <definedName name="B2TR_EE_561A">#REF!</definedName>
    <definedName name="B2TR_EE_561D">#REF!</definedName>
    <definedName name="B2TR_EE_561I">#REF!</definedName>
    <definedName name="B2TR_EE_561J">#REF!</definedName>
    <definedName name="B2TR_EE_562B">#REF!</definedName>
    <definedName name="B2TR_EE_562H">#REF!</definedName>
    <definedName name="B2TR_EE_575E">#REF!</definedName>
    <definedName name="B2TR_EE_575G">#REF!</definedName>
    <definedName name="B2TR_EE_576e">#REF!</definedName>
    <definedName name="B2TR_EE_576F">#REF!</definedName>
    <definedName name="B2TR_EE_601E">#REF!</definedName>
    <definedName name="B2TR_EE_601G">#REF!</definedName>
    <definedName name="B2TR_EE_601T">#REF!</definedName>
    <definedName name="B2TR_EE_602A">#REF!</definedName>
    <definedName name="B2TR_EE_603A">#REF!</definedName>
    <definedName name="B2TR_EE_603G">#REF!</definedName>
    <definedName name="B2TR_EE_605B">#REF!</definedName>
    <definedName name="B2TR_EE_605C">#REF!</definedName>
    <definedName name="B2TR_EE_605E">#REF!</definedName>
    <definedName name="B2TR_EE_605F">#REF!</definedName>
    <definedName name="B2TR_EE_605I">#REF!</definedName>
    <definedName name="B2TR_EE_605K">#REF!</definedName>
    <definedName name="B2TR_EE_605O">#REF!</definedName>
    <definedName name="B2TR_EE_605P">#REF!</definedName>
    <definedName name="B2TR_EE_605T">#REF!</definedName>
    <definedName name="B2TR_EE_605V">#REF!</definedName>
    <definedName name="B2TR_EE_605W">#REF!</definedName>
    <definedName name="B2TR_EE_609E">#REF!</definedName>
    <definedName name="B2TR_EE_610A">#REF!</definedName>
    <definedName name="B2TR_EE_610U">#REF!</definedName>
    <definedName name="B2TR_EE_610V">#REF!</definedName>
    <definedName name="B2TR_EE_611E">#REF!</definedName>
    <definedName name="B2TR_EE_611G">#REF!</definedName>
    <definedName name="B2TR_EE_611M">#REF!</definedName>
    <definedName name="B2TR_EE_611S">#REF!</definedName>
    <definedName name="B2TR_EE_611U">#REF!</definedName>
    <definedName name="B2TR_EE_611Y">#REF!</definedName>
    <definedName name="B2TR_EE_612H">#REF!</definedName>
    <definedName name="B2TR_EE_612Y">#REF!</definedName>
    <definedName name="B2TR_EE_613B">#REF!</definedName>
    <definedName name="B2TR_EE_613C">#REF!</definedName>
    <definedName name="B2TR_EE_613E">#REF!</definedName>
    <definedName name="B2TR_EE_613F">#REF!</definedName>
    <definedName name="B2TR_EE_613I">#REF!</definedName>
    <definedName name="B2TR_EE_613K">#REF!</definedName>
    <definedName name="B2TR_EE_613L">#REF!</definedName>
    <definedName name="B2TR_EE_613N">#REF!</definedName>
    <definedName name="B2TR_EE_613O">#REF!</definedName>
    <definedName name="B2TR_EE_613R">#REF!</definedName>
    <definedName name="B2TR_EE_613S">#REF!</definedName>
    <definedName name="B2TR_EE_613U">#REF!</definedName>
    <definedName name="B2TR_EE_613Y">#REF!</definedName>
    <definedName name="B2TR_EE_614I">#REF!</definedName>
    <definedName name="B2TR_EE_614W">#REF!</definedName>
    <definedName name="B2TR_EE_614Y">#REF!</definedName>
    <definedName name="B2TR_EE_614Z">#REF!</definedName>
    <definedName name="B2TR_EE_615B">#REF!</definedName>
    <definedName name="B2TR_EE_615C">#REF!</definedName>
    <definedName name="B2TR_EE_615Q">#REF!</definedName>
    <definedName name="B2TR_EE_615R">#REF!</definedName>
    <definedName name="B2TR_EE_615T">#REF!</definedName>
    <definedName name="B2TR_EE_615Z">#REF!</definedName>
    <definedName name="B2TR_EE_616A">#REF!</definedName>
    <definedName name="B2TR_EE_620A">#REF!</definedName>
    <definedName name="B2TR_EE_620C">#REF!</definedName>
    <definedName name="B2TR_EE_625A">#REF!</definedName>
    <definedName name="B2TR_EE_625B">#REF!</definedName>
    <definedName name="B2TR_EE_629X">#REF!</definedName>
    <definedName name="B2TR_EE_630A">#REF!</definedName>
    <definedName name="B2TR_EE_630E">#REF!</definedName>
    <definedName name="B2TR_EE_630F">#REF!</definedName>
    <definedName name="B2TR_EE_630G">#REF!</definedName>
    <definedName name="B2TR_EE_630J">#REF!</definedName>
    <definedName name="B2TR_EE_630M">#REF!</definedName>
    <definedName name="B2TR_EE_630T">#REF!</definedName>
    <definedName name="B2TR_EE_630X">#REF!</definedName>
    <definedName name="B2TR_EE_630Y">#REF!</definedName>
    <definedName name="B2TR_EE_631C">#REF!</definedName>
    <definedName name="B2TR_EE_631D">#REF!</definedName>
    <definedName name="B2TR_EE_631E">#REF!</definedName>
    <definedName name="B2TR_EE_631F">#REF!</definedName>
    <definedName name="B2TR_EE_631G">#REF!</definedName>
    <definedName name="B2TR_EE_631H">#REF!</definedName>
    <definedName name="B2TR_EE_631I">#REF!</definedName>
    <definedName name="B2TR_EE_631J">#REF!</definedName>
    <definedName name="B2TR_EE_631S">#REF!</definedName>
    <definedName name="B2TR_EE_631U">#REF!</definedName>
    <definedName name="B2TR_EE_632G">#REF!</definedName>
    <definedName name="B2TR_EE_632O">#REF!</definedName>
    <definedName name="B2TR_EE_632P">#REF!</definedName>
    <definedName name="B2TR_EE_632U">#REF!</definedName>
    <definedName name="B2TR_EE_632Y">#REF!</definedName>
    <definedName name="B2TR_EE_633A">#REF!</definedName>
    <definedName name="B2TR_EE_635C">#REF!</definedName>
    <definedName name="B2TR_EE_638A">#REF!</definedName>
    <definedName name="B2TR_EE_638C">#REF!</definedName>
    <definedName name="B2TR_EE_641I">#REF!</definedName>
    <definedName name="B2TR_EE_641X">#REF!</definedName>
    <definedName name="B2TR_EE_641Y">#REF!</definedName>
    <definedName name="B2TR_EE_642B">#REF!</definedName>
    <definedName name="B2TR_EE_642C">#REF!</definedName>
    <definedName name="B2TR_EE_651C">#REF!</definedName>
    <definedName name="B2TR_EE_651F">#REF!</definedName>
    <definedName name="B2TR_EE_651H">#REF!</definedName>
    <definedName name="B2TR_EE_651I">#REF!</definedName>
    <definedName name="B2TR_EE_651J">#REF!</definedName>
    <definedName name="B2TR_EE_651K">#REF!</definedName>
    <definedName name="B2TR_EE_651M">#REF!</definedName>
    <definedName name="B2TR_EE_651O">#REF!</definedName>
    <definedName name="B2TR_EE_651Q">#REF!</definedName>
    <definedName name="B2TR_EE_651R">#REF!</definedName>
    <definedName name="B2TR_EE_651S">#REF!</definedName>
    <definedName name="B2TR_EE_651T">#REF!</definedName>
    <definedName name="B2TR_EE_651U">#REF!</definedName>
    <definedName name="B2TR_EE_651W">#REF!</definedName>
    <definedName name="B2TR_EE_651X">#REF!</definedName>
    <definedName name="B2TR_EE_651Y">#REF!</definedName>
    <definedName name="B2TR_EE_651Z">#REF!</definedName>
    <definedName name="B2TR_EE_652G">#REF!</definedName>
    <definedName name="B2TR_EE_653A">#REF!</definedName>
    <definedName name="B2TR_EE_659B">#REF!</definedName>
    <definedName name="B2TR_EE_660A">#REF!</definedName>
    <definedName name="B2TR_EE_660F">#REF!</definedName>
    <definedName name="B2TR_EE_660G">#REF!</definedName>
    <definedName name="B2TR_EE_660K">#REF!</definedName>
    <definedName name="B2TR_EE_660O">#REF!</definedName>
    <definedName name="B2TR_EE_660R">#REF!</definedName>
    <definedName name="B2TR_EE_660Z">#REF!</definedName>
    <definedName name="B2TR_EE_661B">#REF!</definedName>
    <definedName name="B2TR_EE_661R">#REF!</definedName>
    <definedName name="B2TR_EE_661S">#REF!</definedName>
    <definedName name="B2TR_EE_661T">#REF!</definedName>
    <definedName name="B2TR_EE_661U">#REF!</definedName>
    <definedName name="B2TR_EE_661V">#REF!</definedName>
    <definedName name="B2TR_EE_661X">#REF!</definedName>
    <definedName name="B2TR_EE_661Y">#REF!</definedName>
    <definedName name="B2TR_EE_662A">#REF!</definedName>
    <definedName name="B2TR_EE_662D">#REF!</definedName>
    <definedName name="B2TR_EE_663F">#REF!</definedName>
    <definedName name="B2TR_EE_663G">#REF!</definedName>
    <definedName name="B2TR_EE_663N">#REF!</definedName>
    <definedName name="B2TR_EE_663O">#REF!</definedName>
    <definedName name="B2TR_EE_663T">#REF!</definedName>
    <definedName name="B2TR_EE_663X">#REF!</definedName>
    <definedName name="B2TR_EE_664A">#REF!</definedName>
    <definedName name="B2TR_EE_664B">#REF!</definedName>
    <definedName name="B2TR_EE_664F">#REF!</definedName>
    <definedName name="B2TR_EE_664N">#REF!</definedName>
    <definedName name="B2TR_EE_664P">#REF!</definedName>
    <definedName name="B2TR_EE_664Q">#REF!</definedName>
    <definedName name="B2TR_EE_664R">#REF!</definedName>
    <definedName name="B2TR_EE_664V">#REF!</definedName>
    <definedName name="B2TR_EE_665D">#REF!</definedName>
    <definedName name="B2TR_EE_665G">#REF!</definedName>
    <definedName name="B2TR_EE_665I">#REF!</definedName>
    <definedName name="B2TR_EE_665J">#REF!</definedName>
    <definedName name="B2TR_EE_665N">#REF!</definedName>
    <definedName name="B2TR_EE_665V">#REF!</definedName>
    <definedName name="B2TR_EE_665X">#REF!</definedName>
    <definedName name="B2TR_EE_667C">#REF!</definedName>
    <definedName name="B2TR_EE_667D">#REF!</definedName>
    <definedName name="B2TR_EE_667E">#REF!</definedName>
    <definedName name="B2TR_EE_667H">#REF!</definedName>
    <definedName name="B2TR_EE_667J">#REF!</definedName>
    <definedName name="B2TR_EE_667K">#REF!</definedName>
    <definedName name="B2TR_EE_667N">#REF!</definedName>
    <definedName name="B2TR_EE_667P">#REF!</definedName>
    <definedName name="B2TR_EE_667R">#REF!</definedName>
    <definedName name="B2TR_EE_667S">#REF!</definedName>
    <definedName name="B2TR_EE_667T">#REF!</definedName>
    <definedName name="B2TR_EE_667U">#REF!</definedName>
    <definedName name="B2TR_EE_667V">#REF!</definedName>
    <definedName name="B2TR_EE_667W">#REF!</definedName>
    <definedName name="B2TR_EE_667Y">#REF!</definedName>
    <definedName name="B2TR_EE_667Z">#REF!</definedName>
    <definedName name="B2TR_EE_668B">#REF!</definedName>
    <definedName name="B2TR_EE_668D">#REF!</definedName>
    <definedName name="B2TR_EE_668E">#REF!</definedName>
    <definedName name="B2TR_EE_668F">#REF!</definedName>
    <definedName name="B2TR_EE_668G">#REF!</definedName>
    <definedName name="B2TR_EE_668H">#REF!</definedName>
    <definedName name="B2TR_EE_668I">#REF!</definedName>
    <definedName name="B2TR_EE_668J">#REF!</definedName>
    <definedName name="B2TR_EE_668O">#REF!</definedName>
    <definedName name="B2TR_EE_668P">#REF!</definedName>
    <definedName name="B2TR_EE_668T">#REF!</definedName>
    <definedName name="B2TR_EE_668U">#REF!</definedName>
    <definedName name="B2TR_EE_668V">#REF!</definedName>
    <definedName name="B2TR_EE_669A">#REF!</definedName>
    <definedName name="B2TR_EE_669H">#REF!</definedName>
    <definedName name="B2TR_EE_669I">#REF!</definedName>
    <definedName name="B2TR_EE_669J">#REF!</definedName>
    <definedName name="B2TR_EE_669K">#REF!</definedName>
    <definedName name="B2TR_EE_669O">#REF!</definedName>
    <definedName name="B2TR_EE_669R">#REF!</definedName>
    <definedName name="B2TR_EE_669S">#REF!</definedName>
    <definedName name="B2TR_EE_669T">#REF!</definedName>
    <definedName name="B2TR_EE_669U">#REF!</definedName>
    <definedName name="B2TR_EE_669W">#REF!</definedName>
    <definedName name="B2TR_EE_669X">#REF!</definedName>
    <definedName name="B2TR_EE_669Y">#REF!</definedName>
    <definedName name="B2TR_EE_669Z">#REF!</definedName>
    <definedName name="B2TR_EE_670D">#REF!</definedName>
    <definedName name="B2TR_EE_670F">#REF!</definedName>
    <definedName name="B2TR_EE_670H">#REF!</definedName>
    <definedName name="B2TR_EE_670I">#REF!</definedName>
    <definedName name="B2TR_EE_670N">#REF!</definedName>
    <definedName name="B2TR_EE_670O">#REF!</definedName>
    <definedName name="B2TR_EE_670P">#REF!</definedName>
    <definedName name="B2TR_EE_670Q">#REF!</definedName>
    <definedName name="B2TR_EE_670S">#REF!</definedName>
    <definedName name="B2TR_EE_670W">#REF!</definedName>
    <definedName name="B2TR_EE_670X">#REF!</definedName>
    <definedName name="B2TR_EE_670Y">#REF!</definedName>
    <definedName name="B2TR_EE_670Z">#REF!</definedName>
    <definedName name="B2TR_EE_671A">#REF!</definedName>
    <definedName name="B2TR_EE_671B">#REF!</definedName>
    <definedName name="B2TR_EE_671D">#REF!</definedName>
    <definedName name="B2TR_EE_671F">#REF!</definedName>
    <definedName name="B2TR_EE_671G">#REF!</definedName>
    <definedName name="B2TR_EE_671H">#REF!</definedName>
    <definedName name="B2TR_EE_671I">#REF!</definedName>
    <definedName name="B2TR_EE_671J">#REF!</definedName>
    <definedName name="B2TR_EE_671K">#REF!</definedName>
    <definedName name="B2TR_EE_671L">#REF!</definedName>
    <definedName name="B2TR_EE_671M">#REF!</definedName>
    <definedName name="B2TR_EE_671N">#REF!</definedName>
    <definedName name="B2TR_EE_671O">#REF!</definedName>
    <definedName name="B2TR_EE_671P">#REF!</definedName>
    <definedName name="B2TR_EE_671Q">#REF!</definedName>
    <definedName name="B2TR_EE_671R">#REF!</definedName>
    <definedName name="B2TR_EE_671S">#REF!</definedName>
    <definedName name="B2TR_EE_671T">#REF!</definedName>
    <definedName name="B2TR_EE_671W">#REF!</definedName>
    <definedName name="B2TR_EE_671Z">#REF!</definedName>
    <definedName name="B2TR_EE_672G">#REF!</definedName>
    <definedName name="B2TR_EE_672H">#REF!</definedName>
    <definedName name="B2TR_EE_672I">#REF!</definedName>
    <definedName name="B2TR_EE_672M">#REF!</definedName>
    <definedName name="B2TR_EE_672N">#REF!</definedName>
    <definedName name="B2TR_EE_672O">#REF!</definedName>
    <definedName name="B2TR_EE_672P">#REF!</definedName>
    <definedName name="B2TR_EE_672R">#REF!</definedName>
    <definedName name="B2TR_EE_672S">#REF!</definedName>
    <definedName name="B2TR_EE_672T">#REF!</definedName>
    <definedName name="B2TR_EE_673C">#REF!</definedName>
    <definedName name="B2TR_EE_673E">#REF!</definedName>
    <definedName name="B2TR_EE_673F">#REF!</definedName>
    <definedName name="B2TR_EE_673G">#REF!</definedName>
    <definedName name="B2TR_EE_673H">#REF!</definedName>
    <definedName name="B2TR_EE_673I">#REF!</definedName>
    <definedName name="B2TR_EE_673J">#REF!</definedName>
    <definedName name="B2TR_EE_673K">#REF!</definedName>
    <definedName name="B2TR_EE_673M">#REF!</definedName>
    <definedName name="B2TR_EE_673N">#REF!</definedName>
    <definedName name="B2TR_EE_673O">#REF!</definedName>
    <definedName name="B2TR_EE_673R">#REF!</definedName>
    <definedName name="B2TR_EE_673S">#REF!</definedName>
    <definedName name="B2TR_EE_673U">#REF!</definedName>
    <definedName name="B2TR_EE_673V">#REF!</definedName>
    <definedName name="B2TR_EE_673W">#REF!</definedName>
    <definedName name="B2TR_EE_673X">#REF!</definedName>
    <definedName name="B2TR_EE_673Y">#REF!</definedName>
    <definedName name="B2TR_EE_673Z">#REF!</definedName>
    <definedName name="B2TR_EE_674A">#REF!</definedName>
    <definedName name="B2TR_EE_674B">#REF!</definedName>
    <definedName name="B2TR_EE_674C">#REF!</definedName>
    <definedName name="B2TR_EE_674D">#REF!</definedName>
    <definedName name="B2TR_EE_674E">#REF!</definedName>
    <definedName name="B2TR_EE_674F">#REF!</definedName>
    <definedName name="B2TR_EE_674G">#REF!</definedName>
    <definedName name="B2TR_EE_674I">#REF!</definedName>
    <definedName name="B2TR_EE_674J">#REF!</definedName>
    <definedName name="B2TR_EE_674M">#REF!</definedName>
    <definedName name="B2TR_EE_674P">#REF!</definedName>
    <definedName name="B2TR_EE_674Q">#REF!</definedName>
    <definedName name="B2TR_EE_674R">#REF!</definedName>
    <definedName name="B2TR_EE_674S">#REF!</definedName>
    <definedName name="B2TR_EE_674V">#REF!</definedName>
    <definedName name="B2TR_EE_674W">#REF!</definedName>
    <definedName name="B2TR_EE_675A">#REF!</definedName>
    <definedName name="B2TR_EE_675C">#REF!</definedName>
    <definedName name="B2TR_EE_675E">#REF!</definedName>
    <definedName name="B2TR_EE_675F">#REF!</definedName>
    <definedName name="B2TR_EE_675G">#REF!</definedName>
    <definedName name="B2TR_EE_675H">#REF!</definedName>
    <definedName name="B2TR_EE_675I">#REF!</definedName>
    <definedName name="B2TR_EE_675J">#REF!</definedName>
    <definedName name="B2TR_EE_675K">#REF!</definedName>
    <definedName name="B2TR_EE_675L">#REF!</definedName>
    <definedName name="B2TR_EE_675M">#REF!</definedName>
    <definedName name="B2TR_EE_675N">#REF!</definedName>
    <definedName name="B2TR_EE_675O">#REF!</definedName>
    <definedName name="B2TR_EE_675P">#REF!</definedName>
    <definedName name="B2TR_EE_675Q">#REF!</definedName>
    <definedName name="B2TR_EE_675R">#REF!</definedName>
    <definedName name="B2TR_EE_675S">#REF!</definedName>
    <definedName name="B2TR_EE_675T">#REF!</definedName>
    <definedName name="B2TR_EE_675U">#REF!</definedName>
    <definedName name="B2TR_EE_675V">#REF!</definedName>
    <definedName name="B2TR_EE_675W">#REF!</definedName>
    <definedName name="B2TR_EE_675X">#REF!</definedName>
    <definedName name="B2TR_EE_675Y">#REF!</definedName>
    <definedName name="B2TR_EE_675Z">#REF!</definedName>
    <definedName name="B2TR_EE_676A">#REF!</definedName>
    <definedName name="B2TR_EE_676B">#REF!</definedName>
    <definedName name="B2TR_EE_676C">#REF!</definedName>
    <definedName name="B2TR_EE_676D">#REF!</definedName>
    <definedName name="B2TR_EE_676E">#REF!</definedName>
    <definedName name="B2TR_EE_676F">#REF!</definedName>
    <definedName name="B2TR_EE_676G">#REF!</definedName>
    <definedName name="B2TR_EE_676J">#REF!</definedName>
    <definedName name="B2TR_EE_690C">#REF!</definedName>
    <definedName name="B2TR_EE_690D">#REF!</definedName>
    <definedName name="B2TR_EE_690E">#REF!</definedName>
    <definedName name="B2TR_EE_690F">#REF!</definedName>
    <definedName name="B2TR_EE_690G">#REF!</definedName>
    <definedName name="B2TR_EE_690I">#REF!</definedName>
    <definedName name="B2TR_EE_690J">#REF!</definedName>
    <definedName name="B2TR_EE_690K">#REF!</definedName>
    <definedName name="B2TR_EE_690L">#REF!</definedName>
    <definedName name="B2TR_EE_700B">#REF!</definedName>
    <definedName name="B2TR_EE_701A">#REF!</definedName>
    <definedName name="B2TR_EE_702A">#REF!</definedName>
    <definedName name="B2TR_EE_710H">#REF!</definedName>
    <definedName name="B2TR_EE_710Q">#REF!</definedName>
    <definedName name="B2TR_EE_710Y">#REF!</definedName>
    <definedName name="B2TR_EE_711N">#REF!</definedName>
    <definedName name="B2TR_EE_711O">#REF!</definedName>
    <definedName name="B2TR_EE_711P">#REF!</definedName>
    <definedName name="B2TR_EE_712K">#REF!</definedName>
    <definedName name="B2TR_EE_712L">#REF!</definedName>
    <definedName name="B2TR_EE_712M">#REF!</definedName>
    <definedName name="B2TR_EE_712N">#REF!</definedName>
    <definedName name="B2TR_EE_811B">#REF!</definedName>
    <definedName name="B2TR_EE_811C">#REF!</definedName>
    <definedName name="B2TR_EE_813B">#REF!</definedName>
    <definedName name="B2TR_EE_813C">#REF!</definedName>
    <definedName name="B2TR_EE_841A">#REF!</definedName>
    <definedName name="B2TR_EE_841B">#REF!</definedName>
    <definedName name="B2TR_EE_841C">#REF!</definedName>
    <definedName name="B2TR_EE_842A">#REF!</definedName>
    <definedName name="B2TR_EE_842B">#REF!</definedName>
    <definedName name="B2TR_EE_842C">#REF!</definedName>
    <definedName name="B2TR_EE_843A">#REF!</definedName>
    <definedName name="B2TR_EE_844A">#REF!</definedName>
    <definedName name="B2TR_EE_845K">#REF!</definedName>
    <definedName name="B2TR_EE_846D">#REF!</definedName>
    <definedName name="B2TR_EE_846E">#REF!</definedName>
    <definedName name="B2TR_EE_846F">#REF!</definedName>
    <definedName name="B2TR_EE_846G">#REF!</definedName>
    <definedName name="B2TR_EE_846H">#REF!</definedName>
    <definedName name="B2TR_EE_846I">#REF!</definedName>
    <definedName name="B2TR_EE_850A">#REF!</definedName>
    <definedName name="B2TR_EE_850C">#REF!</definedName>
    <definedName name="B2TR_EE_900A">#REF!</definedName>
    <definedName name="B2TR_EE_900F">#REF!</definedName>
    <definedName name="B2TR_EE_900H">#REF!</definedName>
    <definedName name="B2TR_EE_900I">#REF!</definedName>
    <definedName name="B2TR_EE_900L">#REF!</definedName>
    <definedName name="B2TR_EE_905A">#REF!</definedName>
    <definedName name="B2TR_EE_905B">#REF!</definedName>
    <definedName name="B2TR_EE_905C">#REF!</definedName>
    <definedName name="B2TR_EE_905U">#REF!</definedName>
    <definedName name="B2TR_EE_906A">#REF!</definedName>
    <definedName name="B2TR_EE_906D">#REF!</definedName>
    <definedName name="B2TR_EE_906F">#REF!</definedName>
    <definedName name="B2TR_EE_906I">#REF!</definedName>
    <definedName name="B2TR_EE_906J">#REF!</definedName>
    <definedName name="B2TR_EE_906K">#REF!</definedName>
    <definedName name="B2TR_EE_906P">#REF!</definedName>
    <definedName name="B2TR_EE_906Z">#REF!</definedName>
    <definedName name="B2TR_EE_908A">#REF!</definedName>
    <definedName name="B2TR_EE_908B">#REF!</definedName>
    <definedName name="B2TR_EE_910B">#REF!</definedName>
    <definedName name="B2TR_EE_910C">#REF!</definedName>
    <definedName name="B2TR_EE_910D">#REF!</definedName>
    <definedName name="B2TR_EE_910E">#REF!</definedName>
    <definedName name="B2TR_EE_910K">#REF!</definedName>
    <definedName name="B2TR_EE_910M">#REF!</definedName>
    <definedName name="B2TR_EE_910N">#REF!</definedName>
    <definedName name="B2TR_EE_910O">#REF!</definedName>
    <definedName name="B2TR_EE_910Q">#REF!</definedName>
    <definedName name="B2TR_EE_910S">#REF!</definedName>
    <definedName name="B2TR_EE_910U">#REF!</definedName>
    <definedName name="B2TR_EE_910X">#REF!</definedName>
    <definedName name="B2TR_EE_911I">#REF!</definedName>
    <definedName name="B2TR_EE_911J">#REF!</definedName>
    <definedName name="B2TR_EE_911K">#REF!</definedName>
    <definedName name="B2TR_EE_911L">#REF!</definedName>
    <definedName name="B2TR_EE_911M">#REF!</definedName>
    <definedName name="B2TR_EE_911Q">#REF!</definedName>
    <definedName name="B2TR_EE_911QA">#REF!</definedName>
    <definedName name="B2TR_EE_911QB">#REF!</definedName>
    <definedName name="B2TR_EE_911S">#REF!</definedName>
    <definedName name="B2TR_EE_911V">#REF!</definedName>
    <definedName name="B2TR_EE_911W">#REF!</definedName>
    <definedName name="B2TR_EE_911Z">#REF!</definedName>
    <definedName name="B2TR_EE_912K">#REF!</definedName>
    <definedName name="B2TR_EE_913A">#REF!</definedName>
    <definedName name="B2TR_EE_913D">#REF!</definedName>
    <definedName name="B2TR_EE_913M">#REF!</definedName>
    <definedName name="B2TR_EE_914A">#REF!</definedName>
    <definedName name="B2TR_EE_914B">#REF!</definedName>
    <definedName name="B2TR_EE_914E">#REF!</definedName>
    <definedName name="B2TR_EE_914F">#REF!</definedName>
    <definedName name="B2TR_EE_914K">#REF!</definedName>
    <definedName name="B2TR_EE_914MDSIT">#REF!</definedName>
    <definedName name="B2TR_EE_920E">#REF!</definedName>
    <definedName name="B2TR_EE_921A">#REF!</definedName>
    <definedName name="B2TR_EE_921G">#REF!</definedName>
    <definedName name="B2TR_EE_930A">#REF!</definedName>
    <definedName name="B2TR_EE_930E">#REF!</definedName>
    <definedName name="B2TR_EE_930J">#REF!</definedName>
    <definedName name="B2TR_EE_930K">#REF!</definedName>
    <definedName name="B2TR_EE_940A">#REF!</definedName>
    <definedName name="B2TR_EE_940N">#REF!</definedName>
    <definedName name="B2TR_EE_940S">#REF!</definedName>
    <definedName name="B2TR_EE_940X">#REF!</definedName>
    <definedName name="B2TR_EE_960A">#REF!</definedName>
    <definedName name="B2TR_EE_980A">#REF!</definedName>
    <definedName name="B2TR_EE_980B">#REF!</definedName>
    <definedName name="B2TR_EE_980E">#REF!</definedName>
    <definedName name="B2TR_EE_980G">#REF!</definedName>
    <definedName name="B2TR_EE_980J">#REF!</definedName>
    <definedName name="B2TR_EE_980L">#REF!</definedName>
    <definedName name="B2TR_EE_985B">#REF!</definedName>
    <definedName name="B2TR_EE_990B">#REF!</definedName>
    <definedName name="B2TR_EE_995A">#REF!</definedName>
    <definedName name="B2TR_EE_999QFIN48">#REF!</definedName>
    <definedName name="B2TR_EE_INT1">#REF!</definedName>
    <definedName name="B2TR_EE_M31">#REF!</definedName>
    <definedName name="B2TR_EE_M32">#REF!</definedName>
    <definedName name="B2TR_EE_M33">#REF!</definedName>
    <definedName name="B2TR_EE_NIT">#REF!</definedName>
    <definedName name="B2TR_EEComm_0001">#REF!</definedName>
    <definedName name="B2TR_EEComm_0002">#REF!</definedName>
    <definedName name="B2TR_EEComm_0003">#REF!</definedName>
    <definedName name="B2TR_EEComm_014A">#REF!</definedName>
    <definedName name="B2TR_EEComm_014ADSIT">#REF!</definedName>
    <definedName name="B2TR_EEComm_014C">#REF!</definedName>
    <definedName name="B2TR_EEComm_014CDSIT">#REF!</definedName>
    <definedName name="B2TR_EEComm_014VDSIT">#REF!</definedName>
    <definedName name="B2TR_EEComm_014WDSIT">#REF!</definedName>
    <definedName name="B2TR_EEComm_210A">#REF!</definedName>
    <definedName name="B2TR_EEComm_210B">#REF!</definedName>
    <definedName name="B2TR_EEComm_210E">#REF!</definedName>
    <definedName name="B2TR_EEComm_211A">#REF!</definedName>
    <definedName name="B2TR_EEComm_220A">#REF!</definedName>
    <definedName name="B2TR_EEComm_220E">#REF!</definedName>
    <definedName name="B2TR_EEComm_230A">#REF!</definedName>
    <definedName name="B2TR_EEComm_230B">#REF!</definedName>
    <definedName name="B2TR_EEComm_230G">#REF!</definedName>
    <definedName name="B2TR_EEComm_230I">#REF!</definedName>
    <definedName name="B2TR_EEComm_230J">#REF!</definedName>
    <definedName name="B2TR_EEComm_230K">#REF!</definedName>
    <definedName name="B2TR_EEComm_230X">#REF!</definedName>
    <definedName name="B2TR_EEComm_232A">#REF!</definedName>
    <definedName name="B2TR_EEComm_232C">#REF!</definedName>
    <definedName name="B2TR_EEComm_232K">#REF!</definedName>
    <definedName name="B2TR_EEComm_232M">#REF!</definedName>
    <definedName name="B2TR_EEComm_234F">#REF!</definedName>
    <definedName name="B2TR_EEComm_234Q">#REF!</definedName>
    <definedName name="B2TR_EEComm_280A">#REF!</definedName>
    <definedName name="B2TR_EEComm_280D">#REF!</definedName>
    <definedName name="B2TR_EEComm_280E">#REF!</definedName>
    <definedName name="B2TR_EEComm_280F">#REF!</definedName>
    <definedName name="B2TR_EEComm_280H">#REF!</definedName>
    <definedName name="B2TR_EEComm_280J">#REF!</definedName>
    <definedName name="B2TR_EEComm_280Y">#REF!</definedName>
    <definedName name="B2TR_EEComm_282A">#REF!</definedName>
    <definedName name="B2TR_EEComm_282B">#REF!</definedName>
    <definedName name="B2TR_EEComm_295A">#REF!</definedName>
    <definedName name="B2TR_EEComm_295D">#REF!</definedName>
    <definedName name="B2TR_EEComm_310A">#REF!</definedName>
    <definedName name="B2TR_EEComm_310D">#REF!</definedName>
    <definedName name="B2TR_EEComm_310E">#REF!</definedName>
    <definedName name="B2TR_EEComm_320A">#REF!</definedName>
    <definedName name="B2TR_EEComm_320D">#REF!</definedName>
    <definedName name="B2TR_EEComm_320I">#REF!</definedName>
    <definedName name="B2TR_EEComm_320L">#REF!</definedName>
    <definedName name="B2TR_EEComm_320S">#REF!</definedName>
    <definedName name="B2TR_EEComm_320U">#REF!</definedName>
    <definedName name="B2TR_EEComm_330D">#REF!</definedName>
    <definedName name="B2TR_EEComm_345A">#REF!</definedName>
    <definedName name="B2TR_EEComm_345B">#REF!</definedName>
    <definedName name="B2TR_EEComm_350A">#REF!</definedName>
    <definedName name="B2TR_EEComm_360A">#REF!</definedName>
    <definedName name="B2TR_EEComm_380F">#REF!</definedName>
    <definedName name="B2TR_EEComm_380J">#REF!</definedName>
    <definedName name="B2TR_EEComm_390A">#REF!</definedName>
    <definedName name="B2TR_EEComm_390C">#REF!</definedName>
    <definedName name="B2TR_EEComm_390D">#REF!</definedName>
    <definedName name="B2TR_EEComm_390E">#REF!</definedName>
    <definedName name="B2TR_EEComm_390F">#REF!</definedName>
    <definedName name="B2TR_EEComm_410A">#REF!</definedName>
    <definedName name="B2TR_EEComm_430I">#REF!</definedName>
    <definedName name="B2TR_EEComm_430J">#REF!</definedName>
    <definedName name="B2TR_EEComm_432A">#REF!</definedName>
    <definedName name="B2TR_EEComm_432C">#REF!</definedName>
    <definedName name="B2TR_EEComm_432D">#REF!</definedName>
    <definedName name="B2TR_EEComm_432G">#REF!</definedName>
    <definedName name="B2TR_EEComm_432I">#REF!</definedName>
    <definedName name="B2TR_EEComm_432M">#REF!</definedName>
    <definedName name="B2TR_EEComm_433A">#REF!</definedName>
    <definedName name="B2TR_EEComm_433C">#REF!</definedName>
    <definedName name="B2TR_EEComm_433D">#REF!</definedName>
    <definedName name="B2TR_EEComm_433F">#REF!</definedName>
    <definedName name="B2TR_EEComm_460A">#REF!</definedName>
    <definedName name="B2TR_EEComm_510B">#REF!</definedName>
    <definedName name="B2TR_EEComm_510H">#REF!</definedName>
    <definedName name="B2TR_EEComm_510I">#REF!</definedName>
    <definedName name="B2TR_EEComm_510M">#REF!</definedName>
    <definedName name="B2TR_EEComm_520A">#REF!</definedName>
    <definedName name="B2TR_EEComm_520X">#REF!</definedName>
    <definedName name="B2TR_EEComm_520Y">#REF!</definedName>
    <definedName name="B2TR_EEComm_531A">#REF!</definedName>
    <definedName name="B2TR_EEComm_531B">#REF!</definedName>
    <definedName name="B2TR_EEComm_531H">#REF!</definedName>
    <definedName name="B2TR_EEComm_532A">#REF!</definedName>
    <definedName name="B2TR_EEComm_532C">#REF!</definedName>
    <definedName name="B2TR_EEComm_532D">#REF!</definedName>
    <definedName name="B2TR_EEComm_532E">#REF!</definedName>
    <definedName name="B2TR_EEComm_532F">#REF!</definedName>
    <definedName name="B2TR_EEComm_532G">#REF!</definedName>
    <definedName name="B2TR_EEComm_532H">#REF!</definedName>
    <definedName name="B2TR_EEComm_533A">#REF!</definedName>
    <definedName name="B2TR_EEComm_533D">#REF!</definedName>
    <definedName name="B2TR_EEComm_533E">#REF!</definedName>
    <definedName name="B2TR_EEComm_533J">#REF!</definedName>
    <definedName name="B2TR_EEComm_534A">#REF!</definedName>
    <definedName name="B2TR_EEComm_560D">#REF!</definedName>
    <definedName name="B2TR_EEComm_560J">#REF!</definedName>
    <definedName name="B2TR_EEComm_561A">#REF!</definedName>
    <definedName name="B2TR_EEComm_561D">#REF!</definedName>
    <definedName name="B2TR_EEComm_561I">#REF!</definedName>
    <definedName name="B2TR_EEComm_561J">#REF!</definedName>
    <definedName name="B2TR_EEComm_562B">#REF!</definedName>
    <definedName name="B2TR_EEComm_562H">#REF!</definedName>
    <definedName name="B2TR_EEComm_575E">#REF!</definedName>
    <definedName name="B2TR_EEComm_575G">#REF!</definedName>
    <definedName name="B2TR_EEComm_576e">#REF!</definedName>
    <definedName name="B2TR_EEComm_576F">#REF!</definedName>
    <definedName name="B2TR_EEComm_601E">#REF!</definedName>
    <definedName name="B2TR_EEComm_601G">#REF!</definedName>
    <definedName name="B2TR_EEComm_601T">#REF!</definedName>
    <definedName name="B2TR_EEComm_602A">#REF!</definedName>
    <definedName name="B2TR_EEComm_603A">#REF!</definedName>
    <definedName name="B2TR_EEComm_603G">#REF!</definedName>
    <definedName name="B2TR_EEComm_605B">#REF!</definedName>
    <definedName name="B2TR_EEComm_605C">#REF!</definedName>
    <definedName name="B2TR_EEComm_605E">#REF!</definedName>
    <definedName name="B2TR_EEComm_605F">#REF!</definedName>
    <definedName name="B2TR_EEComm_605I">#REF!</definedName>
    <definedName name="B2TR_EEComm_605K">#REF!</definedName>
    <definedName name="B2TR_EEComm_605O">#REF!</definedName>
    <definedName name="B2TR_EEComm_605P">#REF!</definedName>
    <definedName name="B2TR_EEComm_605T">#REF!</definedName>
    <definedName name="B2TR_EEComm_605V">#REF!</definedName>
    <definedName name="B2TR_EEComm_605W">#REF!</definedName>
    <definedName name="B2TR_EEComm_609E">#REF!</definedName>
    <definedName name="B2TR_EEComm_610A">#REF!</definedName>
    <definedName name="B2TR_EEComm_610U">#REF!</definedName>
    <definedName name="B2TR_EEComm_610V">#REF!</definedName>
    <definedName name="B2TR_EEComm_611E">#REF!</definedName>
    <definedName name="B2TR_EEComm_611G">#REF!</definedName>
    <definedName name="B2TR_EEComm_611M">#REF!</definedName>
    <definedName name="B2TR_EEComm_611S">#REF!</definedName>
    <definedName name="B2TR_EEComm_611U">#REF!</definedName>
    <definedName name="B2TR_EEComm_611Y">#REF!</definedName>
    <definedName name="B2TR_EEComm_612H">#REF!</definedName>
    <definedName name="B2TR_EEComm_612Y">#REF!</definedName>
    <definedName name="B2TR_EEComm_613B">#REF!</definedName>
    <definedName name="B2TR_EEComm_613C">#REF!</definedName>
    <definedName name="B2TR_EEComm_613E">#REF!</definedName>
    <definedName name="B2TR_EEComm_613F">#REF!</definedName>
    <definedName name="B2TR_EEComm_613I">#REF!</definedName>
    <definedName name="B2TR_EEComm_613K">#REF!</definedName>
    <definedName name="B2TR_EEComm_613L">#REF!</definedName>
    <definedName name="B2TR_EEComm_613N">#REF!</definedName>
    <definedName name="B2TR_EEComm_613O">#REF!</definedName>
    <definedName name="B2TR_EEComm_613R">#REF!</definedName>
    <definedName name="B2TR_EEComm_613S">#REF!</definedName>
    <definedName name="B2TR_EEComm_613U">#REF!</definedName>
    <definedName name="B2TR_EEComm_613Y">#REF!</definedName>
    <definedName name="B2TR_EEComm_614I">#REF!</definedName>
    <definedName name="B2TR_EEComm_614W">#REF!</definedName>
    <definedName name="B2TR_EEComm_614Y">#REF!</definedName>
    <definedName name="B2TR_EEComm_614Z">#REF!</definedName>
    <definedName name="B2TR_EEComm_615B">#REF!</definedName>
    <definedName name="B2TR_EEComm_615C">#REF!</definedName>
    <definedName name="B2TR_EEComm_615Q">#REF!</definedName>
    <definedName name="B2TR_EEComm_615R">#REF!</definedName>
    <definedName name="B2TR_EEComm_615T">#REF!</definedName>
    <definedName name="B2TR_EEComm_615Z">#REF!</definedName>
    <definedName name="B2TR_EEComm_616A">#REF!</definedName>
    <definedName name="B2TR_EEComm_620A">#REF!</definedName>
    <definedName name="B2TR_EEComm_620C">#REF!</definedName>
    <definedName name="B2TR_EEComm_625A">#REF!</definedName>
    <definedName name="B2TR_EEComm_625B">#REF!</definedName>
    <definedName name="B2TR_EEComm_629X">#REF!</definedName>
    <definedName name="B2TR_EEComm_630A">#REF!</definedName>
    <definedName name="B2TR_EEComm_630E">#REF!</definedName>
    <definedName name="B2TR_EEComm_630F">#REF!</definedName>
    <definedName name="B2TR_EEComm_630G">#REF!</definedName>
    <definedName name="B2TR_EEComm_630J">#REF!</definedName>
    <definedName name="B2TR_EEComm_630M">#REF!</definedName>
    <definedName name="B2TR_EEComm_630T">#REF!</definedName>
    <definedName name="B2TR_EEComm_630X">#REF!</definedName>
    <definedName name="B2TR_EEComm_630Y">#REF!</definedName>
    <definedName name="B2TR_EEComm_631C">#REF!</definedName>
    <definedName name="B2TR_EEComm_631D">#REF!</definedName>
    <definedName name="B2TR_EEComm_631E">#REF!</definedName>
    <definedName name="B2TR_EEComm_631F">#REF!</definedName>
    <definedName name="B2TR_EEComm_631G">#REF!</definedName>
    <definedName name="B2TR_EEComm_631H">#REF!</definedName>
    <definedName name="B2TR_EEComm_631I">#REF!</definedName>
    <definedName name="B2TR_EEComm_631J">#REF!</definedName>
    <definedName name="B2TR_EEComm_631S">#REF!</definedName>
    <definedName name="B2TR_EEComm_631U">#REF!</definedName>
    <definedName name="B2TR_EEComm_632G">#REF!</definedName>
    <definedName name="B2TR_EEComm_632O">#REF!</definedName>
    <definedName name="B2TR_EEComm_632P">#REF!</definedName>
    <definedName name="B2TR_EEComm_632U">#REF!</definedName>
    <definedName name="B2TR_EEComm_632Y">#REF!</definedName>
    <definedName name="B2TR_EEComm_633A">#REF!</definedName>
    <definedName name="B2TR_EEComm_635C">#REF!</definedName>
    <definedName name="B2TR_EEComm_638A">#REF!</definedName>
    <definedName name="B2TR_EEComm_638C">#REF!</definedName>
    <definedName name="B2TR_EEComm_641I">#REF!</definedName>
    <definedName name="B2TR_EEComm_641X">#REF!</definedName>
    <definedName name="B2TR_EEComm_641Y">#REF!</definedName>
    <definedName name="B2TR_EEComm_642B">#REF!</definedName>
    <definedName name="B2TR_EEComm_642C">#REF!</definedName>
    <definedName name="B2TR_EEComm_651C">#REF!</definedName>
    <definedName name="B2TR_EEComm_651F">#REF!</definedName>
    <definedName name="B2TR_EEComm_651H">#REF!</definedName>
    <definedName name="B2TR_EEComm_651I">#REF!</definedName>
    <definedName name="B2TR_EEComm_651J">#REF!</definedName>
    <definedName name="B2TR_EEComm_651K">#REF!</definedName>
    <definedName name="B2TR_EEComm_651M">#REF!</definedName>
    <definedName name="B2TR_EEComm_651O">#REF!</definedName>
    <definedName name="B2TR_EEComm_651Q">#REF!</definedName>
    <definedName name="B2TR_EEComm_651R">#REF!</definedName>
    <definedName name="B2TR_EEComm_651S">#REF!</definedName>
    <definedName name="B2TR_EEComm_651T">#REF!</definedName>
    <definedName name="B2TR_EEComm_651U">#REF!</definedName>
    <definedName name="B2TR_EEComm_651W">#REF!</definedName>
    <definedName name="B2TR_EEComm_651X">#REF!</definedName>
    <definedName name="B2TR_EEComm_651Y">#REF!</definedName>
    <definedName name="B2TR_EEComm_651Z">#REF!</definedName>
    <definedName name="B2TR_EEComm_652G">#REF!</definedName>
    <definedName name="B2TR_EEComm_653A">#REF!</definedName>
    <definedName name="B2TR_EEComm_659B">#REF!</definedName>
    <definedName name="B2TR_EEComm_660A">#REF!</definedName>
    <definedName name="B2TR_EEComm_660F">#REF!</definedName>
    <definedName name="B2TR_EEComm_660G">#REF!</definedName>
    <definedName name="B2TR_EEComm_660K">#REF!</definedName>
    <definedName name="B2TR_EEComm_660O">#REF!</definedName>
    <definedName name="B2TR_EEComm_660R">#REF!</definedName>
    <definedName name="B2TR_EEComm_660Z">#REF!</definedName>
    <definedName name="B2TR_EEComm_661B">#REF!</definedName>
    <definedName name="B2TR_EEComm_661R">#REF!</definedName>
    <definedName name="B2TR_EEComm_661S">#REF!</definedName>
    <definedName name="B2TR_EEComm_661T">#REF!</definedName>
    <definedName name="B2TR_EEComm_661U">#REF!</definedName>
    <definedName name="B2TR_EEComm_661V">#REF!</definedName>
    <definedName name="B2TR_EEComm_661X">#REF!</definedName>
    <definedName name="B2TR_EEComm_661Y">#REF!</definedName>
    <definedName name="B2TR_EEComm_662A">#REF!</definedName>
    <definedName name="B2TR_EEComm_662D">#REF!</definedName>
    <definedName name="B2TR_EEComm_663F">#REF!</definedName>
    <definedName name="B2TR_EEComm_663G">#REF!</definedName>
    <definedName name="B2TR_EEComm_663N">#REF!</definedName>
    <definedName name="B2TR_EEComm_663O">#REF!</definedName>
    <definedName name="B2TR_EEComm_663T">#REF!</definedName>
    <definedName name="B2TR_EEComm_663X">#REF!</definedName>
    <definedName name="B2TR_EEComm_664A">#REF!</definedName>
    <definedName name="B2TR_EEComm_664B">#REF!</definedName>
    <definedName name="B2TR_EEComm_664F">#REF!</definedName>
    <definedName name="B2TR_EEComm_664N">#REF!</definedName>
    <definedName name="B2TR_EEComm_664P">#REF!</definedName>
    <definedName name="B2TR_EEComm_664Q">#REF!</definedName>
    <definedName name="B2TR_EEComm_664R">#REF!</definedName>
    <definedName name="B2TR_EEComm_664V">#REF!</definedName>
    <definedName name="B2TR_EEComm_665D">#REF!</definedName>
    <definedName name="B2TR_EEComm_665G">#REF!</definedName>
    <definedName name="B2TR_EEComm_665I">#REF!</definedName>
    <definedName name="B2TR_EEComm_665J">#REF!</definedName>
    <definedName name="B2TR_EEComm_665N">#REF!</definedName>
    <definedName name="B2TR_EEComm_665V">#REF!</definedName>
    <definedName name="B2TR_EEComm_665X">#REF!</definedName>
    <definedName name="B2TR_EEComm_667C">#REF!</definedName>
    <definedName name="B2TR_EEComm_667D">#REF!</definedName>
    <definedName name="B2TR_EEComm_667E">#REF!</definedName>
    <definedName name="B2TR_EEComm_667H">#REF!</definedName>
    <definedName name="B2TR_EEComm_667J">#REF!</definedName>
    <definedName name="B2TR_EEComm_667K">#REF!</definedName>
    <definedName name="B2TR_EEComm_667N">#REF!</definedName>
    <definedName name="B2TR_EEComm_667P">#REF!</definedName>
    <definedName name="B2TR_EEComm_667R">#REF!</definedName>
    <definedName name="B2TR_EEComm_667S">#REF!</definedName>
    <definedName name="B2TR_EEComm_667T">#REF!</definedName>
    <definedName name="B2TR_EEComm_667U">#REF!</definedName>
    <definedName name="B2TR_EEComm_667V">#REF!</definedName>
    <definedName name="B2TR_EEComm_667W">#REF!</definedName>
    <definedName name="B2TR_EEComm_667Y">#REF!</definedName>
    <definedName name="B2TR_EEComm_667Z">#REF!</definedName>
    <definedName name="B2TR_EEComm_668B">#REF!</definedName>
    <definedName name="B2TR_EEComm_668D">#REF!</definedName>
    <definedName name="B2TR_EEComm_668E">#REF!</definedName>
    <definedName name="B2TR_EEComm_668F">#REF!</definedName>
    <definedName name="B2TR_EEComm_668G">#REF!</definedName>
    <definedName name="B2TR_EEComm_668H">#REF!</definedName>
    <definedName name="B2TR_EEComm_668I">#REF!</definedName>
    <definedName name="B2TR_EEComm_668J">#REF!</definedName>
    <definedName name="B2TR_EEComm_668O">#REF!</definedName>
    <definedName name="B2TR_EEComm_668P">#REF!</definedName>
    <definedName name="B2TR_EEComm_668T">#REF!</definedName>
    <definedName name="B2TR_EEComm_668U">#REF!</definedName>
    <definedName name="B2TR_EEComm_668V">#REF!</definedName>
    <definedName name="B2TR_EEComm_669A">#REF!</definedName>
    <definedName name="B2TR_EEComm_669H">#REF!</definedName>
    <definedName name="B2TR_EEComm_669I">#REF!</definedName>
    <definedName name="B2TR_EEComm_669J">#REF!</definedName>
    <definedName name="B2TR_EEComm_669K">#REF!</definedName>
    <definedName name="B2TR_EEComm_669O">#REF!</definedName>
    <definedName name="B2TR_EEComm_669R">#REF!</definedName>
    <definedName name="B2TR_EEComm_669S">#REF!</definedName>
    <definedName name="B2TR_EEComm_669T">#REF!</definedName>
    <definedName name="B2TR_EEComm_669U">#REF!</definedName>
    <definedName name="B2TR_EEComm_669W">#REF!</definedName>
    <definedName name="B2TR_EEComm_669X">#REF!</definedName>
    <definedName name="B2TR_EEComm_669Y">#REF!</definedName>
    <definedName name="B2TR_EEComm_669Z">#REF!</definedName>
    <definedName name="B2TR_EEComm_670D">#REF!</definedName>
    <definedName name="B2TR_EEComm_670F">#REF!</definedName>
    <definedName name="B2TR_EEComm_670H">#REF!</definedName>
    <definedName name="B2TR_EEComm_670I">#REF!</definedName>
    <definedName name="B2TR_EEComm_670N">#REF!</definedName>
    <definedName name="B2TR_EEComm_670O">#REF!</definedName>
    <definedName name="B2TR_EEComm_670P">#REF!</definedName>
    <definedName name="B2TR_EEComm_670Q">#REF!</definedName>
    <definedName name="B2TR_EEComm_670S">#REF!</definedName>
    <definedName name="B2TR_EEComm_670W">#REF!</definedName>
    <definedName name="B2TR_EEComm_670X">#REF!</definedName>
    <definedName name="B2TR_EEComm_670Y">#REF!</definedName>
    <definedName name="B2TR_EEComm_670Z">#REF!</definedName>
    <definedName name="B2TR_EEComm_671A">#REF!</definedName>
    <definedName name="B2TR_EEComm_671B">#REF!</definedName>
    <definedName name="B2TR_EEComm_671D">#REF!</definedName>
    <definedName name="B2TR_EEComm_671F">#REF!</definedName>
    <definedName name="B2TR_EEComm_671G">#REF!</definedName>
    <definedName name="B2TR_EEComm_671H">#REF!</definedName>
    <definedName name="B2TR_EEComm_671I">#REF!</definedName>
    <definedName name="B2TR_EEComm_671J">#REF!</definedName>
    <definedName name="B2TR_EEComm_671K">#REF!</definedName>
    <definedName name="B2TR_EEComm_671L">#REF!</definedName>
    <definedName name="B2TR_EEComm_671M">#REF!</definedName>
    <definedName name="B2TR_EEComm_671N">#REF!</definedName>
    <definedName name="B2TR_EEComm_671O">#REF!</definedName>
    <definedName name="B2TR_EEComm_671P">#REF!</definedName>
    <definedName name="B2TR_EEComm_671Q">#REF!</definedName>
    <definedName name="B2TR_EEComm_671R">#REF!</definedName>
    <definedName name="B2TR_EEComm_671S">#REF!</definedName>
    <definedName name="B2TR_EEComm_671T">#REF!</definedName>
    <definedName name="B2TR_EEComm_671W">#REF!</definedName>
    <definedName name="B2TR_EEComm_671Z">#REF!</definedName>
    <definedName name="B2TR_EEComm_672G">#REF!</definedName>
    <definedName name="B2TR_EEComm_672H">#REF!</definedName>
    <definedName name="B2TR_EEComm_672I">#REF!</definedName>
    <definedName name="B2TR_EEComm_672M">#REF!</definedName>
    <definedName name="B2TR_EEComm_672N">#REF!</definedName>
    <definedName name="B2TR_EEComm_672O">#REF!</definedName>
    <definedName name="B2TR_EEComm_672P">#REF!</definedName>
    <definedName name="B2TR_EEComm_672R">#REF!</definedName>
    <definedName name="B2TR_EEComm_672S">#REF!</definedName>
    <definedName name="B2TR_EEComm_672T">#REF!</definedName>
    <definedName name="B2TR_EEComm_673C">#REF!</definedName>
    <definedName name="B2TR_EEComm_673E">#REF!</definedName>
    <definedName name="B2TR_EEComm_673F">#REF!</definedName>
    <definedName name="B2TR_EEComm_673G">#REF!</definedName>
    <definedName name="B2TR_EEComm_673H">#REF!</definedName>
    <definedName name="B2TR_EEComm_673I">#REF!</definedName>
    <definedName name="B2TR_EEComm_673J">#REF!</definedName>
    <definedName name="B2TR_EEComm_673K">#REF!</definedName>
    <definedName name="B2TR_EEComm_673M">#REF!</definedName>
    <definedName name="B2TR_EEComm_673N">#REF!</definedName>
    <definedName name="B2TR_EEComm_673O">#REF!</definedName>
    <definedName name="B2TR_EEComm_673R">#REF!</definedName>
    <definedName name="B2TR_EEComm_673S">#REF!</definedName>
    <definedName name="B2TR_EEComm_673U">#REF!</definedName>
    <definedName name="B2TR_EEComm_673V">#REF!</definedName>
    <definedName name="B2TR_EEComm_673W">#REF!</definedName>
    <definedName name="B2TR_EEComm_673X">#REF!</definedName>
    <definedName name="B2TR_EEComm_673Y">#REF!</definedName>
    <definedName name="B2TR_EEComm_673Z">#REF!</definedName>
    <definedName name="B2TR_EEComm_674A">#REF!</definedName>
    <definedName name="B2TR_EEComm_674B">#REF!</definedName>
    <definedName name="B2TR_EEComm_674C">#REF!</definedName>
    <definedName name="B2TR_EEComm_674D">#REF!</definedName>
    <definedName name="B2TR_EEComm_674E">#REF!</definedName>
    <definedName name="B2TR_EEComm_674F">#REF!</definedName>
    <definedName name="B2TR_EEComm_674G">#REF!</definedName>
    <definedName name="B2TR_EEComm_674I">#REF!</definedName>
    <definedName name="B2TR_EEComm_674J">#REF!</definedName>
    <definedName name="B2TR_EEComm_674M">#REF!</definedName>
    <definedName name="B2TR_EEComm_674P">#REF!</definedName>
    <definedName name="B2TR_EEComm_674Q">#REF!</definedName>
    <definedName name="B2TR_EEComm_674R">#REF!</definedName>
    <definedName name="B2TR_EEComm_674S">#REF!</definedName>
    <definedName name="B2TR_EEComm_674V">#REF!</definedName>
    <definedName name="B2TR_EEComm_674W">#REF!</definedName>
    <definedName name="B2TR_EEComm_675A">#REF!</definedName>
    <definedName name="B2TR_EEComm_675C">#REF!</definedName>
    <definedName name="B2TR_EEComm_675E">#REF!</definedName>
    <definedName name="B2TR_EEComm_675F">#REF!</definedName>
    <definedName name="B2TR_EEComm_675G">#REF!</definedName>
    <definedName name="B2TR_EEComm_675H">#REF!</definedName>
    <definedName name="B2TR_EEComm_675I">#REF!</definedName>
    <definedName name="B2TR_EEComm_675J">#REF!</definedName>
    <definedName name="B2TR_EEComm_675K">#REF!</definedName>
    <definedName name="B2TR_EEComm_675L">#REF!</definedName>
    <definedName name="B2TR_EEComm_675M">#REF!</definedName>
    <definedName name="B2TR_EEComm_675N">#REF!</definedName>
    <definedName name="B2TR_EEComm_675O">#REF!</definedName>
    <definedName name="B2TR_EEComm_675P">#REF!</definedName>
    <definedName name="B2TR_EEComm_675Q">#REF!</definedName>
    <definedName name="B2TR_EEComm_675R">#REF!</definedName>
    <definedName name="B2TR_EEComm_675S">#REF!</definedName>
    <definedName name="B2TR_EEComm_675T">#REF!</definedName>
    <definedName name="B2TR_EEComm_675U">#REF!</definedName>
    <definedName name="B2TR_EEComm_675V">#REF!</definedName>
    <definedName name="B2TR_EEComm_675W">#REF!</definedName>
    <definedName name="B2TR_EEComm_675X">#REF!</definedName>
    <definedName name="B2TR_EEComm_675Y">#REF!</definedName>
    <definedName name="B2TR_EEComm_675Z">#REF!</definedName>
    <definedName name="B2TR_EEComm_676A">#REF!</definedName>
    <definedName name="B2TR_EEComm_676B">#REF!</definedName>
    <definedName name="B2TR_EEComm_676C">#REF!</definedName>
    <definedName name="B2TR_EEComm_676D">#REF!</definedName>
    <definedName name="B2TR_EEComm_676E">#REF!</definedName>
    <definedName name="B2TR_EEComm_676F">#REF!</definedName>
    <definedName name="B2TR_EEComm_676G">#REF!</definedName>
    <definedName name="B2TR_EEComm_676J">#REF!</definedName>
    <definedName name="B2TR_EEComm_690C">#REF!</definedName>
    <definedName name="B2TR_EEComm_690D">#REF!</definedName>
    <definedName name="B2TR_EEComm_690E">#REF!</definedName>
    <definedName name="B2TR_EEComm_690F">#REF!</definedName>
    <definedName name="B2TR_EEComm_690G">#REF!</definedName>
    <definedName name="B2TR_EEComm_690I">#REF!</definedName>
    <definedName name="B2TR_EEComm_690J">#REF!</definedName>
    <definedName name="B2TR_EEComm_690K">#REF!</definedName>
    <definedName name="B2TR_EEComm_690L">#REF!</definedName>
    <definedName name="B2TR_EEComm_700B">#REF!</definedName>
    <definedName name="B2TR_EEComm_701A">#REF!</definedName>
    <definedName name="B2TR_EEComm_702A">#REF!</definedName>
    <definedName name="B2TR_EEComm_710H">#REF!</definedName>
    <definedName name="B2TR_EEComm_710Q">#REF!</definedName>
    <definedName name="B2TR_EEComm_710Y">#REF!</definedName>
    <definedName name="B2TR_EEComm_711N">#REF!</definedName>
    <definedName name="B2TR_EEComm_711O">#REF!</definedName>
    <definedName name="B2TR_EEComm_711P">#REF!</definedName>
    <definedName name="B2TR_EEComm_712K">#REF!</definedName>
    <definedName name="B2TR_EEComm_712L">#REF!</definedName>
    <definedName name="B2TR_EEComm_712M">#REF!</definedName>
    <definedName name="B2TR_EEComm_712N">#REF!</definedName>
    <definedName name="B2TR_EEComm_811B">#REF!</definedName>
    <definedName name="B2TR_EEComm_811C">#REF!</definedName>
    <definedName name="B2TR_EEComm_813B">#REF!</definedName>
    <definedName name="B2TR_EEComm_813C">#REF!</definedName>
    <definedName name="B2TR_EEComm_841A">#REF!</definedName>
    <definedName name="B2TR_EEComm_841B">#REF!</definedName>
    <definedName name="B2TR_EEComm_841C">#REF!</definedName>
    <definedName name="B2TR_EEComm_842A">#REF!</definedName>
    <definedName name="B2TR_EEComm_842B">#REF!</definedName>
    <definedName name="B2TR_EEComm_842C">#REF!</definedName>
    <definedName name="B2TR_EEComm_843A">#REF!</definedName>
    <definedName name="B2TR_EEComm_844A">#REF!</definedName>
    <definedName name="B2TR_EEComm_845K">#REF!</definedName>
    <definedName name="B2TR_EEComm_846D">#REF!</definedName>
    <definedName name="B2TR_EEComm_846E">#REF!</definedName>
    <definedName name="B2TR_EEComm_846F">#REF!</definedName>
    <definedName name="B2TR_EEComm_846G">#REF!</definedName>
    <definedName name="B2TR_EEComm_846H">#REF!</definedName>
    <definedName name="B2TR_EEComm_846I">#REF!</definedName>
    <definedName name="B2TR_EEComm_850A">#REF!</definedName>
    <definedName name="B2TR_EEComm_850C">#REF!</definedName>
    <definedName name="B2TR_EEComm_900A">#REF!</definedName>
    <definedName name="B2TR_EEComm_900F">#REF!</definedName>
    <definedName name="B2TR_EEComm_900H">#REF!</definedName>
    <definedName name="B2TR_EEComm_900I">#REF!</definedName>
    <definedName name="B2TR_EEComm_900L">#REF!</definedName>
    <definedName name="B2TR_EEComm_905A">#REF!</definedName>
    <definedName name="B2TR_EEComm_905B">#REF!</definedName>
    <definedName name="B2TR_EEComm_905C">#REF!</definedName>
    <definedName name="B2TR_EEComm_905U">#REF!</definedName>
    <definedName name="B2TR_EEComm_906A">#REF!</definedName>
    <definedName name="B2TR_EEComm_906D">#REF!</definedName>
    <definedName name="B2TR_EEComm_906F">#REF!</definedName>
    <definedName name="B2TR_EEComm_906I">#REF!</definedName>
    <definedName name="B2TR_EEComm_906J">#REF!</definedName>
    <definedName name="B2TR_EEComm_906K">#REF!</definedName>
    <definedName name="B2TR_EEComm_906P">#REF!</definedName>
    <definedName name="B2TR_EEComm_906Z">#REF!</definedName>
    <definedName name="B2TR_EEComm_908A">#REF!</definedName>
    <definedName name="B2TR_EEComm_908B">#REF!</definedName>
    <definedName name="B2TR_EEComm_910B">#REF!</definedName>
    <definedName name="B2TR_EEComm_910C">#REF!</definedName>
    <definedName name="B2TR_EEComm_910D">#REF!</definedName>
    <definedName name="B2TR_EEComm_910E">#REF!</definedName>
    <definedName name="B2TR_EEComm_910K">#REF!</definedName>
    <definedName name="B2TR_EEComm_910M">#REF!</definedName>
    <definedName name="B2TR_EEComm_910N">#REF!</definedName>
    <definedName name="B2TR_EEComm_910O">#REF!</definedName>
    <definedName name="B2TR_EEComm_910Q">#REF!</definedName>
    <definedName name="B2TR_EEComm_910S">#REF!</definedName>
    <definedName name="B2TR_EEComm_910U">#REF!</definedName>
    <definedName name="B2TR_EEComm_910X">#REF!</definedName>
    <definedName name="B2TR_EEComm_911I">#REF!</definedName>
    <definedName name="B2TR_EEComm_911J">#REF!</definedName>
    <definedName name="B2TR_EEComm_911K">#REF!</definedName>
    <definedName name="B2TR_EEComm_911L">#REF!</definedName>
    <definedName name="B2TR_EEComm_911M">#REF!</definedName>
    <definedName name="B2TR_EEComm_911Q">#REF!</definedName>
    <definedName name="B2TR_EEComm_911QA">#REF!</definedName>
    <definedName name="B2TR_EEComm_911QB">#REF!</definedName>
    <definedName name="B2TR_EEComm_911S">#REF!</definedName>
    <definedName name="B2TR_EEComm_911V">#REF!</definedName>
    <definedName name="B2TR_EEComm_911W">#REF!</definedName>
    <definedName name="B2TR_EEComm_911Z">#REF!</definedName>
    <definedName name="B2TR_EEComm_912K">#REF!</definedName>
    <definedName name="B2TR_EEComm_913A">#REF!</definedName>
    <definedName name="B2TR_EEComm_913D">#REF!</definedName>
    <definedName name="B2TR_EEComm_913M">#REF!</definedName>
    <definedName name="B2TR_EEComm_914A">#REF!</definedName>
    <definedName name="B2TR_EEComm_914B">#REF!</definedName>
    <definedName name="B2TR_EEComm_914E">#REF!</definedName>
    <definedName name="B2TR_EEComm_914F">#REF!</definedName>
    <definedName name="B2TR_EEComm_914K">#REF!</definedName>
    <definedName name="B2TR_EEComm_914MDSIT">#REF!</definedName>
    <definedName name="B2TR_EEComm_920E">#REF!</definedName>
    <definedName name="B2TR_EEComm_921A">#REF!</definedName>
    <definedName name="B2TR_EEComm_921G">#REF!</definedName>
    <definedName name="B2TR_EEComm_930A">#REF!</definedName>
    <definedName name="B2TR_EEComm_930E">#REF!</definedName>
    <definedName name="B2TR_EEComm_930J">#REF!</definedName>
    <definedName name="B2TR_EEComm_930K">#REF!</definedName>
    <definedName name="B2TR_EEComm_940A">#REF!</definedName>
    <definedName name="B2TR_EEComm_940N">#REF!</definedName>
    <definedName name="B2TR_EEComm_940S">#REF!</definedName>
    <definedName name="B2TR_EEComm_940X">#REF!</definedName>
    <definedName name="B2TR_EEComm_960A">#REF!</definedName>
    <definedName name="B2TR_EEComm_980A">#REF!</definedName>
    <definedName name="B2TR_EEComm_980B">#REF!</definedName>
    <definedName name="B2TR_EEComm_980E">#REF!</definedName>
    <definedName name="B2TR_EEComm_980G">#REF!</definedName>
    <definedName name="B2TR_EEComm_980J">#REF!</definedName>
    <definedName name="B2TR_EEComm_980L">#REF!</definedName>
    <definedName name="B2TR_EEComm_985B">#REF!</definedName>
    <definedName name="B2TR_EEComm_990B">#REF!</definedName>
    <definedName name="B2TR_EEComm_995A">#REF!</definedName>
    <definedName name="B2TR_EEComm_999QFIN48">#REF!</definedName>
    <definedName name="B2TR_EEComm_INT1">#REF!</definedName>
    <definedName name="B2TR_EEComm_M31">#REF!</definedName>
    <definedName name="B2TR_EEComm_M32">#REF!</definedName>
    <definedName name="B2TR_EEComm_M33">#REF!</definedName>
    <definedName name="B2TR_EEComm_NIT">#REF!</definedName>
    <definedName name="B2TR_Prov_0001">#REF!</definedName>
    <definedName name="B2TR_Prov_0002">#REF!</definedName>
    <definedName name="B2TR_Prov_0003">#REF!</definedName>
    <definedName name="B2TR_Prov_014A">#REF!</definedName>
    <definedName name="B2TR_Prov_014ADSIT">#REF!</definedName>
    <definedName name="B2TR_Prov_014C">#REF!</definedName>
    <definedName name="B2TR_Prov_014CDSIT">#REF!</definedName>
    <definedName name="B2TR_Prov_014VDSIT">#REF!</definedName>
    <definedName name="B2TR_Prov_014WDSIT">#REF!</definedName>
    <definedName name="B2TR_Prov_210A">#REF!</definedName>
    <definedName name="B2TR_Prov_210B">#REF!</definedName>
    <definedName name="B2TR_Prov_210E">#REF!</definedName>
    <definedName name="B2TR_Prov_211A">#REF!</definedName>
    <definedName name="B2TR_Prov_220A">#REF!</definedName>
    <definedName name="B2TR_Prov_220E">#REF!</definedName>
    <definedName name="B2TR_Prov_230A">#REF!</definedName>
    <definedName name="B2TR_Prov_230B">#REF!</definedName>
    <definedName name="B2TR_Prov_230G">#REF!</definedName>
    <definedName name="B2TR_Prov_230I">#REF!</definedName>
    <definedName name="B2TR_Prov_230J">#REF!</definedName>
    <definedName name="B2TR_Prov_230K">#REF!</definedName>
    <definedName name="B2TR_Prov_230X">#REF!</definedName>
    <definedName name="B2TR_Prov_232A">#REF!</definedName>
    <definedName name="B2TR_Prov_232C">#REF!</definedName>
    <definedName name="B2TR_Prov_232K">#REF!</definedName>
    <definedName name="B2TR_Prov_232M">#REF!</definedName>
    <definedName name="B2TR_Prov_234F">#REF!</definedName>
    <definedName name="B2TR_Prov_234Q">#REF!</definedName>
    <definedName name="B2TR_Prov_280A">#REF!</definedName>
    <definedName name="B2TR_Prov_280D">#REF!</definedName>
    <definedName name="B2TR_Prov_280E">#REF!</definedName>
    <definedName name="B2TR_Prov_280F">#REF!</definedName>
    <definedName name="B2TR_Prov_280H">#REF!</definedName>
    <definedName name="B2TR_Prov_280J">#REF!</definedName>
    <definedName name="B2TR_Prov_280Y">#REF!</definedName>
    <definedName name="B2TR_Prov_282A">#REF!</definedName>
    <definedName name="B2TR_Prov_282B">#REF!</definedName>
    <definedName name="B2TR_Prov_295A">#REF!</definedName>
    <definedName name="B2TR_Prov_295D">#REF!</definedName>
    <definedName name="B2TR_Prov_310A">#REF!</definedName>
    <definedName name="B2TR_Prov_310D">#REF!</definedName>
    <definedName name="B2TR_Prov_310E">#REF!</definedName>
    <definedName name="B2TR_Prov_320A">#REF!</definedName>
    <definedName name="B2TR_Prov_320D">#REF!</definedName>
    <definedName name="B2TR_Prov_320I">#REF!</definedName>
    <definedName name="B2TR_Prov_320L">#REF!</definedName>
    <definedName name="B2TR_Prov_320S">#REF!</definedName>
    <definedName name="B2TR_Prov_320U">#REF!</definedName>
    <definedName name="B2TR_Prov_330D">#REF!</definedName>
    <definedName name="B2TR_Prov_345A">#REF!</definedName>
    <definedName name="B2TR_Prov_345B">#REF!</definedName>
    <definedName name="B2TR_Prov_350A">#REF!</definedName>
    <definedName name="B2TR_Prov_360A">#REF!</definedName>
    <definedName name="B2TR_Prov_380F">#REF!</definedName>
    <definedName name="B2TR_Prov_380J">#REF!</definedName>
    <definedName name="B2TR_Prov_390A">#REF!</definedName>
    <definedName name="B2TR_Prov_390C">#REF!</definedName>
    <definedName name="B2TR_Prov_390D">#REF!</definedName>
    <definedName name="B2TR_Prov_390E">#REF!</definedName>
    <definedName name="B2TR_Prov_390F">#REF!</definedName>
    <definedName name="B2TR_Prov_410A">#REF!</definedName>
    <definedName name="B2TR_Prov_430I">#REF!</definedName>
    <definedName name="B2TR_Prov_430J">#REF!</definedName>
    <definedName name="B2TR_Prov_432A">#REF!</definedName>
    <definedName name="B2TR_Prov_432C">#REF!</definedName>
    <definedName name="B2TR_Prov_432D">#REF!</definedName>
    <definedName name="B2TR_Prov_432G">#REF!</definedName>
    <definedName name="B2TR_Prov_432I">#REF!</definedName>
    <definedName name="B2TR_Prov_432M">#REF!</definedName>
    <definedName name="B2TR_Prov_433A">#REF!</definedName>
    <definedName name="B2TR_Prov_433C">#REF!</definedName>
    <definedName name="B2TR_Prov_433D">#REF!</definedName>
    <definedName name="B2TR_Prov_433F">#REF!</definedName>
    <definedName name="B2TR_Prov_460A">#REF!</definedName>
    <definedName name="B2TR_Prov_510B">#REF!</definedName>
    <definedName name="B2TR_Prov_510H">#REF!</definedName>
    <definedName name="B2TR_Prov_510I">#REF!</definedName>
    <definedName name="B2TR_Prov_510M">#REF!</definedName>
    <definedName name="B2TR_Prov_520A">#REF!</definedName>
    <definedName name="B2TR_Prov_520X">#REF!</definedName>
    <definedName name="B2TR_Prov_520Y">#REF!</definedName>
    <definedName name="B2TR_Prov_531A">#REF!</definedName>
    <definedName name="B2TR_Prov_531B">#REF!</definedName>
    <definedName name="B2TR_Prov_531H">#REF!</definedName>
    <definedName name="B2TR_Prov_532A">#REF!</definedName>
    <definedName name="B2TR_Prov_532C">#REF!</definedName>
    <definedName name="B2TR_Prov_532D">#REF!</definedName>
    <definedName name="B2TR_Prov_532E">#REF!</definedName>
    <definedName name="B2TR_Prov_532F">#REF!</definedName>
    <definedName name="B2TR_Prov_532G">#REF!</definedName>
    <definedName name="B2TR_Prov_532H">#REF!</definedName>
    <definedName name="B2TR_Prov_533A">#REF!</definedName>
    <definedName name="B2TR_Prov_533D">#REF!</definedName>
    <definedName name="B2TR_Prov_533E">#REF!</definedName>
    <definedName name="B2TR_Prov_533J">#REF!</definedName>
    <definedName name="B2TR_Prov_534A">#REF!</definedName>
    <definedName name="B2TR_Prov_560D">#REF!</definedName>
    <definedName name="B2TR_Prov_560J">#REF!</definedName>
    <definedName name="B2TR_Prov_561A">#REF!</definedName>
    <definedName name="B2TR_Prov_561D">#REF!</definedName>
    <definedName name="B2TR_Prov_561I">#REF!</definedName>
    <definedName name="B2TR_Prov_561J">#REF!</definedName>
    <definedName name="B2TR_Prov_562B">#REF!</definedName>
    <definedName name="B2TR_Prov_562H">#REF!</definedName>
    <definedName name="B2TR_Prov_575E">#REF!</definedName>
    <definedName name="B2TR_Prov_575G">#REF!</definedName>
    <definedName name="B2TR_Prov_576e">#REF!</definedName>
    <definedName name="B2TR_Prov_576F">#REF!</definedName>
    <definedName name="B2TR_Prov_601E">#REF!</definedName>
    <definedName name="B2TR_Prov_601G">#REF!</definedName>
    <definedName name="B2TR_Prov_601T">#REF!</definedName>
    <definedName name="B2TR_Prov_602A">#REF!</definedName>
    <definedName name="B2TR_Prov_603A">#REF!</definedName>
    <definedName name="B2TR_Prov_603G">#REF!</definedName>
    <definedName name="B2TR_Prov_605B">#REF!</definedName>
    <definedName name="B2TR_Prov_605C">#REF!</definedName>
    <definedName name="B2TR_Prov_605E">#REF!</definedName>
    <definedName name="B2TR_Prov_605F">#REF!</definedName>
    <definedName name="B2TR_Prov_605I">#REF!</definedName>
    <definedName name="B2TR_Prov_605K">#REF!</definedName>
    <definedName name="B2TR_Prov_605O">#REF!</definedName>
    <definedName name="B2TR_Prov_605P">#REF!</definedName>
    <definedName name="B2TR_Prov_605T">#REF!</definedName>
    <definedName name="B2TR_Prov_605V">#REF!</definedName>
    <definedName name="B2TR_Prov_605W">#REF!</definedName>
    <definedName name="B2TR_Prov_609E">#REF!</definedName>
    <definedName name="B2TR_Prov_610A">#REF!</definedName>
    <definedName name="B2TR_Prov_610U">#REF!</definedName>
    <definedName name="B2TR_Prov_610V">#REF!</definedName>
    <definedName name="B2TR_Prov_611E">#REF!</definedName>
    <definedName name="B2TR_Prov_611G">#REF!</definedName>
    <definedName name="B2TR_Prov_611M">#REF!</definedName>
    <definedName name="B2TR_Prov_611S">#REF!</definedName>
    <definedName name="B2TR_Prov_611U">#REF!</definedName>
    <definedName name="B2TR_Prov_611Y">#REF!</definedName>
    <definedName name="B2TR_Prov_612H">#REF!</definedName>
    <definedName name="B2TR_Prov_612Y">#REF!</definedName>
    <definedName name="B2TR_Prov_613B">#REF!</definedName>
    <definedName name="B2TR_Prov_613C">#REF!</definedName>
    <definedName name="B2TR_Prov_613E">#REF!</definedName>
    <definedName name="B2TR_Prov_613F">#REF!</definedName>
    <definedName name="B2TR_Prov_613I">#REF!</definedName>
    <definedName name="B2TR_Prov_613K">#REF!</definedName>
    <definedName name="B2TR_Prov_613L">#REF!</definedName>
    <definedName name="B2TR_Prov_613N">#REF!</definedName>
    <definedName name="B2TR_Prov_613O">#REF!</definedName>
    <definedName name="B2TR_Prov_613R">#REF!</definedName>
    <definedName name="B2TR_Prov_613S">#REF!</definedName>
    <definedName name="B2TR_Prov_613U">#REF!</definedName>
    <definedName name="B2TR_Prov_613Y">#REF!</definedName>
    <definedName name="B2TR_Prov_614I">#REF!</definedName>
    <definedName name="B2TR_Prov_614W">#REF!</definedName>
    <definedName name="B2TR_Prov_614Y">#REF!</definedName>
    <definedName name="B2TR_Prov_614Z">#REF!</definedName>
    <definedName name="B2TR_Prov_615B">#REF!</definedName>
    <definedName name="B2TR_Prov_615C">#REF!</definedName>
    <definedName name="B2TR_Prov_615Q">#REF!</definedName>
    <definedName name="B2TR_Prov_615R">#REF!</definedName>
    <definedName name="B2TR_Prov_615T">#REF!</definedName>
    <definedName name="B2TR_Prov_615Z">#REF!</definedName>
    <definedName name="B2TR_Prov_616A">#REF!</definedName>
    <definedName name="B2TR_Prov_620A">#REF!</definedName>
    <definedName name="B2TR_Prov_620C">#REF!</definedName>
    <definedName name="B2TR_Prov_625A">#REF!</definedName>
    <definedName name="B2TR_Prov_625B">#REF!</definedName>
    <definedName name="B2TR_Prov_629X">#REF!</definedName>
    <definedName name="B2TR_Prov_630A">#REF!</definedName>
    <definedName name="B2TR_Prov_630E">#REF!</definedName>
    <definedName name="B2TR_Prov_630F">#REF!</definedName>
    <definedName name="B2TR_Prov_630G">#REF!</definedName>
    <definedName name="B2TR_Prov_630J">#REF!</definedName>
    <definedName name="B2TR_Prov_630M">#REF!</definedName>
    <definedName name="B2TR_Prov_630T">#REF!</definedName>
    <definedName name="B2TR_Prov_630X">#REF!</definedName>
    <definedName name="B2TR_Prov_630Y">#REF!</definedName>
    <definedName name="B2TR_Prov_631C">#REF!</definedName>
    <definedName name="B2TR_Prov_631D">#REF!</definedName>
    <definedName name="B2TR_Prov_631E">#REF!</definedName>
    <definedName name="B2TR_Prov_631F">#REF!</definedName>
    <definedName name="B2TR_Prov_631G">#REF!</definedName>
    <definedName name="B2TR_Prov_631H">#REF!</definedName>
    <definedName name="B2TR_Prov_631I">#REF!</definedName>
    <definedName name="B2TR_Prov_631J">#REF!</definedName>
    <definedName name="B2TR_Prov_631S">#REF!</definedName>
    <definedName name="B2TR_Prov_631U">#REF!</definedName>
    <definedName name="B2TR_Prov_632G">#REF!</definedName>
    <definedName name="B2TR_Prov_632O">#REF!</definedName>
    <definedName name="B2TR_Prov_632P">#REF!</definedName>
    <definedName name="B2TR_Prov_632U">#REF!</definedName>
    <definedName name="B2TR_Prov_632Y">#REF!</definedName>
    <definedName name="B2TR_Prov_633A">#REF!</definedName>
    <definedName name="B2TR_Prov_635C">#REF!</definedName>
    <definedName name="B2TR_Prov_638A">#REF!</definedName>
    <definedName name="B2TR_Prov_638C">#REF!</definedName>
    <definedName name="B2TR_Prov_641I">#REF!</definedName>
    <definedName name="B2TR_Prov_641X">#REF!</definedName>
    <definedName name="B2TR_Prov_641Y">#REF!</definedName>
    <definedName name="B2TR_Prov_642B">#REF!</definedName>
    <definedName name="B2TR_Prov_642C">#REF!</definedName>
    <definedName name="B2TR_Prov_651C">#REF!</definedName>
    <definedName name="B2TR_Prov_651F">#REF!</definedName>
    <definedName name="B2TR_Prov_651H">#REF!</definedName>
    <definedName name="B2TR_Prov_651I">#REF!</definedName>
    <definedName name="B2TR_Prov_651J">#REF!</definedName>
    <definedName name="B2TR_Prov_651K">#REF!</definedName>
    <definedName name="B2TR_Prov_651M">#REF!</definedName>
    <definedName name="B2TR_Prov_651O">#REF!</definedName>
    <definedName name="B2TR_Prov_651Q">#REF!</definedName>
    <definedName name="B2TR_Prov_651R">#REF!</definedName>
    <definedName name="B2TR_Prov_651S">#REF!</definedName>
    <definedName name="B2TR_Prov_651T">#REF!</definedName>
    <definedName name="B2TR_Prov_651U">#REF!</definedName>
    <definedName name="B2TR_Prov_651W">#REF!</definedName>
    <definedName name="B2TR_Prov_651X">#REF!</definedName>
    <definedName name="B2TR_Prov_651Y">#REF!</definedName>
    <definedName name="B2TR_Prov_651Z">#REF!</definedName>
    <definedName name="B2TR_Prov_652G">#REF!</definedName>
    <definedName name="B2TR_Prov_653A">#REF!</definedName>
    <definedName name="B2TR_Prov_659B">#REF!</definedName>
    <definedName name="B2TR_Prov_660A">#REF!</definedName>
    <definedName name="B2TR_Prov_660F">#REF!</definedName>
    <definedName name="B2TR_Prov_660G">#REF!</definedName>
    <definedName name="B2TR_Prov_660K">#REF!</definedName>
    <definedName name="B2TR_Prov_660O">#REF!</definedName>
    <definedName name="B2TR_Prov_660R">#REF!</definedName>
    <definedName name="B2TR_Prov_660Z">#REF!</definedName>
    <definedName name="B2TR_Prov_661B">#REF!</definedName>
    <definedName name="B2TR_Prov_661R">#REF!</definedName>
    <definedName name="B2TR_Prov_661S">#REF!</definedName>
    <definedName name="B2TR_Prov_661T">#REF!</definedName>
    <definedName name="B2TR_Prov_661U">#REF!</definedName>
    <definedName name="B2TR_Prov_661V">#REF!</definedName>
    <definedName name="B2TR_Prov_661X">#REF!</definedName>
    <definedName name="B2TR_Prov_661Y">#REF!</definedName>
    <definedName name="B2TR_Prov_662A">#REF!</definedName>
    <definedName name="B2TR_Prov_662D">#REF!</definedName>
    <definedName name="B2TR_Prov_663F">#REF!</definedName>
    <definedName name="B2TR_Prov_663G">#REF!</definedName>
    <definedName name="B2TR_Prov_663N">#REF!</definedName>
    <definedName name="B2TR_Prov_663O">#REF!</definedName>
    <definedName name="B2TR_Prov_663T">#REF!</definedName>
    <definedName name="B2TR_Prov_663X">#REF!</definedName>
    <definedName name="B2TR_Prov_664A">#REF!</definedName>
    <definedName name="B2TR_Prov_664B">#REF!</definedName>
    <definedName name="B2TR_Prov_664F">#REF!</definedName>
    <definedName name="B2TR_Prov_664N">#REF!</definedName>
    <definedName name="B2TR_Prov_664P">#REF!</definedName>
    <definedName name="B2TR_Prov_664Q">#REF!</definedName>
    <definedName name="B2TR_Prov_664R">#REF!</definedName>
    <definedName name="B2TR_Prov_664V">#REF!</definedName>
    <definedName name="B2TR_Prov_665D">#REF!</definedName>
    <definedName name="B2TR_Prov_665G">#REF!</definedName>
    <definedName name="B2TR_Prov_665I">#REF!</definedName>
    <definedName name="B2TR_Prov_665J">#REF!</definedName>
    <definedName name="B2TR_Prov_665N">#REF!</definedName>
    <definedName name="B2TR_Prov_665V">#REF!</definedName>
    <definedName name="B2TR_Prov_665X">#REF!</definedName>
    <definedName name="B2TR_Prov_667C">#REF!</definedName>
    <definedName name="B2TR_Prov_667D">#REF!</definedName>
    <definedName name="B2TR_Prov_667E">#REF!</definedName>
    <definedName name="B2TR_Prov_667H">#REF!</definedName>
    <definedName name="B2TR_Prov_667J">#REF!</definedName>
    <definedName name="B2TR_Prov_667K">#REF!</definedName>
    <definedName name="B2TR_Prov_667N">#REF!</definedName>
    <definedName name="B2TR_Prov_667P">#REF!</definedName>
    <definedName name="B2TR_Prov_667R">#REF!</definedName>
    <definedName name="B2TR_Prov_667S">#REF!</definedName>
    <definedName name="B2TR_Prov_667T">#REF!</definedName>
    <definedName name="B2TR_Prov_667U">#REF!</definedName>
    <definedName name="B2TR_Prov_667V">#REF!</definedName>
    <definedName name="B2TR_Prov_667W">#REF!</definedName>
    <definedName name="B2TR_Prov_667Y">#REF!</definedName>
    <definedName name="B2TR_Prov_667Z">#REF!</definedName>
    <definedName name="B2TR_Prov_668B">#REF!</definedName>
    <definedName name="B2TR_Prov_668D">#REF!</definedName>
    <definedName name="B2TR_Prov_668E">#REF!</definedName>
    <definedName name="B2TR_Prov_668F">#REF!</definedName>
    <definedName name="B2TR_Prov_668G">#REF!</definedName>
    <definedName name="B2TR_Prov_668H">#REF!</definedName>
    <definedName name="B2TR_Prov_668I">#REF!</definedName>
    <definedName name="B2TR_Prov_668J">#REF!</definedName>
    <definedName name="B2TR_Prov_668O">#REF!</definedName>
    <definedName name="B2TR_Prov_668P">#REF!</definedName>
    <definedName name="B2TR_Prov_668T">#REF!</definedName>
    <definedName name="B2TR_Prov_668U">#REF!</definedName>
    <definedName name="B2TR_Prov_668V">#REF!</definedName>
    <definedName name="B2TR_Prov_669A">#REF!</definedName>
    <definedName name="B2TR_Prov_669H">#REF!</definedName>
    <definedName name="B2TR_Prov_669I">#REF!</definedName>
    <definedName name="B2TR_Prov_669J">#REF!</definedName>
    <definedName name="B2TR_Prov_669K">#REF!</definedName>
    <definedName name="B2TR_Prov_669O">#REF!</definedName>
    <definedName name="B2TR_Prov_669R">#REF!</definedName>
    <definedName name="B2TR_Prov_669S">#REF!</definedName>
    <definedName name="B2TR_Prov_669T">#REF!</definedName>
    <definedName name="B2TR_Prov_669U">#REF!</definedName>
    <definedName name="B2TR_Prov_669W">#REF!</definedName>
    <definedName name="B2TR_Prov_669X">#REF!</definedName>
    <definedName name="B2TR_Prov_669Y">#REF!</definedName>
    <definedName name="B2TR_Prov_669Z">#REF!</definedName>
    <definedName name="B2TR_Prov_670D">#REF!</definedName>
    <definedName name="B2TR_Prov_670F">#REF!</definedName>
    <definedName name="B2TR_Prov_670H">#REF!</definedName>
    <definedName name="B2TR_Prov_670I">#REF!</definedName>
    <definedName name="B2TR_Prov_670N">#REF!</definedName>
    <definedName name="B2TR_Prov_670O">#REF!</definedName>
    <definedName name="B2TR_Prov_670P">#REF!</definedName>
    <definedName name="B2TR_Prov_670Q">#REF!</definedName>
    <definedName name="B2TR_Prov_670S">#REF!</definedName>
    <definedName name="B2TR_Prov_670W">#REF!</definedName>
    <definedName name="B2TR_Prov_670X">#REF!</definedName>
    <definedName name="B2TR_Prov_670Y">#REF!</definedName>
    <definedName name="B2TR_Prov_670Z">#REF!</definedName>
    <definedName name="B2TR_Prov_671A">#REF!</definedName>
    <definedName name="B2TR_Prov_671B">#REF!</definedName>
    <definedName name="B2TR_Prov_671D">#REF!</definedName>
    <definedName name="B2TR_Prov_671F">#REF!</definedName>
    <definedName name="B2TR_Prov_671G">#REF!</definedName>
    <definedName name="B2TR_Prov_671H">#REF!</definedName>
    <definedName name="B2TR_Prov_671I">#REF!</definedName>
    <definedName name="B2TR_Prov_671J">#REF!</definedName>
    <definedName name="B2TR_Prov_671K">#REF!</definedName>
    <definedName name="B2TR_Prov_671L">#REF!</definedName>
    <definedName name="B2TR_Prov_671M">#REF!</definedName>
    <definedName name="B2TR_Prov_671N">#REF!</definedName>
    <definedName name="B2TR_Prov_671O">#REF!</definedName>
    <definedName name="B2TR_Prov_671P">#REF!</definedName>
    <definedName name="B2TR_Prov_671Q">#REF!</definedName>
    <definedName name="B2TR_Prov_671R">#REF!</definedName>
    <definedName name="B2TR_Prov_671S">#REF!</definedName>
    <definedName name="B2TR_Prov_671T">#REF!</definedName>
    <definedName name="B2TR_Prov_671W">#REF!</definedName>
    <definedName name="B2TR_Prov_671Z">#REF!</definedName>
    <definedName name="B2TR_Prov_672G">#REF!</definedName>
    <definedName name="B2TR_Prov_672H">#REF!</definedName>
    <definedName name="B2TR_Prov_672I">#REF!</definedName>
    <definedName name="B2TR_Prov_672M">#REF!</definedName>
    <definedName name="B2TR_Prov_672N">#REF!</definedName>
    <definedName name="B2TR_Prov_672O">#REF!</definedName>
    <definedName name="B2TR_Prov_672P">#REF!</definedName>
    <definedName name="B2TR_Prov_672R">#REF!</definedName>
    <definedName name="B2TR_Prov_672S">#REF!</definedName>
    <definedName name="B2TR_Prov_672T">#REF!</definedName>
    <definedName name="B2TR_Prov_673C">#REF!</definedName>
    <definedName name="B2TR_Prov_673E">#REF!</definedName>
    <definedName name="B2TR_Prov_673F">#REF!</definedName>
    <definedName name="B2TR_Prov_673G">#REF!</definedName>
    <definedName name="B2TR_Prov_673H">#REF!</definedName>
    <definedName name="B2TR_Prov_673I">#REF!</definedName>
    <definedName name="B2TR_Prov_673J">#REF!</definedName>
    <definedName name="B2TR_Prov_673K">#REF!</definedName>
    <definedName name="B2TR_Prov_673M">#REF!</definedName>
    <definedName name="B2TR_Prov_673N">#REF!</definedName>
    <definedName name="B2TR_Prov_673O">#REF!</definedName>
    <definedName name="B2TR_Prov_673R">#REF!</definedName>
    <definedName name="B2TR_Prov_673S">#REF!</definedName>
    <definedName name="B2TR_Prov_673U">#REF!</definedName>
    <definedName name="B2TR_Prov_673V">#REF!</definedName>
    <definedName name="B2TR_Prov_673W">#REF!</definedName>
    <definedName name="B2TR_Prov_673X">#REF!</definedName>
    <definedName name="B2TR_Prov_673Y">#REF!</definedName>
    <definedName name="B2TR_Prov_673Z">#REF!</definedName>
    <definedName name="B2TR_Prov_674A">#REF!</definedName>
    <definedName name="B2TR_Prov_674B">#REF!</definedName>
    <definedName name="B2TR_Prov_674C">#REF!</definedName>
    <definedName name="B2TR_Prov_674D">#REF!</definedName>
    <definedName name="B2TR_Prov_674E">#REF!</definedName>
    <definedName name="B2TR_Prov_674F">#REF!</definedName>
    <definedName name="B2TR_Prov_674G">#REF!</definedName>
    <definedName name="B2TR_Prov_674I">#REF!</definedName>
    <definedName name="B2TR_Prov_674J">#REF!</definedName>
    <definedName name="B2TR_Prov_674M">#REF!</definedName>
    <definedName name="B2TR_Prov_674P">#REF!</definedName>
    <definedName name="B2TR_Prov_674Q">#REF!</definedName>
    <definedName name="B2TR_Prov_674R">#REF!</definedName>
    <definedName name="B2TR_Prov_674S">#REF!</definedName>
    <definedName name="B2TR_Prov_674V">#REF!</definedName>
    <definedName name="B2TR_Prov_674W">#REF!</definedName>
    <definedName name="B2TR_Prov_675A">#REF!</definedName>
    <definedName name="B2TR_Prov_675C">#REF!</definedName>
    <definedName name="B2TR_Prov_675E">#REF!</definedName>
    <definedName name="B2TR_Prov_675F">#REF!</definedName>
    <definedName name="B2TR_Prov_675G">#REF!</definedName>
    <definedName name="B2TR_Prov_675H">#REF!</definedName>
    <definedName name="B2TR_Prov_675I">#REF!</definedName>
    <definedName name="B2TR_Prov_675J">#REF!</definedName>
    <definedName name="B2TR_Prov_675K">#REF!</definedName>
    <definedName name="B2TR_Prov_675L">#REF!</definedName>
    <definedName name="B2TR_Prov_675M">#REF!</definedName>
    <definedName name="B2TR_Prov_675N">#REF!</definedName>
    <definedName name="B2TR_Prov_675O">#REF!</definedName>
    <definedName name="B2TR_Prov_675P">#REF!</definedName>
    <definedName name="B2TR_Prov_675Q">#REF!</definedName>
    <definedName name="B2TR_Prov_675R">#REF!</definedName>
    <definedName name="B2TR_Prov_675S">#REF!</definedName>
    <definedName name="B2TR_Prov_675T">#REF!</definedName>
    <definedName name="B2TR_Prov_675U">#REF!</definedName>
    <definedName name="B2TR_Prov_675V">#REF!</definedName>
    <definedName name="B2TR_Prov_675W">#REF!</definedName>
    <definedName name="B2TR_Prov_675X">#REF!</definedName>
    <definedName name="B2TR_Prov_675Y">#REF!</definedName>
    <definedName name="B2TR_Prov_675Z">#REF!</definedName>
    <definedName name="B2TR_Prov_676A">#REF!</definedName>
    <definedName name="B2TR_Prov_676B">#REF!</definedName>
    <definedName name="B2TR_Prov_676C">#REF!</definedName>
    <definedName name="B2TR_Prov_676D">#REF!</definedName>
    <definedName name="B2TR_Prov_676E">#REF!</definedName>
    <definedName name="B2TR_Prov_676F">#REF!</definedName>
    <definedName name="B2TR_Prov_676G">#REF!</definedName>
    <definedName name="B2TR_Prov_676J">#REF!</definedName>
    <definedName name="B2TR_Prov_690C">#REF!</definedName>
    <definedName name="B2TR_Prov_690D">#REF!</definedName>
    <definedName name="B2TR_Prov_690E">#REF!</definedName>
    <definedName name="B2TR_Prov_690F">#REF!</definedName>
    <definedName name="B2TR_Prov_690G">#REF!</definedName>
    <definedName name="B2TR_Prov_690I">#REF!</definedName>
    <definedName name="B2TR_Prov_690J">#REF!</definedName>
    <definedName name="B2TR_Prov_690K">#REF!</definedName>
    <definedName name="B2TR_Prov_690L">#REF!</definedName>
    <definedName name="B2TR_Prov_700B">#REF!</definedName>
    <definedName name="B2TR_Prov_701A">#REF!</definedName>
    <definedName name="B2TR_Prov_702A">#REF!</definedName>
    <definedName name="B2TR_Prov_710H">#REF!</definedName>
    <definedName name="B2TR_Prov_710Q">#REF!</definedName>
    <definedName name="B2TR_Prov_710Y">#REF!</definedName>
    <definedName name="B2TR_Prov_711N">#REF!</definedName>
    <definedName name="B2TR_Prov_711O">#REF!</definedName>
    <definedName name="B2TR_Prov_711P">#REF!</definedName>
    <definedName name="B2TR_Prov_712K">#REF!</definedName>
    <definedName name="B2TR_Prov_712L">#REF!</definedName>
    <definedName name="B2TR_Prov_712M">#REF!</definedName>
    <definedName name="B2TR_Prov_712N">#REF!</definedName>
    <definedName name="B2TR_Prov_811B">#REF!</definedName>
    <definedName name="B2TR_Prov_811C">#REF!</definedName>
    <definedName name="B2TR_Prov_813B">#REF!</definedName>
    <definedName name="B2TR_Prov_813C">#REF!</definedName>
    <definedName name="B2TR_Prov_841A">#REF!</definedName>
    <definedName name="B2TR_Prov_841B">#REF!</definedName>
    <definedName name="B2TR_Prov_841C">#REF!</definedName>
    <definedName name="B2TR_Prov_842A">#REF!</definedName>
    <definedName name="B2TR_Prov_842B">#REF!</definedName>
    <definedName name="B2TR_Prov_842C">#REF!</definedName>
    <definedName name="B2TR_Prov_843A">#REF!</definedName>
    <definedName name="B2TR_Prov_844A">#REF!</definedName>
    <definedName name="B2TR_Prov_845K">#REF!</definedName>
    <definedName name="B2TR_Prov_846D">#REF!</definedName>
    <definedName name="B2TR_Prov_846E">#REF!</definedName>
    <definedName name="B2TR_Prov_846F">#REF!</definedName>
    <definedName name="B2TR_Prov_846G">#REF!</definedName>
    <definedName name="B2TR_Prov_846H">#REF!</definedName>
    <definedName name="B2TR_Prov_846I">#REF!</definedName>
    <definedName name="B2TR_Prov_850A">#REF!</definedName>
    <definedName name="B2TR_Prov_850C">#REF!</definedName>
    <definedName name="B2TR_Prov_900A">#REF!</definedName>
    <definedName name="B2TR_Prov_900F">#REF!</definedName>
    <definedName name="B2TR_Prov_900H">#REF!</definedName>
    <definedName name="B2TR_Prov_900I">#REF!</definedName>
    <definedName name="B2TR_Prov_900L">#REF!</definedName>
    <definedName name="B2TR_Prov_905A">#REF!</definedName>
    <definedName name="B2TR_Prov_905B">#REF!</definedName>
    <definedName name="B2TR_Prov_905C">#REF!</definedName>
    <definedName name="B2TR_Prov_905U">#REF!</definedName>
    <definedName name="B2TR_Prov_906A">#REF!</definedName>
    <definedName name="B2TR_Prov_906D">#REF!</definedName>
    <definedName name="B2TR_Prov_906F">#REF!</definedName>
    <definedName name="B2TR_Prov_906I">#REF!</definedName>
    <definedName name="B2TR_Prov_906J">#REF!</definedName>
    <definedName name="B2TR_Prov_906K">#REF!</definedName>
    <definedName name="B2TR_Prov_906P">#REF!</definedName>
    <definedName name="B2TR_Prov_906Z">#REF!</definedName>
    <definedName name="B2TR_Prov_908A">#REF!</definedName>
    <definedName name="B2TR_Prov_908B">#REF!</definedName>
    <definedName name="B2TR_Prov_910B">#REF!</definedName>
    <definedName name="B2TR_Prov_910C">#REF!</definedName>
    <definedName name="B2TR_Prov_910D">#REF!</definedName>
    <definedName name="B2TR_Prov_910E">#REF!</definedName>
    <definedName name="B2TR_Prov_910K">#REF!</definedName>
    <definedName name="B2TR_Prov_910M">#REF!</definedName>
    <definedName name="B2TR_Prov_910N">#REF!</definedName>
    <definedName name="B2TR_Prov_910O">#REF!</definedName>
    <definedName name="B2TR_Prov_910Q">#REF!</definedName>
    <definedName name="B2TR_Prov_910S">#REF!</definedName>
    <definedName name="B2TR_Prov_910U">#REF!</definedName>
    <definedName name="B2TR_Prov_910X">#REF!</definedName>
    <definedName name="B2TR_Prov_911I">#REF!</definedName>
    <definedName name="B2TR_Prov_911J">#REF!</definedName>
    <definedName name="B2TR_Prov_911K">#REF!</definedName>
    <definedName name="B2TR_Prov_911L">#REF!</definedName>
    <definedName name="B2TR_Prov_911M">#REF!</definedName>
    <definedName name="B2TR_Prov_911Q">#REF!</definedName>
    <definedName name="B2TR_Prov_911QA">#REF!</definedName>
    <definedName name="B2TR_Prov_911QB">#REF!</definedName>
    <definedName name="B2TR_Prov_911S">#REF!</definedName>
    <definedName name="B2TR_Prov_911V">#REF!</definedName>
    <definedName name="B2TR_Prov_911W">#REF!</definedName>
    <definedName name="B2TR_Prov_911Z">#REF!</definedName>
    <definedName name="B2TR_Prov_912K">#REF!</definedName>
    <definedName name="B2TR_Prov_913A">#REF!</definedName>
    <definedName name="B2TR_Prov_913D">#REF!</definedName>
    <definedName name="B2TR_Prov_913M">#REF!</definedName>
    <definedName name="B2TR_Prov_914A">#REF!</definedName>
    <definedName name="B2TR_Prov_914B">#REF!</definedName>
    <definedName name="B2TR_Prov_914E">#REF!</definedName>
    <definedName name="B2TR_Prov_914F">#REF!</definedName>
    <definedName name="B2TR_Prov_914K">#REF!</definedName>
    <definedName name="B2TR_Prov_914MDSIT">#REF!</definedName>
    <definedName name="B2TR_Prov_920E">#REF!</definedName>
    <definedName name="B2TR_Prov_921A">#REF!</definedName>
    <definedName name="B2TR_Prov_921G">#REF!</definedName>
    <definedName name="B2TR_Prov_930A">#REF!</definedName>
    <definedName name="B2TR_Prov_930E">#REF!</definedName>
    <definedName name="B2TR_Prov_930J">#REF!</definedName>
    <definedName name="B2TR_Prov_930K">#REF!</definedName>
    <definedName name="B2TR_Prov_940A">#REF!</definedName>
    <definedName name="B2TR_Prov_940N">#REF!</definedName>
    <definedName name="B2TR_Prov_940S">#REF!</definedName>
    <definedName name="B2TR_Prov_940X">#REF!</definedName>
    <definedName name="B2TR_Prov_960A">#REF!</definedName>
    <definedName name="B2TR_Prov_980A">#REF!</definedName>
    <definedName name="B2TR_Prov_980B">#REF!</definedName>
    <definedName name="B2TR_Prov_980E">#REF!</definedName>
    <definedName name="B2TR_Prov_980G">#REF!</definedName>
    <definedName name="B2TR_Prov_980J">#REF!</definedName>
    <definedName name="B2TR_Prov_980L">#REF!</definedName>
    <definedName name="B2TR_Prov_985B">#REF!</definedName>
    <definedName name="B2TR_Prov_990B">#REF!</definedName>
    <definedName name="B2TR_Prov_995A">#REF!</definedName>
    <definedName name="B2TR_Prov_999QFIN48">#REF!</definedName>
    <definedName name="B2TR_Prov_FIT">#REF!</definedName>
    <definedName name="B2TR_Prov_INT1">#REF!</definedName>
    <definedName name="B2TR_Prov_M31">#REF!</definedName>
    <definedName name="B2TR_Prov_M32">#REF!</definedName>
    <definedName name="B2TR_Prov_M33">#REF!</definedName>
    <definedName name="B2TR_Prov_NIT">#REF!</definedName>
    <definedName name="B2TR_Prov_SIT">#REF!</definedName>
    <definedName name="B2TR_PY_0001">#REF!</definedName>
    <definedName name="B2TR_PY_0002">#REF!</definedName>
    <definedName name="B2TR_PY_0003">#REF!</definedName>
    <definedName name="B2TR_PY_014A">#REF!</definedName>
    <definedName name="B2TR_PY_014ADSIT">#REF!</definedName>
    <definedName name="B2TR_PY_014C">#REF!</definedName>
    <definedName name="B2TR_PY_014CDSIT">#REF!</definedName>
    <definedName name="B2TR_PY_014VDSIT">#REF!</definedName>
    <definedName name="B2TR_PY_014WDSIT">#REF!</definedName>
    <definedName name="B2TR_PY_210A">#REF!</definedName>
    <definedName name="B2TR_PY_210B">#REF!</definedName>
    <definedName name="B2TR_PY_210E">#REF!</definedName>
    <definedName name="B2TR_PY_211A">#REF!</definedName>
    <definedName name="B2TR_PY_220A">#REF!</definedName>
    <definedName name="B2TR_PY_220E">#REF!</definedName>
    <definedName name="B2TR_PY_230A">#REF!</definedName>
    <definedName name="B2TR_PY_230B">#REF!</definedName>
    <definedName name="B2TR_PY_230G">#REF!</definedName>
    <definedName name="B2TR_PY_230I">#REF!</definedName>
    <definedName name="B2TR_PY_230J">#REF!</definedName>
    <definedName name="B2TR_PY_230K">#REF!</definedName>
    <definedName name="B2TR_PY_230X">#REF!</definedName>
    <definedName name="B2TR_PY_232A">#REF!</definedName>
    <definedName name="B2TR_PY_232C">#REF!</definedName>
    <definedName name="B2TR_PY_232K">#REF!</definedName>
    <definedName name="B2TR_PY_232M">#REF!</definedName>
    <definedName name="B2TR_PY_234F">#REF!</definedName>
    <definedName name="B2TR_PY_234Q">#REF!</definedName>
    <definedName name="B2TR_PY_280A">#REF!</definedName>
    <definedName name="B2TR_PY_280D">#REF!</definedName>
    <definedName name="B2TR_PY_280E">#REF!</definedName>
    <definedName name="B2TR_PY_280F">#REF!</definedName>
    <definedName name="B2TR_PY_280H">#REF!</definedName>
    <definedName name="B2TR_PY_280J">#REF!</definedName>
    <definedName name="B2TR_PY_280Y">#REF!</definedName>
    <definedName name="B2TR_PY_282A">#REF!</definedName>
    <definedName name="B2TR_PY_282B">#REF!</definedName>
    <definedName name="B2TR_PY_295A">#REF!</definedName>
    <definedName name="B2TR_PY_295D">#REF!</definedName>
    <definedName name="B2TR_PY_310A">#REF!</definedName>
    <definedName name="B2TR_PY_310D">#REF!</definedName>
    <definedName name="B2TR_PY_310E">#REF!</definedName>
    <definedName name="B2TR_PY_320A">#REF!</definedName>
    <definedName name="B2TR_PY_320D">#REF!</definedName>
    <definedName name="B2TR_PY_320I">#REF!</definedName>
    <definedName name="B2TR_PY_320L">#REF!</definedName>
    <definedName name="B2TR_PY_320S">#REF!</definedName>
    <definedName name="B2TR_PY_320U">#REF!</definedName>
    <definedName name="B2TR_PY_330D">#REF!</definedName>
    <definedName name="B2TR_PY_345A">#REF!</definedName>
    <definedName name="B2TR_PY_345B">#REF!</definedName>
    <definedName name="B2TR_PY_350A">#REF!</definedName>
    <definedName name="B2TR_PY_360A">#REF!</definedName>
    <definedName name="B2TR_PY_380F">#REF!</definedName>
    <definedName name="B2TR_PY_380J">#REF!</definedName>
    <definedName name="B2TR_PY_390A">#REF!</definedName>
    <definedName name="B2TR_PY_390C">#REF!</definedName>
    <definedName name="B2TR_PY_390D">#REF!</definedName>
    <definedName name="B2TR_PY_390E">#REF!</definedName>
    <definedName name="B2TR_PY_390F">#REF!</definedName>
    <definedName name="B2TR_PY_410A">#REF!</definedName>
    <definedName name="B2TR_PY_430I">#REF!</definedName>
    <definedName name="B2TR_PY_430J">#REF!</definedName>
    <definedName name="B2TR_PY_432A">#REF!</definedName>
    <definedName name="B2TR_PY_432C">#REF!</definedName>
    <definedName name="B2TR_PY_432D">#REF!</definedName>
    <definedName name="B2TR_PY_432G">#REF!</definedName>
    <definedName name="B2TR_PY_432I">#REF!</definedName>
    <definedName name="B2TR_PY_432M">#REF!</definedName>
    <definedName name="B2TR_PY_433A">#REF!</definedName>
    <definedName name="B2TR_PY_433C">#REF!</definedName>
    <definedName name="B2TR_PY_433D">#REF!</definedName>
    <definedName name="B2TR_PY_433F">#REF!</definedName>
    <definedName name="B2TR_PY_460A">#REF!</definedName>
    <definedName name="B2TR_PY_510B">#REF!</definedName>
    <definedName name="B2TR_PY_510H">#REF!</definedName>
    <definedName name="B2TR_PY_510I">#REF!</definedName>
    <definedName name="B2TR_PY_510M">#REF!</definedName>
    <definedName name="B2TR_PY_520A">#REF!</definedName>
    <definedName name="B2TR_PY_520X">#REF!</definedName>
    <definedName name="B2TR_PY_520Y">#REF!</definedName>
    <definedName name="B2TR_PY_531A">#REF!</definedName>
    <definedName name="B2TR_PY_531B">#REF!</definedName>
    <definedName name="B2TR_PY_531H">#REF!</definedName>
    <definedName name="B2TR_PY_532A">#REF!</definedName>
    <definedName name="B2TR_PY_532C">#REF!</definedName>
    <definedName name="B2TR_PY_532D">#REF!</definedName>
    <definedName name="B2TR_PY_532E">#REF!</definedName>
    <definedName name="B2TR_PY_532F">#REF!</definedName>
    <definedName name="B2TR_PY_532G">#REF!</definedName>
    <definedName name="B2TR_PY_532H">#REF!</definedName>
    <definedName name="B2TR_PY_533A">#REF!</definedName>
    <definedName name="B2TR_PY_533D">#REF!</definedName>
    <definedName name="B2TR_PY_533E">#REF!</definedName>
    <definedName name="B2TR_PY_533J">#REF!</definedName>
    <definedName name="B2TR_PY_534A">#REF!</definedName>
    <definedName name="B2TR_PY_560D">#REF!</definedName>
    <definedName name="B2TR_PY_560J">#REF!</definedName>
    <definedName name="B2TR_PY_561A">#REF!</definedName>
    <definedName name="B2TR_PY_561D">#REF!</definedName>
    <definedName name="B2TR_PY_561I">#REF!</definedName>
    <definedName name="B2TR_PY_561J">#REF!</definedName>
    <definedName name="B2TR_PY_562B">#REF!</definedName>
    <definedName name="B2TR_PY_562H">#REF!</definedName>
    <definedName name="B2TR_PY_575E">#REF!</definedName>
    <definedName name="B2TR_PY_575G">#REF!</definedName>
    <definedName name="B2TR_PY_576e">#REF!</definedName>
    <definedName name="B2TR_PY_576F">#REF!</definedName>
    <definedName name="B2TR_PY_601E">#REF!</definedName>
    <definedName name="B2TR_PY_601G">#REF!</definedName>
    <definedName name="B2TR_PY_601T">#REF!</definedName>
    <definedName name="B2TR_PY_602A">#REF!</definedName>
    <definedName name="B2TR_PY_603A">#REF!</definedName>
    <definedName name="B2TR_PY_603G">#REF!</definedName>
    <definedName name="B2TR_PY_605B">#REF!</definedName>
    <definedName name="B2TR_PY_605C">#REF!</definedName>
    <definedName name="B2TR_PY_605E">#REF!</definedName>
    <definedName name="B2TR_PY_605F">#REF!</definedName>
    <definedName name="B2TR_PY_605I">#REF!</definedName>
    <definedName name="B2TR_PY_605K">#REF!</definedName>
    <definedName name="B2TR_PY_605O">#REF!</definedName>
    <definedName name="B2TR_PY_605P">#REF!</definedName>
    <definedName name="B2TR_PY_605T">#REF!</definedName>
    <definedName name="B2TR_PY_605V">#REF!</definedName>
    <definedName name="B2TR_PY_605W">#REF!</definedName>
    <definedName name="B2TR_PY_609E">#REF!</definedName>
    <definedName name="B2TR_PY_610A">#REF!</definedName>
    <definedName name="B2TR_PY_610U">#REF!</definedName>
    <definedName name="B2TR_PY_610V">#REF!</definedName>
    <definedName name="B2TR_PY_611E">#REF!</definedName>
    <definedName name="B2TR_PY_611G">#REF!</definedName>
    <definedName name="B2TR_PY_611M">#REF!</definedName>
    <definedName name="B2TR_PY_611S">#REF!</definedName>
    <definedName name="B2TR_PY_611U">#REF!</definedName>
    <definedName name="B2TR_PY_611Y">#REF!</definedName>
    <definedName name="B2TR_PY_612H">#REF!</definedName>
    <definedName name="B2TR_PY_612Y">#REF!</definedName>
    <definedName name="B2TR_PY_613B">#REF!</definedName>
    <definedName name="B2TR_PY_613C">#REF!</definedName>
    <definedName name="B2TR_PY_613E">#REF!</definedName>
    <definedName name="B2TR_PY_613F">#REF!</definedName>
    <definedName name="B2TR_PY_613I">#REF!</definedName>
    <definedName name="B2TR_PY_613K">#REF!</definedName>
    <definedName name="B2TR_PY_613L">#REF!</definedName>
    <definedName name="B2TR_PY_613N">#REF!</definedName>
    <definedName name="B2TR_PY_613O">#REF!</definedName>
    <definedName name="B2TR_PY_613R">#REF!</definedName>
    <definedName name="B2TR_PY_613S">#REF!</definedName>
    <definedName name="B2TR_PY_613U">#REF!</definedName>
    <definedName name="B2TR_PY_613Y">#REF!</definedName>
    <definedName name="B2TR_PY_614I">#REF!</definedName>
    <definedName name="B2TR_PY_614W">#REF!</definedName>
    <definedName name="B2TR_PY_614Y">#REF!</definedName>
    <definedName name="B2TR_PY_614Z">#REF!</definedName>
    <definedName name="B2TR_PY_615B">#REF!</definedName>
    <definedName name="B2TR_PY_615C">#REF!</definedName>
    <definedName name="B2TR_PY_615Q">#REF!</definedName>
    <definedName name="B2TR_PY_615R">#REF!</definedName>
    <definedName name="B2TR_PY_615T">#REF!</definedName>
    <definedName name="B2TR_PY_615Z">#REF!</definedName>
    <definedName name="B2TR_PY_616A">#REF!</definedName>
    <definedName name="B2TR_PY_620A">#REF!</definedName>
    <definedName name="B2TR_PY_620C">#REF!</definedName>
    <definedName name="B2TR_PY_625A">#REF!</definedName>
    <definedName name="B2TR_PY_625B">#REF!</definedName>
    <definedName name="B2TR_PY_629X">#REF!</definedName>
    <definedName name="B2TR_PY_630A">#REF!</definedName>
    <definedName name="B2TR_PY_630E">#REF!</definedName>
    <definedName name="B2TR_PY_630F">#REF!</definedName>
    <definedName name="B2TR_PY_630G">#REF!</definedName>
    <definedName name="B2TR_PY_630J">#REF!</definedName>
    <definedName name="B2TR_PY_630M">#REF!</definedName>
    <definedName name="B2TR_PY_630T">#REF!</definedName>
    <definedName name="B2TR_PY_630X">#REF!</definedName>
    <definedName name="B2TR_PY_630Y">#REF!</definedName>
    <definedName name="B2TR_PY_631C">#REF!</definedName>
    <definedName name="B2TR_PY_631D">#REF!</definedName>
    <definedName name="B2TR_PY_631E">#REF!</definedName>
    <definedName name="B2TR_PY_631F">#REF!</definedName>
    <definedName name="B2TR_PY_631G">#REF!</definedName>
    <definedName name="B2TR_PY_631H">#REF!</definedName>
    <definedName name="B2TR_PY_631I">#REF!</definedName>
    <definedName name="B2TR_PY_631J">#REF!</definedName>
    <definedName name="B2TR_PY_631S">#REF!</definedName>
    <definedName name="B2TR_PY_631U">#REF!</definedName>
    <definedName name="B2TR_PY_632G">#REF!</definedName>
    <definedName name="B2TR_PY_632O">#REF!</definedName>
    <definedName name="B2TR_PY_632P">#REF!</definedName>
    <definedName name="B2TR_PY_632U">#REF!</definedName>
    <definedName name="B2TR_PY_632Y">#REF!</definedName>
    <definedName name="B2TR_PY_633A">#REF!</definedName>
    <definedName name="B2TR_PY_635C">#REF!</definedName>
    <definedName name="B2TR_PY_638A">#REF!</definedName>
    <definedName name="B2TR_PY_638C">#REF!</definedName>
    <definedName name="B2TR_PY_641I">#REF!</definedName>
    <definedName name="B2TR_PY_641X">#REF!</definedName>
    <definedName name="B2TR_PY_641Y">#REF!</definedName>
    <definedName name="B2TR_PY_642B">#REF!</definedName>
    <definedName name="B2TR_PY_642C">#REF!</definedName>
    <definedName name="B2TR_PY_651C">#REF!</definedName>
    <definedName name="B2TR_PY_651F">#REF!</definedName>
    <definedName name="B2TR_PY_651H">#REF!</definedName>
    <definedName name="B2TR_PY_651I">#REF!</definedName>
    <definedName name="B2TR_PY_651J">#REF!</definedName>
    <definedName name="B2TR_PY_651K">#REF!</definedName>
    <definedName name="B2TR_PY_651M">#REF!</definedName>
    <definedName name="B2TR_PY_651O">#REF!</definedName>
    <definedName name="B2TR_PY_651Q">#REF!</definedName>
    <definedName name="B2TR_PY_651R">#REF!</definedName>
    <definedName name="B2TR_PY_651S">#REF!</definedName>
    <definedName name="B2TR_PY_651T">#REF!</definedName>
    <definedName name="B2TR_PY_651U">#REF!</definedName>
    <definedName name="B2TR_PY_651W">#REF!</definedName>
    <definedName name="B2TR_PY_651X">#REF!</definedName>
    <definedName name="B2TR_PY_651Y">#REF!</definedName>
    <definedName name="B2TR_PY_651Z">#REF!</definedName>
    <definedName name="B2TR_PY_652G">#REF!</definedName>
    <definedName name="B2TR_PY_653A">#REF!</definedName>
    <definedName name="B2TR_PY_659B">#REF!</definedName>
    <definedName name="B2TR_PY_660A">#REF!</definedName>
    <definedName name="B2TR_PY_660F">#REF!</definedName>
    <definedName name="B2TR_PY_660G">#REF!</definedName>
    <definedName name="B2TR_PY_660K">#REF!</definedName>
    <definedName name="B2TR_PY_660O">#REF!</definedName>
    <definedName name="B2TR_PY_660R">#REF!</definedName>
    <definedName name="B2TR_PY_660Z">#REF!</definedName>
    <definedName name="B2TR_PY_661B">#REF!</definedName>
    <definedName name="B2TR_PY_661R">#REF!</definedName>
    <definedName name="B2TR_PY_661S">#REF!</definedName>
    <definedName name="B2TR_PY_661T">#REF!</definedName>
    <definedName name="B2TR_PY_661U">#REF!</definedName>
    <definedName name="B2TR_PY_661V">#REF!</definedName>
    <definedName name="B2TR_PY_661X">#REF!</definedName>
    <definedName name="B2TR_PY_661Y">#REF!</definedName>
    <definedName name="B2TR_PY_662A">#REF!</definedName>
    <definedName name="B2TR_PY_662D">#REF!</definedName>
    <definedName name="B2TR_PY_663F">#REF!</definedName>
    <definedName name="B2TR_PY_663G">#REF!</definedName>
    <definedName name="B2TR_PY_663N">#REF!</definedName>
    <definedName name="B2TR_PY_663O">#REF!</definedName>
    <definedName name="B2TR_PY_663T">#REF!</definedName>
    <definedName name="B2TR_PY_663X">#REF!</definedName>
    <definedName name="B2TR_PY_664A">#REF!</definedName>
    <definedName name="B2TR_PY_664B">#REF!</definedName>
    <definedName name="B2TR_PY_664F">#REF!</definedName>
    <definedName name="B2TR_PY_664N">#REF!</definedName>
    <definedName name="B2TR_PY_664P">#REF!</definedName>
    <definedName name="B2TR_PY_664Q">#REF!</definedName>
    <definedName name="B2TR_PY_664R">#REF!</definedName>
    <definedName name="B2TR_PY_664V">#REF!</definedName>
    <definedName name="B2TR_PY_665D">#REF!</definedName>
    <definedName name="B2TR_PY_665G">#REF!</definedName>
    <definedName name="B2TR_PY_665I">#REF!</definedName>
    <definedName name="B2TR_PY_665J">#REF!</definedName>
    <definedName name="B2TR_PY_665N">#REF!</definedName>
    <definedName name="B2TR_PY_665V">#REF!</definedName>
    <definedName name="B2TR_PY_665X">#REF!</definedName>
    <definedName name="B2TR_PY_667C">#REF!</definedName>
    <definedName name="B2TR_PY_667D">#REF!</definedName>
    <definedName name="B2TR_PY_667E">#REF!</definedName>
    <definedName name="B2TR_PY_667H">#REF!</definedName>
    <definedName name="B2TR_PY_667J">#REF!</definedName>
    <definedName name="B2TR_PY_667K">#REF!</definedName>
    <definedName name="B2TR_PY_667N">#REF!</definedName>
    <definedName name="B2TR_PY_667P">#REF!</definedName>
    <definedName name="B2TR_PY_667R">#REF!</definedName>
    <definedName name="B2TR_PY_667S">#REF!</definedName>
    <definedName name="B2TR_PY_667T">#REF!</definedName>
    <definedName name="B2TR_PY_667U">#REF!</definedName>
    <definedName name="B2TR_PY_667V">#REF!</definedName>
    <definedName name="B2TR_PY_667W">#REF!</definedName>
    <definedName name="B2TR_PY_667Y">#REF!</definedName>
    <definedName name="B2TR_PY_667Z">#REF!</definedName>
    <definedName name="B2TR_PY_668B">#REF!</definedName>
    <definedName name="B2TR_PY_668D">#REF!</definedName>
    <definedName name="B2TR_PY_668E">#REF!</definedName>
    <definedName name="B2TR_PY_668F">#REF!</definedName>
    <definedName name="B2TR_PY_668G">#REF!</definedName>
    <definedName name="B2TR_PY_668H">#REF!</definedName>
    <definedName name="B2TR_PY_668I">#REF!</definedName>
    <definedName name="B2TR_PY_668J">#REF!</definedName>
    <definedName name="B2TR_PY_668O">#REF!</definedName>
    <definedName name="B2TR_PY_668P">#REF!</definedName>
    <definedName name="B2TR_PY_668T">#REF!</definedName>
    <definedName name="B2TR_PY_668U">#REF!</definedName>
    <definedName name="B2TR_PY_668V">#REF!</definedName>
    <definedName name="B2TR_PY_669A">#REF!</definedName>
    <definedName name="B2TR_PY_669H">#REF!</definedName>
    <definedName name="B2TR_PY_669I">#REF!</definedName>
    <definedName name="B2TR_PY_669J">#REF!</definedName>
    <definedName name="B2TR_PY_669K">#REF!</definedName>
    <definedName name="B2TR_PY_669O">#REF!</definedName>
    <definedName name="B2TR_PY_669R">#REF!</definedName>
    <definedName name="B2TR_PY_669S">#REF!</definedName>
    <definedName name="B2TR_PY_669T">#REF!</definedName>
    <definedName name="B2TR_PY_669U">#REF!</definedName>
    <definedName name="B2TR_PY_669W">#REF!</definedName>
    <definedName name="B2TR_PY_669X">#REF!</definedName>
    <definedName name="B2TR_PY_669Y">#REF!</definedName>
    <definedName name="B2TR_PY_669Z">#REF!</definedName>
    <definedName name="B2TR_PY_670D">#REF!</definedName>
    <definedName name="B2TR_PY_670F">#REF!</definedName>
    <definedName name="B2TR_PY_670H">#REF!</definedName>
    <definedName name="B2TR_PY_670I">#REF!</definedName>
    <definedName name="B2TR_PY_670N">#REF!</definedName>
    <definedName name="B2TR_PY_670O">#REF!</definedName>
    <definedName name="B2TR_PY_670P">#REF!</definedName>
    <definedName name="B2TR_PY_670Q">#REF!</definedName>
    <definedName name="B2TR_PY_670S">#REF!</definedName>
    <definedName name="B2TR_PY_670W">#REF!</definedName>
    <definedName name="B2TR_PY_670X">#REF!</definedName>
    <definedName name="B2TR_PY_670Y">#REF!</definedName>
    <definedName name="B2TR_PY_670Z">#REF!</definedName>
    <definedName name="B2TR_PY_671A">#REF!</definedName>
    <definedName name="B2TR_PY_671B">#REF!</definedName>
    <definedName name="B2TR_PY_671D">#REF!</definedName>
    <definedName name="B2TR_PY_671F">#REF!</definedName>
    <definedName name="B2TR_PY_671G">#REF!</definedName>
    <definedName name="B2TR_PY_671H">#REF!</definedName>
    <definedName name="B2TR_PY_671I">#REF!</definedName>
    <definedName name="B2TR_PY_671J">#REF!</definedName>
    <definedName name="B2TR_PY_671K">#REF!</definedName>
    <definedName name="B2TR_PY_671L">#REF!</definedName>
    <definedName name="B2TR_PY_671M">#REF!</definedName>
    <definedName name="B2TR_PY_671N">#REF!</definedName>
    <definedName name="B2TR_PY_671O">#REF!</definedName>
    <definedName name="B2TR_PY_671P">#REF!</definedName>
    <definedName name="B2TR_PY_671Q">#REF!</definedName>
    <definedName name="B2TR_PY_671R">#REF!</definedName>
    <definedName name="B2TR_PY_671S">#REF!</definedName>
    <definedName name="B2TR_PY_671T">#REF!</definedName>
    <definedName name="B2TR_PY_671W">#REF!</definedName>
    <definedName name="B2TR_PY_671Z">#REF!</definedName>
    <definedName name="B2TR_PY_672G">#REF!</definedName>
    <definedName name="B2TR_PY_672H">#REF!</definedName>
    <definedName name="B2TR_PY_672I">#REF!</definedName>
    <definedName name="B2TR_PY_672M">#REF!</definedName>
    <definedName name="B2TR_PY_672N">#REF!</definedName>
    <definedName name="B2TR_PY_672O">#REF!</definedName>
    <definedName name="B2TR_PY_672P">#REF!</definedName>
    <definedName name="B2TR_PY_672R">#REF!</definedName>
    <definedName name="B2TR_PY_672S">#REF!</definedName>
    <definedName name="B2TR_PY_672T">#REF!</definedName>
    <definedName name="B2TR_PY_673C">#REF!</definedName>
    <definedName name="B2TR_PY_673E">#REF!</definedName>
    <definedName name="B2TR_PY_673F">#REF!</definedName>
    <definedName name="B2TR_PY_673G">#REF!</definedName>
    <definedName name="B2TR_PY_673H">#REF!</definedName>
    <definedName name="B2TR_PY_673I">#REF!</definedName>
    <definedName name="B2TR_PY_673J">#REF!</definedName>
    <definedName name="B2TR_PY_673K">#REF!</definedName>
    <definedName name="B2TR_PY_673M">#REF!</definedName>
    <definedName name="B2TR_PY_673N">#REF!</definedName>
    <definedName name="B2TR_PY_673O">#REF!</definedName>
    <definedName name="B2TR_PY_673R">#REF!</definedName>
    <definedName name="B2TR_PY_673S">#REF!</definedName>
    <definedName name="B2TR_PY_673U">#REF!</definedName>
    <definedName name="B2TR_PY_673V">#REF!</definedName>
    <definedName name="B2TR_PY_673W">#REF!</definedName>
    <definedName name="B2TR_PY_673X">#REF!</definedName>
    <definedName name="B2TR_PY_673Y">#REF!</definedName>
    <definedName name="B2TR_PY_673Z">#REF!</definedName>
    <definedName name="B2TR_PY_674A">#REF!</definedName>
    <definedName name="B2TR_PY_674B">#REF!</definedName>
    <definedName name="B2TR_PY_674C">#REF!</definedName>
    <definedName name="B2TR_PY_674D">#REF!</definedName>
    <definedName name="B2TR_PY_674E">#REF!</definedName>
    <definedName name="B2TR_PY_674F">#REF!</definedName>
    <definedName name="B2TR_PY_674G">#REF!</definedName>
    <definedName name="B2TR_PY_674I">#REF!</definedName>
    <definedName name="B2TR_PY_674J">#REF!</definedName>
    <definedName name="B2TR_PY_674M">#REF!</definedName>
    <definedName name="B2TR_PY_674P">#REF!</definedName>
    <definedName name="B2TR_PY_674Q">#REF!</definedName>
    <definedName name="B2TR_PY_674R">#REF!</definedName>
    <definedName name="B2TR_PY_674S">#REF!</definedName>
    <definedName name="B2TR_PY_674V">#REF!</definedName>
    <definedName name="B2TR_PY_674W">#REF!</definedName>
    <definedName name="B2TR_PY_675A">#REF!</definedName>
    <definedName name="B2TR_PY_675C">#REF!</definedName>
    <definedName name="B2TR_PY_675E">#REF!</definedName>
    <definedName name="B2TR_PY_675F">#REF!</definedName>
    <definedName name="B2TR_PY_675G">#REF!</definedName>
    <definedName name="B2TR_PY_675H">#REF!</definedName>
    <definedName name="B2TR_PY_675I">#REF!</definedName>
    <definedName name="B2TR_PY_675J">#REF!</definedName>
    <definedName name="B2TR_PY_675K">#REF!</definedName>
    <definedName name="B2TR_PY_675L">#REF!</definedName>
    <definedName name="B2TR_PY_675M">#REF!</definedName>
    <definedName name="B2TR_PY_675N">#REF!</definedName>
    <definedName name="B2TR_PY_675O">#REF!</definedName>
    <definedName name="B2TR_PY_675P">#REF!</definedName>
    <definedName name="B2TR_PY_675Q">#REF!</definedName>
    <definedName name="B2TR_PY_675R">#REF!</definedName>
    <definedName name="B2TR_PY_675S">#REF!</definedName>
    <definedName name="B2TR_PY_675T">#REF!</definedName>
    <definedName name="B2TR_PY_675U">#REF!</definedName>
    <definedName name="B2TR_PY_675V">#REF!</definedName>
    <definedName name="B2TR_PY_675W">#REF!</definedName>
    <definedName name="B2TR_PY_675X">#REF!</definedName>
    <definedName name="B2TR_PY_675Y">#REF!</definedName>
    <definedName name="B2TR_PY_675Z">#REF!</definedName>
    <definedName name="B2TR_PY_676A">#REF!</definedName>
    <definedName name="B2TR_PY_676B">#REF!</definedName>
    <definedName name="B2TR_PY_676C">#REF!</definedName>
    <definedName name="B2TR_PY_676D">#REF!</definedName>
    <definedName name="B2TR_PY_676E">#REF!</definedName>
    <definedName name="B2TR_PY_676F">#REF!</definedName>
    <definedName name="B2TR_PY_676G">#REF!</definedName>
    <definedName name="B2TR_PY_676J">#REF!</definedName>
    <definedName name="B2TR_PY_690C">#REF!</definedName>
    <definedName name="B2TR_PY_690D">#REF!</definedName>
    <definedName name="B2TR_PY_690E">#REF!</definedName>
    <definedName name="B2TR_PY_690F">#REF!</definedName>
    <definedName name="B2TR_PY_690G">#REF!</definedName>
    <definedName name="B2TR_PY_690I">#REF!</definedName>
    <definedName name="B2TR_PY_690J">#REF!</definedName>
    <definedName name="B2TR_PY_690K">#REF!</definedName>
    <definedName name="B2TR_PY_690L">#REF!</definedName>
    <definedName name="B2TR_PY_700B">#REF!</definedName>
    <definedName name="B2TR_PY_701A">#REF!</definedName>
    <definedName name="B2TR_PY_702A">#REF!</definedName>
    <definedName name="B2TR_PY_710H">#REF!</definedName>
    <definedName name="B2TR_PY_710Q">#REF!</definedName>
    <definedName name="B2TR_PY_710Y">#REF!</definedName>
    <definedName name="B2TR_PY_711N">#REF!</definedName>
    <definedName name="B2TR_PY_711O">#REF!</definedName>
    <definedName name="B2TR_PY_711P">#REF!</definedName>
    <definedName name="B2TR_PY_712K">#REF!</definedName>
    <definedName name="B2TR_PY_712L">#REF!</definedName>
    <definedName name="B2TR_PY_712M">#REF!</definedName>
    <definedName name="B2TR_PY_712N">#REF!</definedName>
    <definedName name="B2TR_PY_811B">#REF!</definedName>
    <definedName name="B2TR_PY_811C">#REF!</definedName>
    <definedName name="B2TR_PY_813B">#REF!</definedName>
    <definedName name="B2TR_PY_813C">#REF!</definedName>
    <definedName name="B2TR_PY_841A">#REF!</definedName>
    <definedName name="B2TR_PY_841B">#REF!</definedName>
    <definedName name="B2TR_PY_841C">#REF!</definedName>
    <definedName name="B2TR_PY_842A">#REF!</definedName>
    <definedName name="B2TR_PY_842B">#REF!</definedName>
    <definedName name="B2TR_PY_842C">#REF!</definedName>
    <definedName name="B2TR_PY_843A">#REF!</definedName>
    <definedName name="B2TR_PY_844A">#REF!</definedName>
    <definedName name="B2TR_PY_845K">#REF!</definedName>
    <definedName name="B2TR_PY_846D">#REF!</definedName>
    <definedName name="B2TR_PY_846E">#REF!</definedName>
    <definedName name="B2TR_PY_846F">#REF!</definedName>
    <definedName name="B2TR_PY_846G">#REF!</definedName>
    <definedName name="B2TR_PY_846H">#REF!</definedName>
    <definedName name="B2TR_PY_846I">#REF!</definedName>
    <definedName name="B2TR_PY_850A">#REF!</definedName>
    <definedName name="B2TR_PY_850C">#REF!</definedName>
    <definedName name="B2TR_PY_900A">#REF!</definedName>
    <definedName name="B2TR_PY_900F">#REF!</definedName>
    <definedName name="B2TR_PY_900H">#REF!</definedName>
    <definedName name="B2TR_PY_900I">#REF!</definedName>
    <definedName name="B2TR_PY_900L">#REF!</definedName>
    <definedName name="B2TR_PY_905A">#REF!</definedName>
    <definedName name="B2TR_PY_905B">#REF!</definedName>
    <definedName name="B2TR_PY_905C">#REF!</definedName>
    <definedName name="B2TR_PY_905U">#REF!</definedName>
    <definedName name="B2TR_PY_906A">#REF!</definedName>
    <definedName name="B2TR_PY_906D">#REF!</definedName>
    <definedName name="B2TR_PY_906F">#REF!</definedName>
    <definedName name="B2TR_PY_906I">#REF!</definedName>
    <definedName name="B2TR_PY_906J">#REF!</definedName>
    <definedName name="B2TR_PY_906K">#REF!</definedName>
    <definedName name="B2TR_PY_906P">#REF!</definedName>
    <definedName name="B2TR_PY_906Z">#REF!</definedName>
    <definedName name="B2TR_PY_908A">#REF!</definedName>
    <definedName name="B2TR_PY_908B">#REF!</definedName>
    <definedName name="B2TR_PY_910B">#REF!</definedName>
    <definedName name="B2TR_PY_910C">#REF!</definedName>
    <definedName name="B2TR_PY_910D">#REF!</definedName>
    <definedName name="B2TR_PY_910E">#REF!</definedName>
    <definedName name="B2TR_PY_910K">#REF!</definedName>
    <definedName name="B2TR_PY_910M">#REF!</definedName>
    <definedName name="B2TR_PY_910N">#REF!</definedName>
    <definedName name="B2TR_PY_910O">#REF!</definedName>
    <definedName name="B2TR_PY_910Q">#REF!</definedName>
    <definedName name="B2TR_PY_910S">#REF!</definedName>
    <definedName name="B2TR_PY_910U">#REF!</definedName>
    <definedName name="B2TR_PY_910X">#REF!</definedName>
    <definedName name="B2TR_PY_911I">#REF!</definedName>
    <definedName name="B2TR_PY_911J">#REF!</definedName>
    <definedName name="B2TR_PY_911K">#REF!</definedName>
    <definedName name="B2TR_PY_911L">#REF!</definedName>
    <definedName name="B2TR_PY_911M">#REF!</definedName>
    <definedName name="B2TR_PY_911Q">#REF!</definedName>
    <definedName name="B2TR_PY_911QA">#REF!</definedName>
    <definedName name="B2TR_PY_911QB">#REF!</definedName>
    <definedName name="B2TR_PY_911S">#REF!</definedName>
    <definedName name="B2TR_PY_911V">#REF!</definedName>
    <definedName name="B2TR_PY_911W">#REF!</definedName>
    <definedName name="B2TR_PY_911Z">#REF!</definedName>
    <definedName name="B2TR_PY_912K">#REF!</definedName>
    <definedName name="B2TR_PY_913A">#REF!</definedName>
    <definedName name="B2TR_PY_913D">#REF!</definedName>
    <definedName name="B2TR_PY_913M">#REF!</definedName>
    <definedName name="B2TR_PY_914A">#REF!</definedName>
    <definedName name="B2TR_PY_914B">#REF!</definedName>
    <definedName name="B2TR_PY_914E">#REF!</definedName>
    <definedName name="B2TR_PY_914F">#REF!</definedName>
    <definedName name="B2TR_PY_914K">#REF!</definedName>
    <definedName name="B2TR_PY_914MDSIT">#REF!</definedName>
    <definedName name="B2TR_PY_920E">#REF!</definedName>
    <definedName name="B2TR_PY_921A">#REF!</definedName>
    <definedName name="B2TR_PY_921G">#REF!</definedName>
    <definedName name="B2TR_PY_930A">#REF!</definedName>
    <definedName name="B2TR_PY_930E">#REF!</definedName>
    <definedName name="B2TR_PY_930J">#REF!</definedName>
    <definedName name="B2TR_PY_930K">#REF!</definedName>
    <definedName name="B2TR_PY_940A">#REF!</definedName>
    <definedName name="B2TR_PY_940N">#REF!</definedName>
    <definedName name="B2TR_PY_940S">#REF!</definedName>
    <definedName name="B2TR_PY_940X">#REF!</definedName>
    <definedName name="B2TR_PY_960A">#REF!</definedName>
    <definedName name="B2TR_PY_980A">#REF!</definedName>
    <definedName name="B2TR_PY_980B">#REF!</definedName>
    <definedName name="B2TR_PY_980E">#REF!</definedName>
    <definedName name="B2TR_PY_980G">#REF!</definedName>
    <definedName name="B2TR_PY_980J">#REF!</definedName>
    <definedName name="B2TR_PY_980L">#REF!</definedName>
    <definedName name="B2TR_PY_985B">#REF!</definedName>
    <definedName name="B2TR_PY_990B">#REF!</definedName>
    <definedName name="B2TR_PY_995A">#REF!</definedName>
    <definedName name="B2TR_PY_999QFIN48">#REF!</definedName>
    <definedName name="B2TR_PY_FIT">#REF!</definedName>
    <definedName name="B2TR_PY_INT1">#REF!</definedName>
    <definedName name="B2TR_PY_M31">#REF!</definedName>
    <definedName name="B2TR_PY_M32">#REF!</definedName>
    <definedName name="B2TR_PY_M33">#REF!</definedName>
    <definedName name="B2TR_PY_NIT">#REF!</definedName>
    <definedName name="B2TR_PY_SIT">#REF!</definedName>
    <definedName name="B2TR_PYTR_Credits">#REF!</definedName>
    <definedName name="B2TR_RTP_0001">#REF!</definedName>
    <definedName name="B2TR_RTP_0002">#REF!</definedName>
    <definedName name="B2TR_RTP_0003">#REF!</definedName>
    <definedName name="B2TR_RTP_014A">#REF!</definedName>
    <definedName name="B2TR_RTP_014ADSIT">#REF!</definedName>
    <definedName name="B2TR_RTP_014C">#REF!</definedName>
    <definedName name="B2TR_RTP_014CDSIT">#REF!</definedName>
    <definedName name="B2TR_RTP_014VDSIT">#REF!</definedName>
    <definedName name="B2TR_RTP_014WDSIT">#REF!</definedName>
    <definedName name="B2TR_RTP_210A">#REF!</definedName>
    <definedName name="B2TR_RTP_210B">#REF!</definedName>
    <definedName name="B2TR_RTP_210E">#REF!</definedName>
    <definedName name="B2TR_RTP_211A">#REF!</definedName>
    <definedName name="B2TR_RTP_220A">#REF!</definedName>
    <definedName name="B2TR_RTP_220E">#REF!</definedName>
    <definedName name="B2TR_RTP_230A">#REF!</definedName>
    <definedName name="B2TR_RTP_230B">#REF!</definedName>
    <definedName name="B2TR_RTP_230G">#REF!</definedName>
    <definedName name="B2TR_RTP_230I">#REF!</definedName>
    <definedName name="B2TR_RTP_230J">#REF!</definedName>
    <definedName name="B2TR_RTP_230K">#REF!</definedName>
    <definedName name="B2TR_RTP_230X">#REF!</definedName>
    <definedName name="B2TR_RTP_232A">#REF!</definedName>
    <definedName name="B2TR_RTP_232C">#REF!</definedName>
    <definedName name="B2TR_RTP_232K">#REF!</definedName>
    <definedName name="B2TR_RTP_232M">#REF!</definedName>
    <definedName name="B2TR_RTP_234F">#REF!</definedName>
    <definedName name="B2TR_RTP_234Q">#REF!</definedName>
    <definedName name="B2TR_RTP_280A">#REF!</definedName>
    <definedName name="B2TR_RTP_280D">#REF!</definedName>
    <definedName name="B2TR_RTP_280E">#REF!</definedName>
    <definedName name="B2TR_RTP_280F">#REF!</definedName>
    <definedName name="B2TR_RTP_280H">#REF!</definedName>
    <definedName name="B2TR_RTP_280J">#REF!</definedName>
    <definedName name="B2TR_RTP_280Y">#REF!</definedName>
    <definedName name="B2TR_RTP_282A">#REF!</definedName>
    <definedName name="B2TR_RTP_282B">#REF!</definedName>
    <definedName name="B2TR_RTP_295A">#REF!</definedName>
    <definedName name="B2TR_RTP_295D">#REF!</definedName>
    <definedName name="B2TR_RTP_310A">#REF!</definedName>
    <definedName name="B2TR_RTP_310D">#REF!</definedName>
    <definedName name="B2TR_RTP_310E">#REF!</definedName>
    <definedName name="B2TR_RTP_320A">#REF!</definedName>
    <definedName name="B2TR_RTP_320D">#REF!</definedName>
    <definedName name="B2TR_RTP_320I">#REF!</definedName>
    <definedName name="B2TR_RTP_320L">#REF!</definedName>
    <definedName name="B2TR_RTP_320S">#REF!</definedName>
    <definedName name="B2TR_RTP_320U">#REF!</definedName>
    <definedName name="B2TR_RTP_330D">#REF!</definedName>
    <definedName name="B2TR_RTP_345A">#REF!</definedName>
    <definedName name="B2TR_RTP_345B">#REF!</definedName>
    <definedName name="B2TR_RTP_350A">#REF!</definedName>
    <definedName name="B2TR_RTP_360A">#REF!</definedName>
    <definedName name="B2TR_RTP_380F">#REF!</definedName>
    <definedName name="B2TR_RTP_380J">#REF!</definedName>
    <definedName name="B2TR_RTP_390A">#REF!</definedName>
    <definedName name="B2TR_RTP_390C">#REF!</definedName>
    <definedName name="B2TR_RTP_390D">#REF!</definedName>
    <definedName name="B2TR_RTP_390E">#REF!</definedName>
    <definedName name="B2TR_RTP_390F">#REF!</definedName>
    <definedName name="B2TR_RTP_410A">#REF!</definedName>
    <definedName name="B2TR_RTP_430I">#REF!</definedName>
    <definedName name="B2TR_RTP_430J">#REF!</definedName>
    <definedName name="B2TR_RTP_432A">#REF!</definedName>
    <definedName name="B2TR_RTP_432C">#REF!</definedName>
    <definedName name="B2TR_RTP_432D">#REF!</definedName>
    <definedName name="B2TR_RTP_432G">#REF!</definedName>
    <definedName name="B2TR_RTP_432I">#REF!</definedName>
    <definedName name="B2TR_RTP_432M">#REF!</definedName>
    <definedName name="B2TR_RTP_433A">#REF!</definedName>
    <definedName name="B2TR_RTP_433C">#REF!</definedName>
    <definedName name="B2TR_RTP_433D">#REF!</definedName>
    <definedName name="B2TR_RTP_433F">#REF!</definedName>
    <definedName name="B2TR_RTP_460A">#REF!</definedName>
    <definedName name="B2TR_RTP_510B">#REF!</definedName>
    <definedName name="B2TR_RTP_510H">#REF!</definedName>
    <definedName name="B2TR_RTP_510I">#REF!</definedName>
    <definedName name="B2TR_RTP_510M">#REF!</definedName>
    <definedName name="B2TR_RTP_520A">#REF!</definedName>
    <definedName name="B2TR_RTP_520X">#REF!</definedName>
    <definedName name="B2TR_RTP_520Y">#REF!</definedName>
    <definedName name="B2TR_RTP_531A">#REF!</definedName>
    <definedName name="B2TR_RTP_531B">#REF!</definedName>
    <definedName name="B2TR_RTP_531H">#REF!</definedName>
    <definedName name="B2TR_RTP_532A">#REF!</definedName>
    <definedName name="B2TR_RTP_532C">#REF!</definedName>
    <definedName name="B2TR_RTP_532D">#REF!</definedName>
    <definedName name="B2TR_RTP_532E">#REF!</definedName>
    <definedName name="B2TR_RTP_532F">#REF!</definedName>
    <definedName name="B2TR_RTP_532G">#REF!</definedName>
    <definedName name="B2TR_RTP_532H">#REF!</definedName>
    <definedName name="B2TR_RTP_533A">#REF!</definedName>
    <definedName name="B2TR_RTP_533D">#REF!</definedName>
    <definedName name="B2TR_RTP_533E">#REF!</definedName>
    <definedName name="B2TR_RTP_533J">#REF!</definedName>
    <definedName name="B2TR_RTP_534A">#REF!</definedName>
    <definedName name="B2TR_RTP_560D">#REF!</definedName>
    <definedName name="B2TR_RTP_560J">#REF!</definedName>
    <definedName name="B2TR_RTP_561A">#REF!</definedName>
    <definedName name="B2TR_RTP_561D">#REF!</definedName>
    <definedName name="B2TR_RTP_561I">#REF!</definedName>
    <definedName name="B2TR_RTP_561J">#REF!</definedName>
    <definedName name="B2TR_RTP_562B">#REF!</definedName>
    <definedName name="B2TR_RTP_562H">#REF!</definedName>
    <definedName name="B2TR_RTP_575E">#REF!</definedName>
    <definedName name="B2TR_RTP_575G">#REF!</definedName>
    <definedName name="B2TR_RTP_576e">#REF!</definedName>
    <definedName name="B2TR_RTP_576F">#REF!</definedName>
    <definedName name="B2TR_RTP_601E">#REF!</definedName>
    <definedName name="B2TR_RTP_601G">#REF!</definedName>
    <definedName name="B2TR_RTP_601T">#REF!</definedName>
    <definedName name="B2TR_RTP_602A">#REF!</definedName>
    <definedName name="B2TR_RTP_603A">#REF!</definedName>
    <definedName name="B2TR_RTP_603G">#REF!</definedName>
    <definedName name="B2TR_RTP_605B">#REF!</definedName>
    <definedName name="B2TR_RTP_605C">#REF!</definedName>
    <definedName name="B2TR_RTP_605E">#REF!</definedName>
    <definedName name="B2TR_RTP_605F">#REF!</definedName>
    <definedName name="B2TR_RTP_605I">#REF!</definedName>
    <definedName name="B2TR_RTP_605K">#REF!</definedName>
    <definedName name="B2TR_RTP_605O">#REF!</definedName>
    <definedName name="B2TR_RTP_605P">#REF!</definedName>
    <definedName name="B2TR_RTP_605T">#REF!</definedName>
    <definedName name="B2TR_RTP_605V">#REF!</definedName>
    <definedName name="B2TR_RTP_605W">#REF!</definedName>
    <definedName name="B2TR_RTP_609E">#REF!</definedName>
    <definedName name="B2TR_RTP_610A">#REF!</definedName>
    <definedName name="B2TR_RTP_610U">#REF!</definedName>
    <definedName name="B2TR_RTP_610V">#REF!</definedName>
    <definedName name="B2TR_RTP_611E">#REF!</definedName>
    <definedName name="B2TR_RTP_611G">#REF!</definedName>
    <definedName name="B2TR_RTP_611M">#REF!</definedName>
    <definedName name="B2TR_RTP_611S">#REF!</definedName>
    <definedName name="B2TR_RTP_611U">#REF!</definedName>
    <definedName name="B2TR_RTP_611Y">#REF!</definedName>
    <definedName name="B2TR_RTP_612H">#REF!</definedName>
    <definedName name="B2TR_RTP_612Y">#REF!</definedName>
    <definedName name="B2TR_RTP_613B">#REF!</definedName>
    <definedName name="B2TR_RTP_613C">#REF!</definedName>
    <definedName name="B2TR_RTP_613E">#REF!</definedName>
    <definedName name="B2TR_RTP_613F">#REF!</definedName>
    <definedName name="B2TR_RTP_613I">#REF!</definedName>
    <definedName name="B2TR_RTP_613K">#REF!</definedName>
    <definedName name="B2TR_RTP_613L">#REF!</definedName>
    <definedName name="B2TR_RTP_613N">#REF!</definedName>
    <definedName name="B2TR_RTP_613O">#REF!</definedName>
    <definedName name="B2TR_RTP_613R">#REF!</definedName>
    <definedName name="B2TR_RTP_613S">#REF!</definedName>
    <definedName name="B2TR_RTP_613U">#REF!</definedName>
    <definedName name="B2TR_RTP_613Y">#REF!</definedName>
    <definedName name="B2TR_RTP_614I">#REF!</definedName>
    <definedName name="B2TR_RTP_614W">#REF!</definedName>
    <definedName name="B2TR_RTP_614Y">#REF!</definedName>
    <definedName name="B2TR_RTP_614Z">#REF!</definedName>
    <definedName name="B2TR_RTP_615B">#REF!</definedName>
    <definedName name="B2TR_RTP_615C">#REF!</definedName>
    <definedName name="B2TR_RTP_615Q">#REF!</definedName>
    <definedName name="B2TR_RTP_615R">#REF!</definedName>
    <definedName name="B2TR_RTP_615T">#REF!</definedName>
    <definedName name="B2TR_RTP_615Z">#REF!</definedName>
    <definedName name="B2TR_RTP_616A">#REF!</definedName>
    <definedName name="B2TR_RTP_620A">#REF!</definedName>
    <definedName name="B2TR_RTP_620C">#REF!</definedName>
    <definedName name="B2TR_RTP_625A">#REF!</definedName>
    <definedName name="B2TR_RTP_625B">#REF!</definedName>
    <definedName name="B2TR_RTP_629X">#REF!</definedName>
    <definedName name="B2TR_RTP_630A">#REF!</definedName>
    <definedName name="B2TR_RTP_630E">#REF!</definedName>
    <definedName name="B2TR_RTP_630F">#REF!</definedName>
    <definedName name="B2TR_RTP_630G">#REF!</definedName>
    <definedName name="B2TR_RTP_630J">#REF!</definedName>
    <definedName name="B2TR_RTP_630M">#REF!</definedName>
    <definedName name="B2TR_RTP_630T">#REF!</definedName>
    <definedName name="B2TR_RTP_630X">#REF!</definedName>
    <definedName name="B2TR_RTP_630Y">#REF!</definedName>
    <definedName name="B2TR_RTP_631C">#REF!</definedName>
    <definedName name="B2TR_RTP_631D">#REF!</definedName>
    <definedName name="B2TR_RTP_631E">#REF!</definedName>
    <definedName name="B2TR_RTP_631F">#REF!</definedName>
    <definedName name="B2TR_RTP_631G">#REF!</definedName>
    <definedName name="B2TR_RTP_631H">#REF!</definedName>
    <definedName name="B2TR_RTP_631I">#REF!</definedName>
    <definedName name="B2TR_RTP_631J">#REF!</definedName>
    <definedName name="B2TR_RTP_631S">#REF!</definedName>
    <definedName name="B2TR_RTP_631U">#REF!</definedName>
    <definedName name="B2TR_RTP_632G">#REF!</definedName>
    <definedName name="B2TR_RTP_632O">#REF!</definedName>
    <definedName name="B2TR_RTP_632P">#REF!</definedName>
    <definedName name="B2TR_RTP_632U">#REF!</definedName>
    <definedName name="B2TR_RTP_632Y">#REF!</definedName>
    <definedName name="B2TR_RTP_633A">#REF!</definedName>
    <definedName name="B2TR_RTP_635C">#REF!</definedName>
    <definedName name="B2TR_RTP_638A">#REF!</definedName>
    <definedName name="B2TR_RTP_638C">#REF!</definedName>
    <definedName name="B2TR_RTP_641I">#REF!</definedName>
    <definedName name="B2TR_RTP_641X">#REF!</definedName>
    <definedName name="B2TR_RTP_641Y">#REF!</definedName>
    <definedName name="B2TR_RTP_642B">#REF!</definedName>
    <definedName name="B2TR_RTP_642C">#REF!</definedName>
    <definedName name="B2TR_RTP_651C">#REF!</definedName>
    <definedName name="B2TR_RTP_651F">#REF!</definedName>
    <definedName name="B2TR_RTP_651H">#REF!</definedName>
    <definedName name="B2TR_RTP_651I">#REF!</definedName>
    <definedName name="B2TR_RTP_651J">#REF!</definedName>
    <definedName name="B2TR_RTP_651K">#REF!</definedName>
    <definedName name="B2TR_RTP_651M">#REF!</definedName>
    <definedName name="B2TR_RTP_651O">#REF!</definedName>
    <definedName name="B2TR_RTP_651Q">#REF!</definedName>
    <definedName name="B2TR_RTP_651R">#REF!</definedName>
    <definedName name="B2TR_RTP_651S">#REF!</definedName>
    <definedName name="B2TR_RTP_651T">#REF!</definedName>
    <definedName name="B2TR_RTP_651U">#REF!</definedName>
    <definedName name="B2TR_RTP_651W">#REF!</definedName>
    <definedName name="B2TR_RTP_651X">#REF!</definedName>
    <definedName name="B2TR_RTP_651Y">#REF!</definedName>
    <definedName name="B2TR_RTP_651Z">#REF!</definedName>
    <definedName name="B2TR_RTP_652G">#REF!</definedName>
    <definedName name="B2TR_RTP_653A">#REF!</definedName>
    <definedName name="B2TR_RTP_659B">#REF!</definedName>
    <definedName name="B2TR_RTP_660A">#REF!</definedName>
    <definedName name="B2TR_RTP_660F">#REF!</definedName>
    <definedName name="B2TR_RTP_660G">#REF!</definedName>
    <definedName name="B2TR_RTP_660K">#REF!</definedName>
    <definedName name="B2TR_RTP_660O">#REF!</definedName>
    <definedName name="B2TR_RTP_660R">#REF!</definedName>
    <definedName name="B2TR_RTP_660Z">#REF!</definedName>
    <definedName name="B2TR_RTP_661B">#REF!</definedName>
    <definedName name="B2TR_RTP_661R">#REF!</definedName>
    <definedName name="B2TR_RTP_661S">#REF!</definedName>
    <definedName name="B2TR_RTP_661T">#REF!</definedName>
    <definedName name="B2TR_RTP_661U">#REF!</definedName>
    <definedName name="B2TR_RTP_661V">#REF!</definedName>
    <definedName name="B2TR_RTP_661X">#REF!</definedName>
    <definedName name="B2TR_RTP_661Y">#REF!</definedName>
    <definedName name="B2TR_RTP_662A">#REF!</definedName>
    <definedName name="B2TR_RTP_662D">#REF!</definedName>
    <definedName name="B2TR_RTP_663F">#REF!</definedName>
    <definedName name="B2TR_RTP_663G">#REF!</definedName>
    <definedName name="B2TR_RTP_663N">#REF!</definedName>
    <definedName name="B2TR_RTP_663O">#REF!</definedName>
    <definedName name="B2TR_RTP_663T">#REF!</definedName>
    <definedName name="B2TR_RTP_663X">#REF!</definedName>
    <definedName name="B2TR_RTP_664A">#REF!</definedName>
    <definedName name="B2TR_RTP_664B">#REF!</definedName>
    <definedName name="B2TR_RTP_664F">#REF!</definedName>
    <definedName name="B2TR_RTP_664N">#REF!</definedName>
    <definedName name="B2TR_RTP_664P">#REF!</definedName>
    <definedName name="B2TR_RTP_664Q">#REF!</definedName>
    <definedName name="B2TR_RTP_664R">#REF!</definedName>
    <definedName name="B2TR_RTP_664V">#REF!</definedName>
    <definedName name="B2TR_RTP_665D">#REF!</definedName>
    <definedName name="B2TR_RTP_665G">#REF!</definedName>
    <definedName name="B2TR_RTP_665I">#REF!</definedName>
    <definedName name="B2TR_RTP_665J">#REF!</definedName>
    <definedName name="B2TR_RTP_665N">#REF!</definedName>
    <definedName name="B2TR_RTP_665V">#REF!</definedName>
    <definedName name="B2TR_RTP_665X">#REF!</definedName>
    <definedName name="B2TR_RTP_667C">#REF!</definedName>
    <definedName name="B2TR_RTP_667D">#REF!</definedName>
    <definedName name="B2TR_RTP_667E">#REF!</definedName>
    <definedName name="B2TR_RTP_667H">#REF!</definedName>
    <definedName name="B2TR_RTP_667J">#REF!</definedName>
    <definedName name="B2TR_RTP_667K">#REF!</definedName>
    <definedName name="B2TR_RTP_667N">#REF!</definedName>
    <definedName name="B2TR_RTP_667P">#REF!</definedName>
    <definedName name="B2TR_RTP_667R">#REF!</definedName>
    <definedName name="B2TR_RTP_667S">#REF!</definedName>
    <definedName name="B2TR_RTP_667T">#REF!</definedName>
    <definedName name="B2TR_RTP_667U">#REF!</definedName>
    <definedName name="B2TR_RTP_667V">#REF!</definedName>
    <definedName name="B2TR_RTP_667W">#REF!</definedName>
    <definedName name="B2TR_RTP_667Y">#REF!</definedName>
    <definedName name="B2TR_RTP_667Z">#REF!</definedName>
    <definedName name="B2TR_RTP_668B">#REF!</definedName>
    <definedName name="B2TR_RTP_668D">#REF!</definedName>
    <definedName name="B2TR_RTP_668E">#REF!</definedName>
    <definedName name="B2TR_RTP_668F">#REF!</definedName>
    <definedName name="B2TR_RTP_668G">#REF!</definedName>
    <definedName name="B2TR_RTP_668H">#REF!</definedName>
    <definedName name="B2TR_RTP_668I">#REF!</definedName>
    <definedName name="B2TR_RTP_668J">#REF!</definedName>
    <definedName name="B2TR_RTP_668O">#REF!</definedName>
    <definedName name="B2TR_RTP_668P">#REF!</definedName>
    <definedName name="B2TR_RTP_668T">#REF!</definedName>
    <definedName name="B2TR_RTP_668U">#REF!</definedName>
    <definedName name="B2TR_RTP_668V">#REF!</definedName>
    <definedName name="B2TR_RTP_669A">#REF!</definedName>
    <definedName name="B2TR_RTP_669H">#REF!</definedName>
    <definedName name="B2TR_RTP_669I">#REF!</definedName>
    <definedName name="B2TR_RTP_669J">#REF!</definedName>
    <definedName name="B2TR_RTP_669K">#REF!</definedName>
    <definedName name="B2TR_RTP_669O">#REF!</definedName>
    <definedName name="B2TR_RTP_669R">#REF!</definedName>
    <definedName name="B2TR_RTP_669S">#REF!</definedName>
    <definedName name="B2TR_RTP_669T">#REF!</definedName>
    <definedName name="B2TR_RTP_669U">#REF!</definedName>
    <definedName name="B2TR_RTP_669W">#REF!</definedName>
    <definedName name="B2TR_RTP_669X">#REF!</definedName>
    <definedName name="B2TR_RTP_669Y">#REF!</definedName>
    <definedName name="B2TR_RTP_669Z">#REF!</definedName>
    <definedName name="B2TR_RTP_670D">#REF!</definedName>
    <definedName name="B2TR_RTP_670F">#REF!</definedName>
    <definedName name="B2TR_RTP_670H">#REF!</definedName>
    <definedName name="B2TR_RTP_670I">#REF!</definedName>
    <definedName name="B2TR_RTP_670N">#REF!</definedName>
    <definedName name="B2TR_RTP_670O">#REF!</definedName>
    <definedName name="B2TR_RTP_670P">#REF!</definedName>
    <definedName name="B2TR_RTP_670Q">#REF!</definedName>
    <definedName name="B2TR_RTP_670S">#REF!</definedName>
    <definedName name="B2TR_RTP_670W">#REF!</definedName>
    <definedName name="B2TR_RTP_670X">#REF!</definedName>
    <definedName name="B2TR_RTP_670Y">#REF!</definedName>
    <definedName name="B2TR_RTP_670Z">#REF!</definedName>
    <definedName name="B2TR_RTP_671A">#REF!</definedName>
    <definedName name="B2TR_RTP_671B">#REF!</definedName>
    <definedName name="B2TR_RTP_671D">#REF!</definedName>
    <definedName name="B2TR_RTP_671F">#REF!</definedName>
    <definedName name="B2TR_RTP_671G">#REF!</definedName>
    <definedName name="B2TR_RTP_671H">#REF!</definedName>
    <definedName name="B2TR_RTP_671I">#REF!</definedName>
    <definedName name="B2TR_RTP_671J">#REF!</definedName>
    <definedName name="B2TR_RTP_671K">#REF!</definedName>
    <definedName name="B2TR_RTP_671L">#REF!</definedName>
    <definedName name="B2TR_RTP_671M">#REF!</definedName>
    <definedName name="B2TR_RTP_671N">#REF!</definedName>
    <definedName name="B2TR_RTP_671O">#REF!</definedName>
    <definedName name="B2TR_RTP_671P">#REF!</definedName>
    <definedName name="B2TR_RTP_671Q">#REF!</definedName>
    <definedName name="B2TR_RTP_671R">#REF!</definedName>
    <definedName name="B2TR_RTP_671S">#REF!</definedName>
    <definedName name="B2TR_RTP_671T">#REF!</definedName>
    <definedName name="B2TR_RTP_671W">#REF!</definedName>
    <definedName name="B2TR_RTP_671Z">#REF!</definedName>
    <definedName name="B2TR_RTP_672G">#REF!</definedName>
    <definedName name="B2TR_RTP_672H">#REF!</definedName>
    <definedName name="B2TR_RTP_672I">#REF!</definedName>
    <definedName name="B2TR_RTP_672M">#REF!</definedName>
    <definedName name="B2TR_RTP_672N">#REF!</definedName>
    <definedName name="B2TR_RTP_672O">#REF!</definedName>
    <definedName name="B2TR_RTP_672P">#REF!</definedName>
    <definedName name="B2TR_RTP_672R">#REF!</definedName>
    <definedName name="B2TR_RTP_672S">#REF!</definedName>
    <definedName name="B2TR_RTP_672T">#REF!</definedName>
    <definedName name="B2TR_RTP_673C">#REF!</definedName>
    <definedName name="B2TR_RTP_673E">#REF!</definedName>
    <definedName name="B2TR_RTP_673F">#REF!</definedName>
    <definedName name="B2TR_RTP_673G">#REF!</definedName>
    <definedName name="B2TR_RTP_673H">#REF!</definedName>
    <definedName name="B2TR_RTP_673I">#REF!</definedName>
    <definedName name="B2TR_RTP_673J">#REF!</definedName>
    <definedName name="B2TR_RTP_673K">#REF!</definedName>
    <definedName name="B2TR_RTP_673M">#REF!</definedName>
    <definedName name="B2TR_RTP_673N">#REF!</definedName>
    <definedName name="B2TR_RTP_673O">#REF!</definedName>
    <definedName name="B2TR_RTP_673R">#REF!</definedName>
    <definedName name="B2TR_RTP_673S">#REF!</definedName>
    <definedName name="B2TR_RTP_673U">#REF!</definedName>
    <definedName name="B2TR_RTP_673V">#REF!</definedName>
    <definedName name="B2TR_RTP_673W">#REF!</definedName>
    <definedName name="B2TR_RTP_673X">#REF!</definedName>
    <definedName name="B2TR_RTP_673Y">#REF!</definedName>
    <definedName name="B2TR_RTP_673Z">#REF!</definedName>
    <definedName name="B2TR_RTP_674A">#REF!</definedName>
    <definedName name="B2TR_RTP_674B">#REF!</definedName>
    <definedName name="B2TR_RTP_674C">#REF!</definedName>
    <definedName name="B2TR_RTP_674D">#REF!</definedName>
    <definedName name="B2TR_RTP_674E">#REF!</definedName>
    <definedName name="B2TR_RTP_674F">#REF!</definedName>
    <definedName name="B2TR_RTP_674G">#REF!</definedName>
    <definedName name="B2TR_RTP_674I">#REF!</definedName>
    <definedName name="B2TR_RTP_674J">#REF!</definedName>
    <definedName name="B2TR_RTP_674M">#REF!</definedName>
    <definedName name="B2TR_RTP_674P">#REF!</definedName>
    <definedName name="B2TR_RTP_674Q">#REF!</definedName>
    <definedName name="B2TR_RTP_674R">#REF!</definedName>
    <definedName name="B2TR_RTP_674S">#REF!</definedName>
    <definedName name="B2TR_RTP_674V">#REF!</definedName>
    <definedName name="B2TR_RTP_674W">#REF!</definedName>
    <definedName name="B2TR_RTP_675A">#REF!</definedName>
    <definedName name="B2TR_RTP_675C">#REF!</definedName>
    <definedName name="B2TR_RTP_675E">#REF!</definedName>
    <definedName name="B2TR_RTP_675F">#REF!</definedName>
    <definedName name="B2TR_RTP_675G">#REF!</definedName>
    <definedName name="B2TR_RTP_675H">#REF!</definedName>
    <definedName name="B2TR_RTP_675I">#REF!</definedName>
    <definedName name="B2TR_RTP_675J">#REF!</definedName>
    <definedName name="B2TR_RTP_675K">#REF!</definedName>
    <definedName name="B2TR_RTP_675L">#REF!</definedName>
    <definedName name="B2TR_RTP_675M">#REF!</definedName>
    <definedName name="B2TR_RTP_675N">#REF!</definedName>
    <definedName name="B2TR_RTP_675O">#REF!</definedName>
    <definedName name="B2TR_RTP_675P">#REF!</definedName>
    <definedName name="B2TR_RTP_675Q">#REF!</definedName>
    <definedName name="B2TR_RTP_675R">#REF!</definedName>
    <definedName name="B2TR_RTP_675S">#REF!</definedName>
    <definedName name="B2TR_RTP_675T">#REF!</definedName>
    <definedName name="B2TR_RTP_675U">#REF!</definedName>
    <definedName name="B2TR_RTP_675V">#REF!</definedName>
    <definedName name="B2TR_RTP_675W">#REF!</definedName>
    <definedName name="B2TR_RTP_675X">#REF!</definedName>
    <definedName name="B2TR_RTP_675Y">#REF!</definedName>
    <definedName name="B2TR_RTP_675Z">#REF!</definedName>
    <definedName name="B2TR_RTP_676A">#REF!</definedName>
    <definedName name="B2TR_RTP_676B">#REF!</definedName>
    <definedName name="B2TR_RTP_676C">#REF!</definedName>
    <definedName name="B2TR_RTP_676D">#REF!</definedName>
    <definedName name="B2TR_RTP_676E">#REF!</definedName>
    <definedName name="B2TR_RTP_676F">#REF!</definedName>
    <definedName name="B2TR_RTP_676G">#REF!</definedName>
    <definedName name="B2TR_RTP_676J">#REF!</definedName>
    <definedName name="B2TR_RTP_690C">#REF!</definedName>
    <definedName name="B2TR_RTP_690D">#REF!</definedName>
    <definedName name="B2TR_RTP_690E">#REF!</definedName>
    <definedName name="B2TR_RTP_690F">#REF!</definedName>
    <definedName name="B2TR_RTP_690G">#REF!</definedName>
    <definedName name="B2TR_RTP_690I">#REF!</definedName>
    <definedName name="B2TR_RTP_690J">#REF!</definedName>
    <definedName name="B2TR_RTP_690K">#REF!</definedName>
    <definedName name="B2TR_RTP_690L">#REF!</definedName>
    <definedName name="B2TR_RTP_700B">#REF!</definedName>
    <definedName name="B2TR_RTP_701A">#REF!</definedName>
    <definedName name="B2TR_RTP_702A">#REF!</definedName>
    <definedName name="B2TR_RTP_710H">#REF!</definedName>
    <definedName name="B2TR_RTP_710Q">#REF!</definedName>
    <definedName name="B2TR_RTP_710Y">#REF!</definedName>
    <definedName name="B2TR_RTP_711N">#REF!</definedName>
    <definedName name="B2TR_RTP_711O">#REF!</definedName>
    <definedName name="B2TR_RTP_711P">#REF!</definedName>
    <definedName name="B2TR_RTP_712K">#REF!</definedName>
    <definedName name="B2TR_RTP_712L">#REF!</definedName>
    <definedName name="B2TR_RTP_712M">#REF!</definedName>
    <definedName name="B2TR_RTP_712N">#REF!</definedName>
    <definedName name="B2TR_RTP_811B">#REF!</definedName>
    <definedName name="B2TR_RTP_811C">#REF!</definedName>
    <definedName name="B2TR_RTP_813B">#REF!</definedName>
    <definedName name="B2TR_RTP_813C">#REF!</definedName>
    <definedName name="B2TR_RTP_841A">#REF!</definedName>
    <definedName name="B2TR_RTP_841B">#REF!</definedName>
    <definedName name="B2TR_RTP_841C">#REF!</definedName>
    <definedName name="B2TR_RTP_842A">#REF!</definedName>
    <definedName name="B2TR_RTP_842B">#REF!</definedName>
    <definedName name="B2TR_RTP_842C">#REF!</definedName>
    <definedName name="B2TR_RTP_843A">#REF!</definedName>
    <definedName name="B2TR_RTP_844A">#REF!</definedName>
    <definedName name="B2TR_RTP_845K">#REF!</definedName>
    <definedName name="B2TR_RTP_846D">#REF!</definedName>
    <definedName name="B2TR_RTP_846E">#REF!</definedName>
    <definedName name="B2TR_RTP_846F">#REF!</definedName>
    <definedName name="B2TR_RTP_846G">#REF!</definedName>
    <definedName name="B2TR_RTP_846H">#REF!</definedName>
    <definedName name="B2TR_RTP_846I">#REF!</definedName>
    <definedName name="B2TR_RTP_850A">#REF!</definedName>
    <definedName name="B2TR_RTP_850C">#REF!</definedName>
    <definedName name="B2TR_RTP_900A">#REF!</definedName>
    <definedName name="B2TR_RTP_900F">#REF!</definedName>
    <definedName name="B2TR_RTP_900H">#REF!</definedName>
    <definedName name="B2TR_RTP_900I">#REF!</definedName>
    <definedName name="B2TR_RTP_900L">#REF!</definedName>
    <definedName name="B2TR_RTP_905A">#REF!</definedName>
    <definedName name="B2TR_RTP_905B">#REF!</definedName>
    <definedName name="B2TR_RTP_905C">#REF!</definedName>
    <definedName name="B2TR_RTP_905U">#REF!</definedName>
    <definedName name="B2TR_RTP_906A">#REF!</definedName>
    <definedName name="B2TR_RTP_906D">#REF!</definedName>
    <definedName name="B2TR_RTP_906F">#REF!</definedName>
    <definedName name="B2TR_RTP_906I">#REF!</definedName>
    <definedName name="B2TR_RTP_906J">#REF!</definedName>
    <definedName name="B2TR_RTP_906K">#REF!</definedName>
    <definedName name="B2TR_RTP_906P">#REF!</definedName>
    <definedName name="B2TR_RTP_906Z">#REF!</definedName>
    <definedName name="B2TR_RTP_908A">#REF!</definedName>
    <definedName name="B2TR_RTP_908B">#REF!</definedName>
    <definedName name="B2TR_RTP_910B">#REF!</definedName>
    <definedName name="B2TR_RTP_910C">#REF!</definedName>
    <definedName name="B2TR_RTP_910D">#REF!</definedName>
    <definedName name="B2TR_RTP_910E">#REF!</definedName>
    <definedName name="B2TR_RTP_910K">#REF!</definedName>
    <definedName name="B2TR_RTP_910M">#REF!</definedName>
    <definedName name="B2TR_RTP_910N">#REF!</definedName>
    <definedName name="B2TR_RTP_910O">#REF!</definedName>
    <definedName name="B2TR_RTP_910Q">#REF!</definedName>
    <definedName name="B2TR_RTP_910S">#REF!</definedName>
    <definedName name="B2TR_RTP_910U">#REF!</definedName>
    <definedName name="B2TR_RTP_910X">#REF!</definedName>
    <definedName name="B2TR_RTP_911I">#REF!</definedName>
    <definedName name="B2TR_RTP_911J">#REF!</definedName>
    <definedName name="B2TR_RTP_911K">#REF!</definedName>
    <definedName name="B2TR_RTP_911L">#REF!</definedName>
    <definedName name="B2TR_RTP_911M">#REF!</definedName>
    <definedName name="B2TR_RTP_911Q">#REF!</definedName>
    <definedName name="B2TR_RTP_911QA">#REF!</definedName>
    <definedName name="B2TR_RTP_911QB">#REF!</definedName>
    <definedName name="B2TR_RTP_911S">#REF!</definedName>
    <definedName name="B2TR_RTP_911V">#REF!</definedName>
    <definedName name="B2TR_RTP_911W">#REF!</definedName>
    <definedName name="B2TR_RTP_911Z">#REF!</definedName>
    <definedName name="B2TR_RTP_912K">#REF!</definedName>
    <definedName name="B2TR_RTP_913A">#REF!</definedName>
    <definedName name="B2TR_RTP_913D">#REF!</definedName>
    <definedName name="B2TR_RTP_913M">#REF!</definedName>
    <definedName name="B2TR_RTP_914A">#REF!</definedName>
    <definedName name="B2TR_RTP_914B">#REF!</definedName>
    <definedName name="B2TR_RTP_914E">#REF!</definedName>
    <definedName name="B2TR_RTP_914F">#REF!</definedName>
    <definedName name="B2TR_RTP_914K">#REF!</definedName>
    <definedName name="B2TR_RTP_914MDSIT">#REF!</definedName>
    <definedName name="B2TR_RTP_920E">#REF!</definedName>
    <definedName name="B2TR_RTP_921A">#REF!</definedName>
    <definedName name="B2TR_RTP_921G">#REF!</definedName>
    <definedName name="B2TR_RTP_930A">#REF!</definedName>
    <definedName name="B2TR_RTP_930E">#REF!</definedName>
    <definedName name="B2TR_RTP_930J">#REF!</definedName>
    <definedName name="B2TR_RTP_930K">#REF!</definedName>
    <definedName name="B2TR_RTP_940A">#REF!</definedName>
    <definedName name="B2TR_RTP_940N">#REF!</definedName>
    <definedName name="B2TR_RTP_940S">#REF!</definedName>
    <definedName name="B2TR_RTP_940X">#REF!</definedName>
    <definedName name="B2TR_RTP_960A">#REF!</definedName>
    <definedName name="B2TR_RTP_980A">#REF!</definedName>
    <definedName name="B2TR_RTP_980B">#REF!</definedName>
    <definedName name="B2TR_RTP_980E">#REF!</definedName>
    <definedName name="B2TR_RTP_980G">#REF!</definedName>
    <definedName name="B2TR_RTP_980J">#REF!</definedName>
    <definedName name="B2TR_RTP_980L">#REF!</definedName>
    <definedName name="B2TR_RTP_985B">#REF!</definedName>
    <definedName name="B2TR_RTP_990B">#REF!</definedName>
    <definedName name="B2TR_RTP_995A">#REF!</definedName>
    <definedName name="B2TR_RTP_999QFIN48">#REF!</definedName>
    <definedName name="B2TR_RTP_FIT">#REF!</definedName>
    <definedName name="B2TR_RTP_INT1">#REF!</definedName>
    <definedName name="B2TR_RTP_M31">#REF!</definedName>
    <definedName name="B2TR_RTP_M32">#REF!</definedName>
    <definedName name="B2TR_RTP_M33">#REF!</definedName>
    <definedName name="B2TR_RTP_NIT">#REF!</definedName>
    <definedName name="B2TR_RTP_SIT">#REF!</definedName>
    <definedName name="B2TR_TR_0001">#REF!</definedName>
    <definedName name="B2TR_TR_0002">#REF!</definedName>
    <definedName name="B2TR_TR_0003">#REF!</definedName>
    <definedName name="B2TR_TR_014A">#REF!</definedName>
    <definedName name="B2TR_TR_014ADSIT">#REF!</definedName>
    <definedName name="B2TR_TR_014C">#REF!</definedName>
    <definedName name="B2TR_TR_014CDSIT">#REF!</definedName>
    <definedName name="B2TR_TR_014VDSIT">#REF!</definedName>
    <definedName name="B2TR_TR_014WDSIT">#REF!</definedName>
    <definedName name="B2TR_TR_210A">#REF!</definedName>
    <definedName name="B2TR_TR_210B">#REF!</definedName>
    <definedName name="B2TR_TR_210E">#REF!</definedName>
    <definedName name="B2TR_TR_211A">#REF!</definedName>
    <definedName name="B2TR_TR_220A">#REF!</definedName>
    <definedName name="B2TR_TR_220E">#REF!</definedName>
    <definedName name="B2TR_TR_230A">#REF!</definedName>
    <definedName name="B2TR_TR_230B">#REF!</definedName>
    <definedName name="B2TR_TR_230G">#REF!</definedName>
    <definedName name="B2TR_TR_230I">#REF!</definedName>
    <definedName name="B2TR_TR_230J">#REF!</definedName>
    <definedName name="B2TR_TR_230K">#REF!</definedName>
    <definedName name="B2TR_TR_230X">#REF!</definedName>
    <definedName name="B2TR_TR_232A">#REF!</definedName>
    <definedName name="B2TR_TR_232C">#REF!</definedName>
    <definedName name="B2TR_TR_232K">#REF!</definedName>
    <definedName name="B2TR_TR_232M">#REF!</definedName>
    <definedName name="B2TR_TR_234F">#REF!</definedName>
    <definedName name="B2TR_TR_234Q">#REF!</definedName>
    <definedName name="B2TR_TR_280A">#REF!</definedName>
    <definedName name="B2TR_TR_280D">#REF!</definedName>
    <definedName name="B2TR_TR_280E">#REF!</definedName>
    <definedName name="B2TR_TR_280F">#REF!</definedName>
    <definedName name="B2TR_TR_280H">#REF!</definedName>
    <definedName name="B2TR_TR_280J">#REF!</definedName>
    <definedName name="B2TR_TR_280Y">#REF!</definedName>
    <definedName name="B2TR_TR_282A">#REF!</definedName>
    <definedName name="B2TR_TR_282B">#REF!</definedName>
    <definedName name="B2TR_TR_295A">#REF!</definedName>
    <definedName name="B2TR_TR_295D">#REF!</definedName>
    <definedName name="B2TR_TR_310A">#REF!</definedName>
    <definedName name="B2TR_TR_310D">#REF!</definedName>
    <definedName name="B2TR_TR_310E">#REF!</definedName>
    <definedName name="B2TR_TR_320A">#REF!</definedName>
    <definedName name="B2TR_TR_320D">#REF!</definedName>
    <definedName name="B2TR_TR_320I">#REF!</definedName>
    <definedName name="B2TR_TR_320L">#REF!</definedName>
    <definedName name="B2TR_TR_320S">#REF!</definedName>
    <definedName name="B2TR_TR_320U">#REF!</definedName>
    <definedName name="B2TR_TR_330D">#REF!</definedName>
    <definedName name="B2TR_TR_345A">#REF!</definedName>
    <definedName name="B2TR_TR_345B">#REF!</definedName>
    <definedName name="B2TR_TR_350A">#REF!</definedName>
    <definedName name="B2TR_TR_360A">#REF!</definedName>
    <definedName name="B2TR_TR_380F">#REF!</definedName>
    <definedName name="B2TR_TR_380J">#REF!</definedName>
    <definedName name="B2TR_TR_390A">#REF!</definedName>
    <definedName name="B2TR_TR_390C">#REF!</definedName>
    <definedName name="B2TR_TR_390D">#REF!</definedName>
    <definedName name="B2TR_TR_390E">#REF!</definedName>
    <definedName name="B2TR_TR_390F">#REF!</definedName>
    <definedName name="B2TR_TR_410A">#REF!</definedName>
    <definedName name="B2TR_TR_430I">#REF!</definedName>
    <definedName name="B2TR_TR_430J">#REF!</definedName>
    <definedName name="B2TR_TR_432A">#REF!</definedName>
    <definedName name="B2TR_TR_432C">#REF!</definedName>
    <definedName name="B2TR_TR_432D">#REF!</definedName>
    <definedName name="B2TR_TR_432G">#REF!</definedName>
    <definedName name="B2TR_TR_432I">#REF!</definedName>
    <definedName name="B2TR_TR_432M">#REF!</definedName>
    <definedName name="B2TR_TR_433A">#REF!</definedName>
    <definedName name="B2TR_TR_433C">#REF!</definedName>
    <definedName name="B2TR_TR_433D">#REF!</definedName>
    <definedName name="B2TR_TR_433F">#REF!</definedName>
    <definedName name="B2TR_TR_460A">#REF!</definedName>
    <definedName name="B2TR_TR_510B">#REF!</definedName>
    <definedName name="B2TR_TR_510H">#REF!</definedName>
    <definedName name="B2TR_TR_510I">#REF!</definedName>
    <definedName name="B2TR_TR_510M">#REF!</definedName>
    <definedName name="B2TR_TR_520A">#REF!</definedName>
    <definedName name="B2TR_TR_520X">#REF!</definedName>
    <definedName name="B2TR_TR_520Y">#REF!</definedName>
    <definedName name="B2TR_TR_531A">#REF!</definedName>
    <definedName name="B2TR_TR_531B">#REF!</definedName>
    <definedName name="B2TR_TR_531H">#REF!</definedName>
    <definedName name="B2TR_TR_532A">#REF!</definedName>
    <definedName name="B2TR_TR_532C">#REF!</definedName>
    <definedName name="B2TR_TR_532D">#REF!</definedName>
    <definedName name="B2TR_TR_532E">#REF!</definedName>
    <definedName name="B2TR_TR_532F">#REF!</definedName>
    <definedName name="B2TR_TR_532G">#REF!</definedName>
    <definedName name="B2TR_TR_532H">#REF!</definedName>
    <definedName name="B2TR_TR_533A">#REF!</definedName>
    <definedName name="B2TR_TR_533D">#REF!</definedName>
    <definedName name="B2TR_TR_533E">#REF!</definedName>
    <definedName name="B2TR_TR_533J">#REF!</definedName>
    <definedName name="B2TR_TR_534A">#REF!</definedName>
    <definedName name="B2TR_TR_560D">#REF!</definedName>
    <definedName name="B2TR_TR_560J">#REF!</definedName>
    <definedName name="B2TR_TR_561A">#REF!</definedName>
    <definedName name="B2TR_TR_561D">#REF!</definedName>
    <definedName name="B2TR_TR_561I">#REF!</definedName>
    <definedName name="B2TR_TR_561J">#REF!</definedName>
    <definedName name="B2TR_TR_562B">#REF!</definedName>
    <definedName name="B2TR_TR_562H">#REF!</definedName>
    <definedName name="B2TR_TR_575E">#REF!</definedName>
    <definedName name="B2TR_TR_575G">#REF!</definedName>
    <definedName name="B2TR_TR_576e">#REF!</definedName>
    <definedName name="B2TR_TR_576F">#REF!</definedName>
    <definedName name="B2TR_TR_601E">#REF!</definedName>
    <definedName name="B2TR_TR_601G">#REF!</definedName>
    <definedName name="B2TR_TR_601T">#REF!</definedName>
    <definedName name="B2TR_TR_602A">#REF!</definedName>
    <definedName name="B2TR_TR_603A">#REF!</definedName>
    <definedName name="B2TR_TR_603G">#REF!</definedName>
    <definedName name="B2TR_TR_605B">#REF!</definedName>
    <definedName name="B2TR_TR_605C">#REF!</definedName>
    <definedName name="B2TR_TR_605E">#REF!</definedName>
    <definedName name="B2TR_TR_605F">#REF!</definedName>
    <definedName name="B2TR_TR_605I">#REF!</definedName>
    <definedName name="B2TR_TR_605K">#REF!</definedName>
    <definedName name="B2TR_TR_605O">#REF!</definedName>
    <definedName name="B2TR_TR_605P">#REF!</definedName>
    <definedName name="B2TR_TR_605T">#REF!</definedName>
    <definedName name="B2TR_TR_605V">#REF!</definedName>
    <definedName name="B2TR_TR_605W">#REF!</definedName>
    <definedName name="B2TR_TR_609E">#REF!</definedName>
    <definedName name="B2TR_TR_610A">#REF!</definedName>
    <definedName name="B2TR_TR_610U">#REF!</definedName>
    <definedName name="B2TR_TR_610V">#REF!</definedName>
    <definedName name="B2TR_TR_611E">#REF!</definedName>
    <definedName name="B2TR_TR_611G">#REF!</definedName>
    <definedName name="B2TR_TR_611M">#REF!</definedName>
    <definedName name="B2TR_TR_611S">#REF!</definedName>
    <definedName name="B2TR_TR_611U">#REF!</definedName>
    <definedName name="B2TR_TR_611Y">#REF!</definedName>
    <definedName name="B2TR_TR_612H">#REF!</definedName>
    <definedName name="B2TR_TR_612Y">#REF!</definedName>
    <definedName name="B2TR_TR_613B">#REF!</definedName>
    <definedName name="B2TR_TR_613C">#REF!</definedName>
    <definedName name="B2TR_TR_613E">#REF!</definedName>
    <definedName name="B2TR_TR_613F">#REF!</definedName>
    <definedName name="B2TR_TR_613I">#REF!</definedName>
    <definedName name="B2TR_TR_613K">#REF!</definedName>
    <definedName name="B2TR_TR_613L">#REF!</definedName>
    <definedName name="B2TR_TR_613N">#REF!</definedName>
    <definedName name="B2TR_TR_613O">#REF!</definedName>
    <definedName name="B2TR_TR_613R">#REF!</definedName>
    <definedName name="B2TR_TR_613S">#REF!</definedName>
    <definedName name="B2TR_TR_613U">#REF!</definedName>
    <definedName name="B2TR_TR_613Y">#REF!</definedName>
    <definedName name="B2TR_TR_614I">#REF!</definedName>
    <definedName name="B2TR_TR_614W">#REF!</definedName>
    <definedName name="B2TR_TR_614Y">#REF!</definedName>
    <definedName name="B2TR_TR_614Z">#REF!</definedName>
    <definedName name="B2TR_TR_615B">#REF!</definedName>
    <definedName name="B2TR_TR_615C">#REF!</definedName>
    <definedName name="B2TR_TR_615Q">#REF!</definedName>
    <definedName name="B2TR_TR_615R">#REF!</definedName>
    <definedName name="B2TR_TR_615T">#REF!</definedName>
    <definedName name="B2TR_TR_615Z">#REF!</definedName>
    <definedName name="B2TR_TR_616A">#REF!</definedName>
    <definedName name="B2TR_TR_620A">#REF!</definedName>
    <definedName name="B2TR_TR_620C">#REF!</definedName>
    <definedName name="B2TR_TR_625A">#REF!</definedName>
    <definedName name="B2TR_TR_625B">#REF!</definedName>
    <definedName name="B2TR_TR_629X">#REF!</definedName>
    <definedName name="B2TR_TR_630A">#REF!</definedName>
    <definedName name="B2TR_TR_630E">#REF!</definedName>
    <definedName name="B2TR_TR_630F">#REF!</definedName>
    <definedName name="B2TR_TR_630G">#REF!</definedName>
    <definedName name="B2TR_TR_630J">#REF!</definedName>
    <definedName name="B2TR_TR_630M">#REF!</definedName>
    <definedName name="B2TR_TR_630T">#REF!</definedName>
    <definedName name="B2TR_TR_630X">#REF!</definedName>
    <definedName name="B2TR_TR_630Y">#REF!</definedName>
    <definedName name="B2TR_TR_631C">#REF!</definedName>
    <definedName name="B2TR_TR_631D">#REF!</definedName>
    <definedName name="B2TR_TR_631E">#REF!</definedName>
    <definedName name="B2TR_TR_631F">#REF!</definedName>
    <definedName name="B2TR_TR_631G">#REF!</definedName>
    <definedName name="B2TR_TR_631H">#REF!</definedName>
    <definedName name="B2TR_TR_631I">#REF!</definedName>
    <definedName name="B2TR_TR_631J">#REF!</definedName>
    <definedName name="B2TR_TR_631S">#REF!</definedName>
    <definedName name="B2TR_TR_631U">#REF!</definedName>
    <definedName name="B2TR_TR_632G">#REF!</definedName>
    <definedName name="B2TR_TR_632O">#REF!</definedName>
    <definedName name="B2TR_TR_632P">#REF!</definedName>
    <definedName name="B2TR_TR_632U">#REF!</definedName>
    <definedName name="B2TR_TR_632Y">#REF!</definedName>
    <definedName name="B2TR_TR_633A">#REF!</definedName>
    <definedName name="B2TR_TR_635C">#REF!</definedName>
    <definedName name="B2TR_TR_638A">#REF!</definedName>
    <definedName name="B2TR_TR_638C">#REF!</definedName>
    <definedName name="B2TR_TR_641I">#REF!</definedName>
    <definedName name="B2TR_TR_641X">#REF!</definedName>
    <definedName name="B2TR_TR_641Y">#REF!</definedName>
    <definedName name="B2TR_TR_642B">#REF!</definedName>
    <definedName name="B2TR_TR_642C">#REF!</definedName>
    <definedName name="B2TR_TR_651C">#REF!</definedName>
    <definedName name="B2TR_TR_651F">#REF!</definedName>
    <definedName name="B2TR_TR_651H">#REF!</definedName>
    <definedName name="B2TR_TR_651I">#REF!</definedName>
    <definedName name="B2TR_TR_651J">#REF!</definedName>
    <definedName name="B2TR_TR_651K">#REF!</definedName>
    <definedName name="B2TR_TR_651M">#REF!</definedName>
    <definedName name="B2TR_TR_651O">#REF!</definedName>
    <definedName name="B2TR_TR_651Q">#REF!</definedName>
    <definedName name="B2TR_TR_651R">#REF!</definedName>
    <definedName name="B2TR_TR_651S">#REF!</definedName>
    <definedName name="B2TR_TR_651T">#REF!</definedName>
    <definedName name="B2TR_TR_651U">#REF!</definedName>
    <definedName name="B2TR_TR_651W">#REF!</definedName>
    <definedName name="B2TR_TR_651X">#REF!</definedName>
    <definedName name="B2TR_TR_651Y">#REF!</definedName>
    <definedName name="B2TR_TR_651Z">#REF!</definedName>
    <definedName name="B2TR_TR_652G">#REF!</definedName>
    <definedName name="B2TR_TR_653A">#REF!</definedName>
    <definedName name="B2TR_TR_659B">#REF!</definedName>
    <definedName name="B2TR_TR_660A">#REF!</definedName>
    <definedName name="B2TR_TR_660F">#REF!</definedName>
    <definedName name="B2TR_TR_660G">#REF!</definedName>
    <definedName name="B2TR_TR_660K">#REF!</definedName>
    <definedName name="B2TR_TR_660O">#REF!</definedName>
    <definedName name="B2TR_TR_660R">#REF!</definedName>
    <definedName name="B2TR_TR_660Z">#REF!</definedName>
    <definedName name="B2TR_TR_661B">#REF!</definedName>
    <definedName name="B2TR_TR_661R">#REF!</definedName>
    <definedName name="B2TR_TR_661S">#REF!</definedName>
    <definedName name="B2TR_TR_661T">#REF!</definedName>
    <definedName name="B2TR_TR_661U">#REF!</definedName>
    <definedName name="B2TR_TR_661V">#REF!</definedName>
    <definedName name="B2TR_TR_661X">#REF!</definedName>
    <definedName name="B2TR_TR_661Y">#REF!</definedName>
    <definedName name="B2TR_TR_662A">#REF!</definedName>
    <definedName name="B2TR_TR_662D">#REF!</definedName>
    <definedName name="B2TR_TR_663F">#REF!</definedName>
    <definedName name="B2TR_TR_663G">#REF!</definedName>
    <definedName name="B2TR_TR_663N">#REF!</definedName>
    <definedName name="B2TR_TR_663O">#REF!</definedName>
    <definedName name="B2TR_TR_663T">#REF!</definedName>
    <definedName name="B2TR_TR_663X">#REF!</definedName>
    <definedName name="B2TR_TR_664A">#REF!</definedName>
    <definedName name="B2TR_TR_664B">#REF!</definedName>
    <definedName name="B2TR_TR_664F">#REF!</definedName>
    <definedName name="B2TR_TR_664N">#REF!</definedName>
    <definedName name="B2TR_TR_664P">#REF!</definedName>
    <definedName name="B2TR_TR_664Q">#REF!</definedName>
    <definedName name="B2TR_TR_664R">#REF!</definedName>
    <definedName name="B2TR_TR_664V">#REF!</definedName>
    <definedName name="B2TR_TR_665D">#REF!</definedName>
    <definedName name="B2TR_TR_665G">#REF!</definedName>
    <definedName name="B2TR_TR_665I">#REF!</definedName>
    <definedName name="B2TR_TR_665J">#REF!</definedName>
    <definedName name="B2TR_TR_665N">#REF!</definedName>
    <definedName name="B2TR_TR_665V">#REF!</definedName>
    <definedName name="B2TR_TR_665X">#REF!</definedName>
    <definedName name="B2TR_TR_667C">#REF!</definedName>
    <definedName name="B2TR_TR_667D">#REF!</definedName>
    <definedName name="B2TR_TR_667E">#REF!</definedName>
    <definedName name="B2TR_TR_667H">#REF!</definedName>
    <definedName name="B2TR_TR_667J">#REF!</definedName>
    <definedName name="B2TR_TR_667K">#REF!</definedName>
    <definedName name="B2TR_TR_667N">#REF!</definedName>
    <definedName name="B2TR_TR_667P">#REF!</definedName>
    <definedName name="B2TR_TR_667R">#REF!</definedName>
    <definedName name="B2TR_TR_667S">#REF!</definedName>
    <definedName name="B2TR_TR_667T">#REF!</definedName>
    <definedName name="B2TR_TR_667U">#REF!</definedName>
    <definedName name="B2TR_TR_667V">#REF!</definedName>
    <definedName name="B2TR_TR_667W">#REF!</definedName>
    <definedName name="B2TR_TR_667Y">#REF!</definedName>
    <definedName name="B2TR_TR_667Z">#REF!</definedName>
    <definedName name="B2TR_TR_668B">#REF!</definedName>
    <definedName name="B2TR_TR_668D">#REF!</definedName>
    <definedName name="B2TR_TR_668E">#REF!</definedName>
    <definedName name="B2TR_TR_668F">#REF!</definedName>
    <definedName name="B2TR_TR_668G">#REF!</definedName>
    <definedName name="B2TR_TR_668H">#REF!</definedName>
    <definedName name="B2TR_TR_668I">#REF!</definedName>
    <definedName name="B2TR_TR_668J">#REF!</definedName>
    <definedName name="B2TR_TR_668O">#REF!</definedName>
    <definedName name="B2TR_TR_668P">#REF!</definedName>
    <definedName name="B2TR_TR_668T">#REF!</definedName>
    <definedName name="B2TR_TR_668U">#REF!</definedName>
    <definedName name="B2TR_TR_668V">#REF!</definedName>
    <definedName name="B2TR_TR_669A">#REF!</definedName>
    <definedName name="B2TR_TR_669H">#REF!</definedName>
    <definedName name="B2TR_TR_669I">#REF!</definedName>
    <definedName name="B2TR_TR_669J">#REF!</definedName>
    <definedName name="B2TR_TR_669K">#REF!</definedName>
    <definedName name="B2TR_TR_669O">#REF!</definedName>
    <definedName name="B2TR_TR_669R">#REF!</definedName>
    <definedName name="B2TR_TR_669S">#REF!</definedName>
    <definedName name="B2TR_TR_669T">#REF!</definedName>
    <definedName name="B2TR_TR_669U">#REF!</definedName>
    <definedName name="B2TR_TR_669W">#REF!</definedName>
    <definedName name="B2TR_TR_669X">#REF!</definedName>
    <definedName name="B2TR_TR_669Y">#REF!</definedName>
    <definedName name="B2TR_TR_669Z">#REF!</definedName>
    <definedName name="B2TR_TR_670D">#REF!</definedName>
    <definedName name="B2TR_TR_670F">#REF!</definedName>
    <definedName name="B2TR_TR_670H">#REF!</definedName>
    <definedName name="B2TR_TR_670I">#REF!</definedName>
    <definedName name="B2TR_TR_670N">#REF!</definedName>
    <definedName name="B2TR_TR_670O">#REF!</definedName>
    <definedName name="B2TR_TR_670P">#REF!</definedName>
    <definedName name="B2TR_TR_670Q">#REF!</definedName>
    <definedName name="B2TR_TR_670S">#REF!</definedName>
    <definedName name="B2TR_TR_670W">#REF!</definedName>
    <definedName name="B2TR_TR_670X">#REF!</definedName>
    <definedName name="B2TR_TR_670Y">#REF!</definedName>
    <definedName name="B2TR_TR_670Z">#REF!</definedName>
    <definedName name="B2TR_TR_671A">#REF!</definedName>
    <definedName name="B2TR_TR_671B">#REF!</definedName>
    <definedName name="B2TR_TR_671D">#REF!</definedName>
    <definedName name="B2TR_TR_671F">#REF!</definedName>
    <definedName name="B2TR_TR_671G">#REF!</definedName>
    <definedName name="B2TR_TR_671H">#REF!</definedName>
    <definedName name="B2TR_TR_671I">#REF!</definedName>
    <definedName name="B2TR_TR_671J">#REF!</definedName>
    <definedName name="B2TR_TR_671K">#REF!</definedName>
    <definedName name="B2TR_TR_671L">#REF!</definedName>
    <definedName name="B2TR_TR_671M">#REF!</definedName>
    <definedName name="B2TR_TR_671N">#REF!</definedName>
    <definedName name="B2TR_TR_671O">#REF!</definedName>
    <definedName name="B2TR_TR_671P">#REF!</definedName>
    <definedName name="B2TR_TR_671Q">#REF!</definedName>
    <definedName name="B2TR_TR_671R">#REF!</definedName>
    <definedName name="B2TR_TR_671S">#REF!</definedName>
    <definedName name="B2TR_TR_671T">#REF!</definedName>
    <definedName name="B2TR_TR_671W">#REF!</definedName>
    <definedName name="B2TR_TR_671Z">#REF!</definedName>
    <definedName name="B2TR_TR_672G">#REF!</definedName>
    <definedName name="B2TR_TR_672H">#REF!</definedName>
    <definedName name="B2TR_TR_672I">#REF!</definedName>
    <definedName name="B2TR_TR_672M">#REF!</definedName>
    <definedName name="B2TR_TR_672N">#REF!</definedName>
    <definedName name="B2TR_TR_672O">#REF!</definedName>
    <definedName name="B2TR_TR_672P">#REF!</definedName>
    <definedName name="B2TR_TR_672R">#REF!</definedName>
    <definedName name="B2TR_TR_672S">#REF!</definedName>
    <definedName name="B2TR_TR_672T">#REF!</definedName>
    <definedName name="B2TR_TR_673C">#REF!</definedName>
    <definedName name="B2TR_TR_673E">#REF!</definedName>
    <definedName name="B2TR_TR_673F">#REF!</definedName>
    <definedName name="B2TR_TR_673G">#REF!</definedName>
    <definedName name="B2TR_TR_673H">#REF!</definedName>
    <definedName name="B2TR_TR_673I">#REF!</definedName>
    <definedName name="B2TR_TR_673J">#REF!</definedName>
    <definedName name="B2TR_TR_673K">#REF!</definedName>
    <definedName name="B2TR_TR_673M">#REF!</definedName>
    <definedName name="B2TR_TR_673N">#REF!</definedName>
    <definedName name="B2TR_TR_673O">#REF!</definedName>
    <definedName name="B2TR_TR_673R">#REF!</definedName>
    <definedName name="B2TR_TR_673S">#REF!</definedName>
    <definedName name="B2TR_TR_673U">#REF!</definedName>
    <definedName name="B2TR_TR_673V">#REF!</definedName>
    <definedName name="B2TR_TR_673W">#REF!</definedName>
    <definedName name="B2TR_TR_673X">#REF!</definedName>
    <definedName name="B2TR_TR_673Y">#REF!</definedName>
    <definedName name="B2TR_TR_673Z">#REF!</definedName>
    <definedName name="B2TR_TR_674A">#REF!</definedName>
    <definedName name="B2TR_TR_674B">#REF!</definedName>
    <definedName name="B2TR_TR_674C">#REF!</definedName>
    <definedName name="B2TR_TR_674D">#REF!</definedName>
    <definedName name="B2TR_TR_674E">#REF!</definedName>
    <definedName name="B2TR_TR_674F">#REF!</definedName>
    <definedName name="B2TR_TR_674G">#REF!</definedName>
    <definedName name="B2TR_TR_674I">#REF!</definedName>
    <definedName name="B2TR_TR_674J">#REF!</definedName>
    <definedName name="B2TR_TR_674M">#REF!</definedName>
    <definedName name="B2TR_TR_674P">#REF!</definedName>
    <definedName name="B2TR_TR_674Q">#REF!</definedName>
    <definedName name="B2TR_TR_674R">#REF!</definedName>
    <definedName name="B2TR_TR_674S">#REF!</definedName>
    <definedName name="B2TR_TR_674V">#REF!</definedName>
    <definedName name="B2TR_TR_674W">#REF!</definedName>
    <definedName name="B2TR_TR_675A">#REF!</definedName>
    <definedName name="B2TR_TR_675C">#REF!</definedName>
    <definedName name="B2TR_TR_675E">#REF!</definedName>
    <definedName name="B2TR_TR_675F">#REF!</definedName>
    <definedName name="B2TR_TR_675G">#REF!</definedName>
    <definedName name="B2TR_TR_675H">#REF!</definedName>
    <definedName name="B2TR_TR_675I">#REF!</definedName>
    <definedName name="B2TR_TR_675J">#REF!</definedName>
    <definedName name="B2TR_TR_675K">#REF!</definedName>
    <definedName name="B2TR_TR_675L">#REF!</definedName>
    <definedName name="B2TR_TR_675M">#REF!</definedName>
    <definedName name="B2TR_TR_675N">#REF!</definedName>
    <definedName name="B2TR_TR_675O">#REF!</definedName>
    <definedName name="B2TR_TR_675P">#REF!</definedName>
    <definedName name="B2TR_TR_675Q">#REF!</definedName>
    <definedName name="B2TR_TR_675R">#REF!</definedName>
    <definedName name="B2TR_TR_675S">#REF!</definedName>
    <definedName name="B2TR_TR_675T">#REF!</definedName>
    <definedName name="B2TR_TR_675U">#REF!</definedName>
    <definedName name="B2TR_TR_675V">#REF!</definedName>
    <definedName name="B2TR_TR_675W">#REF!</definedName>
    <definedName name="B2TR_TR_675X">#REF!</definedName>
    <definedName name="B2TR_TR_675Y">#REF!</definedName>
    <definedName name="B2TR_TR_675Z">#REF!</definedName>
    <definedName name="B2TR_TR_676A">#REF!</definedName>
    <definedName name="B2TR_TR_676B">#REF!</definedName>
    <definedName name="B2TR_TR_676C">#REF!</definedName>
    <definedName name="B2TR_TR_676D">#REF!</definedName>
    <definedName name="B2TR_TR_676E">#REF!</definedName>
    <definedName name="B2TR_TR_676F">#REF!</definedName>
    <definedName name="B2TR_TR_676G">#REF!</definedName>
    <definedName name="B2TR_TR_676J">#REF!</definedName>
    <definedName name="B2TR_TR_690C">#REF!</definedName>
    <definedName name="B2TR_TR_690D">#REF!</definedName>
    <definedName name="B2TR_TR_690E">#REF!</definedName>
    <definedName name="B2TR_TR_690F">#REF!</definedName>
    <definedName name="B2TR_TR_690G">#REF!</definedName>
    <definedName name="B2TR_TR_690I">#REF!</definedName>
    <definedName name="B2TR_TR_690J">#REF!</definedName>
    <definedName name="B2TR_TR_690K">#REF!</definedName>
    <definedName name="B2TR_TR_690L">#REF!</definedName>
    <definedName name="B2TR_TR_700B">#REF!</definedName>
    <definedName name="B2TR_TR_701A">#REF!</definedName>
    <definedName name="B2TR_TR_702A">#REF!</definedName>
    <definedName name="B2TR_TR_710H">#REF!</definedName>
    <definedName name="B2TR_TR_710Q">#REF!</definedName>
    <definedName name="B2TR_TR_710Y">#REF!</definedName>
    <definedName name="B2TR_TR_711N">#REF!</definedName>
    <definedName name="B2TR_TR_711O">#REF!</definedName>
    <definedName name="B2TR_TR_711P">#REF!</definedName>
    <definedName name="B2TR_TR_712K">#REF!</definedName>
    <definedName name="B2TR_TR_712L">#REF!</definedName>
    <definedName name="B2TR_TR_712M">#REF!</definedName>
    <definedName name="B2TR_TR_712n">#REF!</definedName>
    <definedName name="B2TR_TR_811B">#REF!</definedName>
    <definedName name="B2TR_TR_811C">#REF!</definedName>
    <definedName name="B2TR_TR_813B">#REF!</definedName>
    <definedName name="B2TR_TR_813C">#REF!</definedName>
    <definedName name="B2TR_TR_841A">#REF!</definedName>
    <definedName name="B2TR_TR_841B">#REF!</definedName>
    <definedName name="B2TR_TR_841C">#REF!</definedName>
    <definedName name="B2TR_TR_842A">#REF!</definedName>
    <definedName name="B2TR_TR_842B">#REF!</definedName>
    <definedName name="B2TR_TR_842C">#REF!</definedName>
    <definedName name="B2TR_TR_843A">#REF!</definedName>
    <definedName name="B2TR_TR_844A">#REF!</definedName>
    <definedName name="B2TR_TR_845K">#REF!</definedName>
    <definedName name="B2TR_TR_846D">#REF!</definedName>
    <definedName name="B2TR_TR_846E">#REF!</definedName>
    <definedName name="B2TR_TR_846F">#REF!</definedName>
    <definedName name="B2TR_TR_846G">#REF!</definedName>
    <definedName name="B2TR_TR_846H">#REF!</definedName>
    <definedName name="B2TR_TR_846I">#REF!</definedName>
    <definedName name="B2TR_TR_850A">#REF!</definedName>
    <definedName name="B2TR_TR_850C">#REF!</definedName>
    <definedName name="B2TR_TR_900A">#REF!</definedName>
    <definedName name="B2TR_TR_900F">#REF!</definedName>
    <definedName name="B2TR_TR_900H">#REF!</definedName>
    <definedName name="B2TR_TR_900I">#REF!</definedName>
    <definedName name="B2TR_TR_900L">#REF!</definedName>
    <definedName name="B2TR_TR_905A">#REF!</definedName>
    <definedName name="B2TR_TR_905B">#REF!</definedName>
    <definedName name="B2TR_TR_905C">#REF!</definedName>
    <definedName name="B2TR_TR_905U">#REF!</definedName>
    <definedName name="B2TR_TR_906A">#REF!</definedName>
    <definedName name="B2TR_TR_906D">#REF!</definedName>
    <definedName name="B2TR_TR_906F">#REF!</definedName>
    <definedName name="B2TR_TR_906I">#REF!</definedName>
    <definedName name="B2TR_TR_906J">#REF!</definedName>
    <definedName name="B2TR_TR_906K">#REF!</definedName>
    <definedName name="B2TR_TR_906P">#REF!</definedName>
    <definedName name="B2TR_TR_906Z">#REF!</definedName>
    <definedName name="B2TR_TR_908A">#REF!</definedName>
    <definedName name="B2TR_TR_908B">#REF!</definedName>
    <definedName name="B2TR_TR_910B">#REF!</definedName>
    <definedName name="B2TR_TR_910C">#REF!</definedName>
    <definedName name="B2TR_TR_910D">#REF!</definedName>
    <definedName name="B2TR_TR_910E">#REF!</definedName>
    <definedName name="B2TR_TR_910K">#REF!</definedName>
    <definedName name="B2TR_TR_910M">#REF!</definedName>
    <definedName name="B2TR_TR_910N">#REF!</definedName>
    <definedName name="B2TR_TR_910O">#REF!</definedName>
    <definedName name="B2TR_TR_910Q">#REF!</definedName>
    <definedName name="B2TR_TR_910S">#REF!</definedName>
    <definedName name="B2TR_TR_910U">#REF!</definedName>
    <definedName name="B2TR_TR_910X">#REF!</definedName>
    <definedName name="B2TR_TR_911I">#REF!</definedName>
    <definedName name="B2TR_TR_911J">#REF!</definedName>
    <definedName name="B2TR_TR_911K">#REF!</definedName>
    <definedName name="B2TR_TR_911L">#REF!</definedName>
    <definedName name="B2TR_TR_911M">#REF!</definedName>
    <definedName name="B2TR_TR_911Q">#REF!</definedName>
    <definedName name="B2TR_TR_911QA">#REF!</definedName>
    <definedName name="B2TR_TR_911QB">#REF!</definedName>
    <definedName name="B2TR_TR_911S">#REF!</definedName>
    <definedName name="B2TR_TR_911V">#REF!</definedName>
    <definedName name="B2TR_TR_911W">#REF!</definedName>
    <definedName name="B2TR_TR_911Z">#REF!</definedName>
    <definedName name="B2TR_TR_912K">#REF!</definedName>
    <definedName name="B2TR_TR_913A">#REF!</definedName>
    <definedName name="B2TR_TR_913D">#REF!</definedName>
    <definedName name="B2TR_TR_913M">#REF!</definedName>
    <definedName name="B2TR_TR_914A">#REF!</definedName>
    <definedName name="B2TR_TR_914B">#REF!</definedName>
    <definedName name="B2TR_TR_914E">#REF!</definedName>
    <definedName name="B2TR_TR_914F">#REF!</definedName>
    <definedName name="B2TR_TR_914K">#REF!</definedName>
    <definedName name="B2TR_TR_914MDSIT">#REF!</definedName>
    <definedName name="B2TR_TR_920E">#REF!</definedName>
    <definedName name="B2TR_TR_921A">#REF!</definedName>
    <definedName name="B2TR_TR_921G">#REF!</definedName>
    <definedName name="B2TR_TR_930A">#REF!</definedName>
    <definedName name="B2TR_TR_930E">#REF!</definedName>
    <definedName name="B2TR_TR_930J">#REF!</definedName>
    <definedName name="B2TR_TR_930K">#REF!</definedName>
    <definedName name="B2TR_TR_940A">#REF!</definedName>
    <definedName name="B2TR_TR_940N">#REF!</definedName>
    <definedName name="B2TR_TR_940S">#REF!</definedName>
    <definedName name="B2TR_TR_940X">#REF!</definedName>
    <definedName name="B2TR_TR_960A">#REF!</definedName>
    <definedName name="B2TR_TR_980A">#REF!</definedName>
    <definedName name="B2TR_TR_980B">#REF!</definedName>
    <definedName name="B2TR_TR_980E">#REF!</definedName>
    <definedName name="B2TR_TR_980G">#REF!</definedName>
    <definedName name="B2TR_TR_980J">#REF!</definedName>
    <definedName name="B2TR_TR_980L">#REF!</definedName>
    <definedName name="B2TR_TR_985B">#REF!</definedName>
    <definedName name="B2TR_TR_990B">#REF!</definedName>
    <definedName name="B2TR_TR_995A">#REF!</definedName>
    <definedName name="B2TR_TR_999QFIN48">#REF!</definedName>
    <definedName name="B2TR_TR_Credits">#REF!</definedName>
    <definedName name="B2TR_TR_FIT">#REF!</definedName>
    <definedName name="B2TR_TR_INT1">#REF!</definedName>
    <definedName name="B2TR_TR_M31">#REF!</definedName>
    <definedName name="B2TR_TR_M32">#REF!</definedName>
    <definedName name="B2TR_TR_M33">#REF!</definedName>
    <definedName name="B2TR_TR_NIT">#REF!</definedName>
    <definedName name="B2TR_TR_SIT">#REF!</definedName>
    <definedName name="B2TR_YOY_0001">#REF!</definedName>
    <definedName name="B2TR_YOY_0002">#REF!</definedName>
    <definedName name="B2TR_YOY_0003">#REF!</definedName>
    <definedName name="B2TR_YOY_014A">#REF!</definedName>
    <definedName name="B2TR_YOY_014ADSIT">#REF!</definedName>
    <definedName name="B2TR_YOY_014C">#REF!</definedName>
    <definedName name="B2TR_YOY_014CDSIT">#REF!</definedName>
    <definedName name="B2TR_YOY_014VDSIT">#REF!</definedName>
    <definedName name="B2TR_YOY_014WDSIT">#REF!</definedName>
    <definedName name="B2TR_YOY_210A">#REF!</definedName>
    <definedName name="B2TR_YOY_210B">#REF!</definedName>
    <definedName name="B2TR_YOY_210E">#REF!</definedName>
    <definedName name="B2TR_YOY_211A">#REF!</definedName>
    <definedName name="B2TR_YOY_220A">#REF!</definedName>
    <definedName name="B2TR_YOY_220E">#REF!</definedName>
    <definedName name="B2TR_YOY_230A">#REF!</definedName>
    <definedName name="B2TR_YOY_230B">#REF!</definedName>
    <definedName name="B2TR_YOY_230G">#REF!</definedName>
    <definedName name="B2TR_YOY_230I">#REF!</definedName>
    <definedName name="B2TR_YOY_230J">#REF!</definedName>
    <definedName name="B2TR_YOY_230K">#REF!</definedName>
    <definedName name="B2TR_YOY_230X">#REF!</definedName>
    <definedName name="B2TR_YOY_232A">#REF!</definedName>
    <definedName name="B2TR_YOY_232C">#REF!</definedName>
    <definedName name="B2TR_YOY_232K">#REF!</definedName>
    <definedName name="B2TR_YOY_232M">#REF!</definedName>
    <definedName name="B2TR_YOY_234F">#REF!</definedName>
    <definedName name="B2TR_YOY_234Q">#REF!</definedName>
    <definedName name="B2TR_YOY_280A">#REF!</definedName>
    <definedName name="B2TR_YOY_280D">#REF!</definedName>
    <definedName name="B2TR_YOY_280E">#REF!</definedName>
    <definedName name="B2TR_YOY_280F">#REF!</definedName>
    <definedName name="B2TR_YOY_280H">#REF!</definedName>
    <definedName name="B2TR_YOY_280J">#REF!</definedName>
    <definedName name="B2TR_YOY_280Y">#REF!</definedName>
    <definedName name="B2TR_YOY_282A">#REF!</definedName>
    <definedName name="B2TR_YOY_282B">#REF!</definedName>
    <definedName name="B2TR_YOY_295A">#REF!</definedName>
    <definedName name="B2TR_YOY_295D">#REF!</definedName>
    <definedName name="B2TR_YOY_310A">#REF!</definedName>
    <definedName name="B2TR_YOY_310D">#REF!</definedName>
    <definedName name="B2TR_YOY_310E">#REF!</definedName>
    <definedName name="B2TR_YOY_320A">#REF!</definedName>
    <definedName name="B2TR_YOY_320D">#REF!</definedName>
    <definedName name="B2TR_YOY_320I">#REF!</definedName>
    <definedName name="B2TR_YOY_320L">#REF!</definedName>
    <definedName name="B2TR_YOY_320S">#REF!</definedName>
    <definedName name="B2TR_YOY_320U">#REF!</definedName>
    <definedName name="B2TR_YOY_330D">#REF!</definedName>
    <definedName name="B2TR_YOY_345A">#REF!</definedName>
    <definedName name="B2TR_YOY_345B">#REF!</definedName>
    <definedName name="B2TR_YOY_350A">#REF!</definedName>
    <definedName name="B2TR_YOY_360A">#REF!</definedName>
    <definedName name="B2TR_YOY_380F">#REF!</definedName>
    <definedName name="B2TR_YOY_380J">#REF!</definedName>
    <definedName name="B2TR_YOY_390A">#REF!</definedName>
    <definedName name="B2TR_YOY_390C">#REF!</definedName>
    <definedName name="B2TR_YOY_390D">#REF!</definedName>
    <definedName name="B2TR_YOY_390E">#REF!</definedName>
    <definedName name="B2TR_YOY_390F">#REF!</definedName>
    <definedName name="B2TR_YOY_410A">#REF!</definedName>
    <definedName name="B2TR_YOY_430I">#REF!</definedName>
    <definedName name="B2TR_YOY_430J">#REF!</definedName>
    <definedName name="B2TR_YOY_432A">#REF!</definedName>
    <definedName name="B2TR_YOY_432C">#REF!</definedName>
    <definedName name="B2TR_YOY_432D">#REF!</definedName>
    <definedName name="B2TR_YOY_432G">#REF!</definedName>
    <definedName name="B2TR_YOY_432I">#REF!</definedName>
    <definedName name="B2TR_YOY_432M">#REF!</definedName>
    <definedName name="B2TR_YOY_433A">#REF!</definedName>
    <definedName name="B2TR_YOY_433C">#REF!</definedName>
    <definedName name="B2TR_YOY_433D">#REF!</definedName>
    <definedName name="B2TR_YOY_433F">#REF!</definedName>
    <definedName name="B2TR_YOY_460A">#REF!</definedName>
    <definedName name="B2TR_YOY_510B">#REF!</definedName>
    <definedName name="B2TR_YOY_510H">#REF!</definedName>
    <definedName name="B2TR_YOY_510I">#REF!</definedName>
    <definedName name="B2TR_YOY_510M">#REF!</definedName>
    <definedName name="B2TR_YOY_520A">#REF!</definedName>
    <definedName name="B2TR_YOY_520X">#REF!</definedName>
    <definedName name="B2TR_YOY_520Y">#REF!</definedName>
    <definedName name="B2TR_YOY_531A">#REF!</definedName>
    <definedName name="B2TR_YOY_531B">#REF!</definedName>
    <definedName name="B2TR_YOY_531H">#REF!</definedName>
    <definedName name="B2TR_YOY_532A">#REF!</definedName>
    <definedName name="B2TR_YOY_532C">#REF!</definedName>
    <definedName name="B2TR_YOY_532D">#REF!</definedName>
    <definedName name="B2TR_YOY_532E">#REF!</definedName>
    <definedName name="B2TR_YOY_532F">#REF!</definedName>
    <definedName name="B2TR_YOY_532G">#REF!</definedName>
    <definedName name="B2TR_YOY_532H">#REF!</definedName>
    <definedName name="B2TR_YOY_533A">#REF!</definedName>
    <definedName name="B2TR_YOY_533D">#REF!</definedName>
    <definedName name="B2TR_YOY_533E">#REF!</definedName>
    <definedName name="B2TR_YOY_533J">#REF!</definedName>
    <definedName name="B2TR_YOY_534A">#REF!</definedName>
    <definedName name="B2TR_YOY_560D">#REF!</definedName>
    <definedName name="B2TR_YOY_560J">#REF!</definedName>
    <definedName name="B2TR_YOY_561A">#REF!</definedName>
    <definedName name="B2TR_YOY_561D">#REF!</definedName>
    <definedName name="B2TR_YOY_561I">#REF!</definedName>
    <definedName name="B2TR_YOY_561J">#REF!</definedName>
    <definedName name="B2TR_YOY_562B">#REF!</definedName>
    <definedName name="B2TR_YOY_562H">#REF!</definedName>
    <definedName name="B2TR_YOY_575E">#REF!</definedName>
    <definedName name="B2TR_YOY_575G">#REF!</definedName>
    <definedName name="B2TR_YOY_576e">#REF!</definedName>
    <definedName name="B2TR_YOY_576F">#REF!</definedName>
    <definedName name="B2TR_YOY_601E">#REF!</definedName>
    <definedName name="B2TR_YOY_601G">#REF!</definedName>
    <definedName name="B2TR_YOY_601T">#REF!</definedName>
    <definedName name="B2TR_YOY_602A">#REF!</definedName>
    <definedName name="B2TR_YOY_603A">#REF!</definedName>
    <definedName name="B2TR_YOY_603G">#REF!</definedName>
    <definedName name="B2TR_YOY_605B">#REF!</definedName>
    <definedName name="B2TR_YOY_605C">#REF!</definedName>
    <definedName name="B2TR_YOY_605E">#REF!</definedName>
    <definedName name="B2TR_YOY_605F">#REF!</definedName>
    <definedName name="B2TR_YOY_605I">#REF!</definedName>
    <definedName name="B2TR_YOY_605K">#REF!</definedName>
    <definedName name="B2TR_YOY_605O">#REF!</definedName>
    <definedName name="B2TR_YOY_605P">#REF!</definedName>
    <definedName name="B2TR_YOY_605T">#REF!</definedName>
    <definedName name="B2TR_YOY_605V">#REF!</definedName>
    <definedName name="B2TR_YOY_605W">#REF!</definedName>
    <definedName name="B2TR_YOY_609E">#REF!</definedName>
    <definedName name="B2TR_YOY_610A">#REF!</definedName>
    <definedName name="B2TR_YOY_610U">#REF!</definedName>
    <definedName name="B2TR_YOY_610V">#REF!</definedName>
    <definedName name="B2TR_YOY_611E">#REF!</definedName>
    <definedName name="B2TR_YOY_611G">#REF!</definedName>
    <definedName name="B2TR_YOY_611M">#REF!</definedName>
    <definedName name="B2TR_YOY_611S">#REF!</definedName>
    <definedName name="B2TR_YOY_611U">#REF!</definedName>
    <definedName name="B2TR_YOY_611Y">#REF!</definedName>
    <definedName name="B2TR_YOY_612H">#REF!</definedName>
    <definedName name="B2TR_YOY_612Y">#REF!</definedName>
    <definedName name="B2TR_YOY_613B">#REF!</definedName>
    <definedName name="B2TR_YOY_613C">#REF!</definedName>
    <definedName name="B2TR_YOY_613E">#REF!</definedName>
    <definedName name="B2TR_YOY_613F">#REF!</definedName>
    <definedName name="B2TR_YOY_613I">#REF!</definedName>
    <definedName name="B2TR_YOY_613K">#REF!</definedName>
    <definedName name="B2TR_YOY_613L">#REF!</definedName>
    <definedName name="B2TR_YOY_613N">#REF!</definedName>
    <definedName name="B2TR_YOY_613O">#REF!</definedName>
    <definedName name="B2TR_YOY_613R">#REF!</definedName>
    <definedName name="B2TR_YOY_613S">#REF!</definedName>
    <definedName name="B2TR_YOY_613U">#REF!</definedName>
    <definedName name="B2TR_YOY_613Y">#REF!</definedName>
    <definedName name="B2TR_YOY_614I">#REF!</definedName>
    <definedName name="B2TR_YOY_614W">#REF!</definedName>
    <definedName name="B2TR_YOY_614Y">#REF!</definedName>
    <definedName name="B2TR_YOY_614Z">#REF!</definedName>
    <definedName name="B2TR_YOY_615B">#REF!</definedName>
    <definedName name="B2TR_YOY_615C">#REF!</definedName>
    <definedName name="B2TR_YOY_615Q">#REF!</definedName>
    <definedName name="B2TR_YOY_615R">#REF!</definedName>
    <definedName name="B2TR_YOY_615T">#REF!</definedName>
    <definedName name="B2TR_YOY_615Z">#REF!</definedName>
    <definedName name="B2TR_YOY_616A">#REF!</definedName>
    <definedName name="B2TR_YOY_620A">#REF!</definedName>
    <definedName name="B2TR_YOY_620C">#REF!</definedName>
    <definedName name="B2TR_YOY_625A">#REF!</definedName>
    <definedName name="B2TR_YOY_625B">#REF!</definedName>
    <definedName name="B2TR_YOY_629X">#REF!</definedName>
    <definedName name="B2TR_YOY_630A">#REF!</definedName>
    <definedName name="B2TR_YOY_630E">#REF!</definedName>
    <definedName name="B2TR_YOY_630F">#REF!</definedName>
    <definedName name="B2TR_YOY_630G">#REF!</definedName>
    <definedName name="B2TR_YOY_630J">#REF!</definedName>
    <definedName name="B2TR_YOY_630M">#REF!</definedName>
    <definedName name="B2TR_YOY_630T">#REF!</definedName>
    <definedName name="B2TR_YOY_630X">#REF!</definedName>
    <definedName name="B2TR_YOY_630Y">#REF!</definedName>
    <definedName name="B2TR_YOY_631C">#REF!</definedName>
    <definedName name="B2TR_YOY_631D">#REF!</definedName>
    <definedName name="B2TR_YOY_631E">#REF!</definedName>
    <definedName name="B2TR_YOY_631F">#REF!</definedName>
    <definedName name="B2TR_YOY_631G">#REF!</definedName>
    <definedName name="B2TR_YOY_631H">#REF!</definedName>
    <definedName name="B2TR_YOY_631I">#REF!</definedName>
    <definedName name="B2TR_YOY_631J">#REF!</definedName>
    <definedName name="B2TR_YOY_631S">#REF!</definedName>
    <definedName name="B2TR_YOY_631U">#REF!</definedName>
    <definedName name="B2TR_YOY_632G">#REF!</definedName>
    <definedName name="B2TR_YOY_632O">#REF!</definedName>
    <definedName name="B2TR_YOY_632P">#REF!</definedName>
    <definedName name="B2TR_YOY_632U">#REF!</definedName>
    <definedName name="B2TR_YOY_632Y">#REF!</definedName>
    <definedName name="B2TR_YOY_633A">#REF!</definedName>
    <definedName name="B2TR_YOY_635C">#REF!</definedName>
    <definedName name="B2TR_YOY_638A">#REF!</definedName>
    <definedName name="B2TR_YOY_638C">#REF!</definedName>
    <definedName name="B2TR_YOY_641I">#REF!</definedName>
    <definedName name="B2TR_YOY_641X">#REF!</definedName>
    <definedName name="B2TR_YOY_641Y">#REF!</definedName>
    <definedName name="B2TR_YOY_642B">#REF!</definedName>
    <definedName name="B2TR_YOY_642C">#REF!</definedName>
    <definedName name="B2TR_YOY_651C">#REF!</definedName>
    <definedName name="B2TR_YOY_651F">#REF!</definedName>
    <definedName name="B2TR_YOY_651H">#REF!</definedName>
    <definedName name="B2TR_YOY_651I">#REF!</definedName>
    <definedName name="B2TR_YOY_651J">#REF!</definedName>
    <definedName name="B2TR_YOY_651K">#REF!</definedName>
    <definedName name="B2TR_YOY_651M">#REF!</definedName>
    <definedName name="B2TR_YOY_651O">#REF!</definedName>
    <definedName name="B2TR_YOY_651Q">#REF!</definedName>
    <definedName name="B2TR_YOY_651R">#REF!</definedName>
    <definedName name="B2TR_YOY_651S">#REF!</definedName>
    <definedName name="B2TR_YOY_651T">#REF!</definedName>
    <definedName name="B2TR_YOY_651U">#REF!</definedName>
    <definedName name="B2TR_YOY_651W">#REF!</definedName>
    <definedName name="B2TR_YOY_651X">#REF!</definedName>
    <definedName name="B2TR_YOY_651Y">#REF!</definedName>
    <definedName name="B2TR_YOY_651Z">#REF!</definedName>
    <definedName name="B2TR_YOY_652G">#REF!</definedName>
    <definedName name="B2TR_YOY_653A">#REF!</definedName>
    <definedName name="B2TR_YOY_659B">#REF!</definedName>
    <definedName name="B2TR_YOY_660A">#REF!</definedName>
    <definedName name="B2TR_YOY_660F">#REF!</definedName>
    <definedName name="B2TR_YOY_660G">#REF!</definedName>
    <definedName name="B2TR_YOY_660K">#REF!</definedName>
    <definedName name="B2TR_YOY_660O">#REF!</definedName>
    <definedName name="B2TR_YOY_660R">#REF!</definedName>
    <definedName name="B2TR_YOY_660Z">#REF!</definedName>
    <definedName name="B2TR_YOY_661B">#REF!</definedName>
    <definedName name="B2TR_YOY_661R">#REF!</definedName>
    <definedName name="B2TR_YOY_661S">#REF!</definedName>
    <definedName name="B2TR_YOY_661T">#REF!</definedName>
    <definedName name="B2TR_YOY_661U">#REF!</definedName>
    <definedName name="B2TR_YOY_661V">#REF!</definedName>
    <definedName name="B2TR_YOY_661X">#REF!</definedName>
    <definedName name="B2TR_YOY_661Y">#REF!</definedName>
    <definedName name="B2TR_YOY_662A">#REF!</definedName>
    <definedName name="B2TR_YOY_662D">#REF!</definedName>
    <definedName name="B2TR_YOY_663F">#REF!</definedName>
    <definedName name="B2TR_YOY_663G">#REF!</definedName>
    <definedName name="B2TR_YOY_663N">#REF!</definedName>
    <definedName name="B2TR_YOY_663O">#REF!</definedName>
    <definedName name="B2TR_YOY_663T">#REF!</definedName>
    <definedName name="B2TR_YOY_663X">#REF!</definedName>
    <definedName name="B2TR_YOY_664A">#REF!</definedName>
    <definedName name="B2TR_YOY_664B">#REF!</definedName>
    <definedName name="B2TR_YOY_664F">#REF!</definedName>
    <definedName name="B2TR_YOY_664N">#REF!</definedName>
    <definedName name="B2TR_YOY_664P">#REF!</definedName>
    <definedName name="B2TR_YOY_664Q">#REF!</definedName>
    <definedName name="B2TR_YOY_664R">#REF!</definedName>
    <definedName name="B2TR_YOY_664V">#REF!</definedName>
    <definedName name="B2TR_YOY_665D">#REF!</definedName>
    <definedName name="B2TR_YOY_665G">#REF!</definedName>
    <definedName name="B2TR_YOY_665I">#REF!</definedName>
    <definedName name="B2TR_YOY_665J">#REF!</definedName>
    <definedName name="B2TR_YOY_665N">#REF!</definedName>
    <definedName name="B2TR_YOY_665V">#REF!</definedName>
    <definedName name="B2TR_YOY_665X">#REF!</definedName>
    <definedName name="B2TR_YOY_667C">#REF!</definedName>
    <definedName name="B2TR_YOY_667D">#REF!</definedName>
    <definedName name="B2TR_YOY_667E">#REF!</definedName>
    <definedName name="B2TR_YOY_667H">#REF!</definedName>
    <definedName name="B2TR_YOY_667J">#REF!</definedName>
    <definedName name="B2TR_YOY_667K">#REF!</definedName>
    <definedName name="B2TR_YOY_667N">#REF!</definedName>
    <definedName name="B2TR_YOY_667P">#REF!</definedName>
    <definedName name="B2TR_YOY_667R">#REF!</definedName>
    <definedName name="B2TR_YOY_667S">#REF!</definedName>
    <definedName name="B2TR_YOY_667T">#REF!</definedName>
    <definedName name="B2TR_YOY_667U">#REF!</definedName>
    <definedName name="B2TR_YOY_667V">#REF!</definedName>
    <definedName name="B2TR_YOY_667W">#REF!</definedName>
    <definedName name="B2TR_YOY_667Y">#REF!</definedName>
    <definedName name="B2TR_YOY_667Z">#REF!</definedName>
    <definedName name="B2TR_YOY_668B">#REF!</definedName>
    <definedName name="B2TR_YOY_668D">#REF!</definedName>
    <definedName name="B2TR_YOY_668E">#REF!</definedName>
    <definedName name="B2TR_YOY_668F">#REF!</definedName>
    <definedName name="B2TR_YOY_668G">#REF!</definedName>
    <definedName name="B2TR_YOY_668H">#REF!</definedName>
    <definedName name="B2TR_YOY_668I">#REF!</definedName>
    <definedName name="B2TR_YOY_668J">#REF!</definedName>
    <definedName name="B2TR_YOY_668O">#REF!</definedName>
    <definedName name="B2TR_YOY_668P">#REF!</definedName>
    <definedName name="B2TR_YOY_668T">#REF!</definedName>
    <definedName name="B2TR_YOY_668U">#REF!</definedName>
    <definedName name="B2TR_YOY_668V">#REF!</definedName>
    <definedName name="B2TR_YOY_669A">#REF!</definedName>
    <definedName name="B2TR_YOY_669H">#REF!</definedName>
    <definedName name="B2TR_YOY_669I">#REF!</definedName>
    <definedName name="B2TR_YOY_669J">#REF!</definedName>
    <definedName name="B2TR_YOY_669K">#REF!</definedName>
    <definedName name="B2TR_YOY_669O">#REF!</definedName>
    <definedName name="B2TR_YOY_669R">#REF!</definedName>
    <definedName name="B2TR_YOY_669S">#REF!</definedName>
    <definedName name="B2TR_YOY_669T">#REF!</definedName>
    <definedName name="B2TR_YOY_669U">#REF!</definedName>
    <definedName name="B2TR_YOY_669W">#REF!</definedName>
    <definedName name="B2TR_YOY_669X">#REF!</definedName>
    <definedName name="B2TR_YOY_669Y">#REF!</definedName>
    <definedName name="B2TR_YOY_669Z">#REF!</definedName>
    <definedName name="B2TR_YOY_670D">#REF!</definedName>
    <definedName name="B2TR_YOY_670F">#REF!</definedName>
    <definedName name="B2TR_YOY_670H">#REF!</definedName>
    <definedName name="B2TR_YOY_670I">#REF!</definedName>
    <definedName name="B2TR_YOY_670N">#REF!</definedName>
    <definedName name="B2TR_YOY_670O">#REF!</definedName>
    <definedName name="B2TR_YOY_670P">#REF!</definedName>
    <definedName name="B2TR_YOY_670Q">#REF!</definedName>
    <definedName name="B2TR_YOY_670S">#REF!</definedName>
    <definedName name="B2TR_YOY_670W">#REF!</definedName>
    <definedName name="B2TR_YOY_670X">#REF!</definedName>
    <definedName name="B2TR_YOY_670Y">#REF!</definedName>
    <definedName name="B2TR_YOY_670Z">#REF!</definedName>
    <definedName name="B2TR_YOY_671A">#REF!</definedName>
    <definedName name="B2TR_YOY_671B">#REF!</definedName>
    <definedName name="B2TR_YOY_671D">#REF!</definedName>
    <definedName name="B2TR_YOY_671F">#REF!</definedName>
    <definedName name="B2TR_YOY_671G">#REF!</definedName>
    <definedName name="B2TR_YOY_671H">#REF!</definedName>
    <definedName name="B2TR_YOY_671I">#REF!</definedName>
    <definedName name="B2TR_YOY_671J">#REF!</definedName>
    <definedName name="B2TR_YOY_671K">#REF!</definedName>
    <definedName name="B2TR_YOY_671L">#REF!</definedName>
    <definedName name="B2TR_YOY_671M">#REF!</definedName>
    <definedName name="B2TR_YOY_671N">#REF!</definedName>
    <definedName name="B2TR_YOY_671O">#REF!</definedName>
    <definedName name="B2TR_YOY_671P">#REF!</definedName>
    <definedName name="B2TR_YOY_671Q">#REF!</definedName>
    <definedName name="B2TR_YOY_671R">#REF!</definedName>
    <definedName name="B2TR_YOY_671S">#REF!</definedName>
    <definedName name="B2TR_YOY_671T">#REF!</definedName>
    <definedName name="B2TR_YOY_671W">#REF!</definedName>
    <definedName name="B2TR_YOY_671Z">#REF!</definedName>
    <definedName name="B2TR_YOY_672G">#REF!</definedName>
    <definedName name="B2TR_YOY_672H">#REF!</definedName>
    <definedName name="B2TR_YOY_672I">#REF!</definedName>
    <definedName name="B2TR_YOY_672M">#REF!</definedName>
    <definedName name="B2TR_YOY_672N">#REF!</definedName>
    <definedName name="B2TR_YOY_672O">#REF!</definedName>
    <definedName name="B2TR_YOY_672P">#REF!</definedName>
    <definedName name="B2TR_YOY_672R">#REF!</definedName>
    <definedName name="B2TR_YOY_672S">#REF!</definedName>
    <definedName name="B2TR_YOY_672T">#REF!</definedName>
    <definedName name="B2TR_YOY_673C">#REF!</definedName>
    <definedName name="B2TR_YOY_673E">#REF!</definedName>
    <definedName name="B2TR_YOY_673F">#REF!</definedName>
    <definedName name="B2TR_YOY_673G">#REF!</definedName>
    <definedName name="B2TR_YOY_673H">#REF!</definedName>
    <definedName name="B2TR_YOY_673I">#REF!</definedName>
    <definedName name="B2TR_YOY_673J">#REF!</definedName>
    <definedName name="B2TR_YOY_673K">#REF!</definedName>
    <definedName name="B2TR_YOY_673M">#REF!</definedName>
    <definedName name="B2TR_YOY_673N">#REF!</definedName>
    <definedName name="B2TR_YOY_673O">#REF!</definedName>
    <definedName name="B2TR_YOY_673R">#REF!</definedName>
    <definedName name="B2TR_YOY_673S">#REF!</definedName>
    <definedName name="B2TR_YOY_673U">#REF!</definedName>
    <definedName name="B2TR_YOY_673V">#REF!</definedName>
    <definedName name="B2TR_YOY_673W">#REF!</definedName>
    <definedName name="B2TR_YOY_673X">#REF!</definedName>
    <definedName name="B2TR_YOY_673Y">#REF!</definedName>
    <definedName name="B2TR_YOY_673Z">#REF!</definedName>
    <definedName name="B2TR_YOY_674A">#REF!</definedName>
    <definedName name="B2TR_YOY_674B">#REF!</definedName>
    <definedName name="B2TR_YOY_674C">#REF!</definedName>
    <definedName name="B2TR_YOY_674D">#REF!</definedName>
    <definedName name="B2TR_YOY_674E">#REF!</definedName>
    <definedName name="B2TR_YOY_674F">#REF!</definedName>
    <definedName name="B2TR_YOY_674G">#REF!</definedName>
    <definedName name="B2TR_YOY_674I">#REF!</definedName>
    <definedName name="B2TR_YOY_674J">#REF!</definedName>
    <definedName name="B2TR_YOY_674M">#REF!</definedName>
    <definedName name="B2TR_YOY_674P">#REF!</definedName>
    <definedName name="B2TR_YOY_674Q">#REF!</definedName>
    <definedName name="B2TR_YOY_674R">#REF!</definedName>
    <definedName name="B2TR_YOY_674S">#REF!</definedName>
    <definedName name="B2TR_YOY_674V">#REF!</definedName>
    <definedName name="B2TR_YOY_674W">#REF!</definedName>
    <definedName name="B2TR_YOY_675A">#REF!</definedName>
    <definedName name="B2TR_YOY_675C">#REF!</definedName>
    <definedName name="B2TR_YOY_675E">#REF!</definedName>
    <definedName name="B2TR_YOY_675F">#REF!</definedName>
    <definedName name="B2TR_YOY_675G">#REF!</definedName>
    <definedName name="B2TR_YOY_675H">#REF!</definedName>
    <definedName name="B2TR_YOY_675I">#REF!</definedName>
    <definedName name="B2TR_YOY_675J">#REF!</definedName>
    <definedName name="B2TR_YOY_675K">#REF!</definedName>
    <definedName name="B2TR_YOY_675L">#REF!</definedName>
    <definedName name="B2TR_YOY_675M">#REF!</definedName>
    <definedName name="B2TR_YOY_675N">#REF!</definedName>
    <definedName name="B2TR_YOY_675O">#REF!</definedName>
    <definedName name="B2TR_YOY_675P">#REF!</definedName>
    <definedName name="B2TR_YOY_675Q">#REF!</definedName>
    <definedName name="B2TR_YOY_675R">#REF!</definedName>
    <definedName name="B2TR_YOY_675S">#REF!</definedName>
    <definedName name="B2TR_YOY_675T">#REF!</definedName>
    <definedName name="B2TR_YOY_675U">#REF!</definedName>
    <definedName name="B2TR_YOY_675V">#REF!</definedName>
    <definedName name="B2TR_YOY_675W">#REF!</definedName>
    <definedName name="B2TR_YOY_675X">#REF!</definedName>
    <definedName name="B2TR_YOY_675Y">#REF!</definedName>
    <definedName name="B2TR_YOY_675Z">#REF!</definedName>
    <definedName name="B2TR_YOY_676A">#REF!</definedName>
    <definedName name="B2TR_YOY_676B">#REF!</definedName>
    <definedName name="B2TR_YOY_676C">#REF!</definedName>
    <definedName name="B2TR_YOY_676D">#REF!</definedName>
    <definedName name="B2TR_YOY_676E">#REF!</definedName>
    <definedName name="B2TR_YOY_676F">#REF!</definedName>
    <definedName name="B2TR_YOY_676G">#REF!</definedName>
    <definedName name="B2TR_YOY_676J">#REF!</definedName>
    <definedName name="B2TR_YOY_690C">#REF!</definedName>
    <definedName name="B2TR_YOY_690D">#REF!</definedName>
    <definedName name="B2TR_YOY_690E">#REF!</definedName>
    <definedName name="B2TR_YOY_690F">#REF!</definedName>
    <definedName name="B2TR_YOY_690G">#REF!</definedName>
    <definedName name="B2TR_YOY_690I">#REF!</definedName>
    <definedName name="B2TR_YOY_690J">#REF!</definedName>
    <definedName name="B2TR_YOY_690K">#REF!</definedName>
    <definedName name="B2TR_YOY_690L">#REF!</definedName>
    <definedName name="B2TR_YOY_700B">#REF!</definedName>
    <definedName name="B2TR_YOY_701A">#REF!</definedName>
    <definedName name="B2TR_YOY_702A">#REF!</definedName>
    <definedName name="B2TR_YOY_710H">#REF!</definedName>
    <definedName name="B2TR_YOY_710Q">#REF!</definedName>
    <definedName name="B2TR_YOY_710Y">#REF!</definedName>
    <definedName name="B2TR_YOY_711N">#REF!</definedName>
    <definedName name="B2TR_YOY_711O">#REF!</definedName>
    <definedName name="B2TR_YOY_711P">#REF!</definedName>
    <definedName name="B2TR_YOY_712K">#REF!</definedName>
    <definedName name="B2TR_YOY_712L">#REF!</definedName>
    <definedName name="B2TR_YOY_712M">#REF!</definedName>
    <definedName name="B2TR_YOY_712N">#REF!</definedName>
    <definedName name="B2TR_YOY_811B">#REF!</definedName>
    <definedName name="B2TR_YOY_811C">#REF!</definedName>
    <definedName name="B2TR_YOY_813B">#REF!</definedName>
    <definedName name="B2TR_YOY_813C">#REF!</definedName>
    <definedName name="B2TR_YOY_841A">#REF!</definedName>
    <definedName name="B2TR_YOY_841B">#REF!</definedName>
    <definedName name="B2TR_YOY_841C">#REF!</definedName>
    <definedName name="B2TR_YOY_842A">#REF!</definedName>
    <definedName name="B2TR_YOY_842B">#REF!</definedName>
    <definedName name="B2TR_YOY_842C">#REF!</definedName>
    <definedName name="B2TR_YOY_843A">#REF!</definedName>
    <definedName name="B2TR_YOY_844A">#REF!</definedName>
    <definedName name="B2TR_YOY_845K">#REF!</definedName>
    <definedName name="B2TR_YOY_846D">#REF!</definedName>
    <definedName name="B2TR_YOY_846E">#REF!</definedName>
    <definedName name="B2TR_YOY_846F">#REF!</definedName>
    <definedName name="B2TR_YOY_846G">#REF!</definedName>
    <definedName name="B2TR_YOY_846H">#REF!</definedName>
    <definedName name="B2TR_YOY_846I">#REF!</definedName>
    <definedName name="B2TR_YOY_850A">#REF!</definedName>
    <definedName name="B2TR_YOY_850C">#REF!</definedName>
    <definedName name="B2TR_YOY_900A">#REF!</definedName>
    <definedName name="B2TR_YOY_900F">#REF!</definedName>
    <definedName name="B2TR_YOY_900H">#REF!</definedName>
    <definedName name="B2TR_YOY_900I">#REF!</definedName>
    <definedName name="B2TR_YOY_900L">#REF!</definedName>
    <definedName name="B2TR_YOY_905A">#REF!</definedName>
    <definedName name="B2TR_YOY_905B">#REF!</definedName>
    <definedName name="B2TR_YOY_905C">#REF!</definedName>
    <definedName name="B2TR_YOY_905U">#REF!</definedName>
    <definedName name="B2TR_YOY_906A">#REF!</definedName>
    <definedName name="B2TR_YOY_906D">#REF!</definedName>
    <definedName name="B2TR_YOY_906F">#REF!</definedName>
    <definedName name="B2TR_YOY_906I">#REF!</definedName>
    <definedName name="B2TR_YOY_906J">#REF!</definedName>
    <definedName name="B2TR_YOY_906K">#REF!</definedName>
    <definedName name="B2TR_YOY_906P">#REF!</definedName>
    <definedName name="B2TR_YOY_906Z">#REF!</definedName>
    <definedName name="B2TR_YOY_908A">#REF!</definedName>
    <definedName name="B2TR_YOY_908B">#REF!</definedName>
    <definedName name="B2TR_YOY_910B">#REF!</definedName>
    <definedName name="B2TR_YOY_910C">#REF!</definedName>
    <definedName name="B2TR_YOY_910D">#REF!</definedName>
    <definedName name="B2TR_YOY_910E">#REF!</definedName>
    <definedName name="B2TR_YOY_910K">#REF!</definedName>
    <definedName name="B2TR_YOY_910M">#REF!</definedName>
    <definedName name="B2TR_YOY_910N">#REF!</definedName>
    <definedName name="B2TR_YOY_910O">#REF!</definedName>
    <definedName name="B2TR_YOY_910Q">#REF!</definedName>
    <definedName name="B2TR_YOY_910S">#REF!</definedName>
    <definedName name="B2TR_YOY_910U">#REF!</definedName>
    <definedName name="B2TR_YOY_910X">#REF!</definedName>
    <definedName name="B2TR_YOY_911I">#REF!</definedName>
    <definedName name="B2TR_YOY_911J">#REF!</definedName>
    <definedName name="B2TR_YOY_911K">#REF!</definedName>
    <definedName name="B2TR_YOY_911L">#REF!</definedName>
    <definedName name="B2TR_YOY_911M">#REF!</definedName>
    <definedName name="B2TR_YOY_911Q">#REF!</definedName>
    <definedName name="B2TR_YOY_911QA">#REF!</definedName>
    <definedName name="B2TR_YOY_911QB">#REF!</definedName>
    <definedName name="B2TR_YOY_911S">#REF!</definedName>
    <definedName name="B2TR_YOY_911V">#REF!</definedName>
    <definedName name="B2TR_YOY_911W">#REF!</definedName>
    <definedName name="B2TR_YOY_911Z">#REF!</definedName>
    <definedName name="B2TR_YOY_912K">#REF!</definedName>
    <definedName name="B2TR_YOY_913A">#REF!</definedName>
    <definedName name="B2TR_YOY_913D">#REF!</definedName>
    <definedName name="B2TR_YOY_913M">#REF!</definedName>
    <definedName name="B2TR_YOY_914A">#REF!</definedName>
    <definedName name="B2TR_YOY_914B">#REF!</definedName>
    <definedName name="B2TR_YOY_914E">#REF!</definedName>
    <definedName name="B2TR_YOY_914F">#REF!</definedName>
    <definedName name="B2TR_YOY_914K">#REF!</definedName>
    <definedName name="B2TR_YOY_914MDSIT">#REF!</definedName>
    <definedName name="B2TR_YOY_920E">#REF!</definedName>
    <definedName name="B2TR_YOY_921A">#REF!</definedName>
    <definedName name="B2TR_YOY_921G">#REF!</definedName>
    <definedName name="B2TR_YOY_930A">#REF!</definedName>
    <definedName name="B2TR_YOY_930E">#REF!</definedName>
    <definedName name="B2TR_YOY_930J">#REF!</definedName>
    <definedName name="B2TR_YOY_930K">#REF!</definedName>
    <definedName name="B2TR_YOY_940A">#REF!</definedName>
    <definedName name="B2TR_YOY_940N">#REF!</definedName>
    <definedName name="B2TR_YOY_940S">#REF!</definedName>
    <definedName name="B2TR_YOY_940X">#REF!</definedName>
    <definedName name="B2TR_YOY_960A">#REF!</definedName>
    <definedName name="B2TR_YOY_980A">#REF!</definedName>
    <definedName name="B2TR_YOY_980B">#REF!</definedName>
    <definedName name="B2TR_YOY_980E">#REF!</definedName>
    <definedName name="B2TR_YOY_980G">#REF!</definedName>
    <definedName name="B2TR_YOY_980J">#REF!</definedName>
    <definedName name="B2TR_YOY_980L">#REF!</definedName>
    <definedName name="B2TR_YOY_985B">#REF!</definedName>
    <definedName name="B2TR_YOY_990B">#REF!</definedName>
    <definedName name="B2TR_YOY_995A">#REF!</definedName>
    <definedName name="B2TR_YOY_999QFIN48">#REF!</definedName>
    <definedName name="B2TR_YOY_FIT">#REF!</definedName>
    <definedName name="B2TR_YOY_INT1">#REF!</definedName>
    <definedName name="B2TR_YOY_M31">#REF!</definedName>
    <definedName name="B2TR_YOY_M32">#REF!</definedName>
    <definedName name="B2TR_YOY_M33">#REF!</definedName>
    <definedName name="B2TR_YOY_NIT">#REF!</definedName>
    <definedName name="B2TR_YOY_SIT">#REF!</definedName>
    <definedName name="base">#REF!</definedName>
    <definedName name="BASERATECHG">#REF!</definedName>
    <definedName name="bcbcbcbcc" localSheetId="1" hidden="1">{#N/A,#N/A,TRUE,"Income Statement";#N/A,#N/A,TRUE,"Balance Sheet";#N/A,#N/A,TRUE,"Cash Flows";#N/A,#N/A,TRUE,"Ratios";#N/A,#N/A,TRUE,"Revenues";#N/A,#N/A,TRUE,"Asset Calcs";#N/A,#N/A,TRUE,"Assumptions";#N/A,#N/A,TRUE,"Valuation"}</definedName>
    <definedName name="bcbcbcbcc" localSheetId="3" hidden="1">{#N/A,#N/A,TRUE,"Income Statement";#N/A,#N/A,TRUE,"Balance Sheet";#N/A,#N/A,TRUE,"Cash Flows";#N/A,#N/A,TRUE,"Ratios";#N/A,#N/A,TRUE,"Revenues";#N/A,#N/A,TRUE,"Asset Calcs";#N/A,#N/A,TRUE,"Assumptions";#N/A,#N/A,TRUE,"Valuation"}</definedName>
    <definedName name="bcbcbcbcc" hidden="1">{#N/A,#N/A,TRUE,"Income Statement";#N/A,#N/A,TRUE,"Balance Sheet";#N/A,#N/A,TRUE,"Cash Flows";#N/A,#N/A,TRUE,"Ratios";#N/A,#N/A,TRUE,"Revenues";#N/A,#N/A,TRUE,"Asset Calcs";#N/A,#N/A,TRUE,"Assumptions";#N/A,#N/A,TRUE,"Valuation"}</definedName>
    <definedName name="bcbcbcc" localSheetId="1" hidden="1">{#N/A,#N/A,FALSE,"BidCo Assumptions";#N/A,#N/A,FALSE,"Credit Stats";#N/A,#N/A,FALSE,"Bidco Summary";#N/A,#N/A,FALSE,"BIDCO Consolidated"}</definedName>
    <definedName name="bcbcbcc" localSheetId="3" hidden="1">{#N/A,#N/A,FALSE,"BidCo Assumptions";#N/A,#N/A,FALSE,"Credit Stats";#N/A,#N/A,FALSE,"Bidco Summary";#N/A,#N/A,FALSE,"BIDCO Consolidated"}</definedName>
    <definedName name="bcbcbcc" hidden="1">{#N/A,#N/A,FALSE,"BidCo Assumptions";#N/A,#N/A,FALSE,"Credit Stats";#N/A,#N/A,FALSE,"Bidco Summary";#N/A,#N/A,FALSE,"BIDCO Consolidated"}</definedName>
    <definedName name="Beg_Bal">#REF!</definedName>
    <definedName name="Begin_Print1" localSheetId="5">#REF!</definedName>
    <definedName name="Begin_Print1" localSheetId="1">#REF!</definedName>
    <definedName name="Begin_Print1" localSheetId="3">#REF!</definedName>
    <definedName name="Begin_Print1">#REF!</definedName>
    <definedName name="Begin_Print2" localSheetId="5">#REF!</definedName>
    <definedName name="Begin_Print2" localSheetId="1">#REF!</definedName>
    <definedName name="Begin_Print2" localSheetId="3">#REF!</definedName>
    <definedName name="Begin_Print2">#REF!</definedName>
    <definedName name="Benefit">#REF!</definedName>
    <definedName name="BEx0017DGUEDPCFJUPUZOOLJCS2B" localSheetId="3" hidden="1">#REF!</definedName>
    <definedName name="BEx0017DGUEDPCFJUPUZOOLJCS2B" hidden="1">#REF!</definedName>
    <definedName name="BEx001CNWHJ5RULCSFM36ZCGJ1UH" localSheetId="3" hidden="1">#REF!</definedName>
    <definedName name="BEx001CNWHJ5RULCSFM36ZCGJ1UH" hidden="1">#REF!</definedName>
    <definedName name="BEx004791UAJIJSN57OT7YBLNP82" localSheetId="3"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C31DY11L45SEU4B10BIN6W" hidden="1">#REF!</definedName>
    <definedName name="BEx00KZHZBHP3TDV1YMX4B19B95O" hidden="1">#REF!</definedName>
    <definedName name="BEx00MBY8XXUOHIZ4LHXHPD7WYD5" hidden="1">#REF!</definedName>
    <definedName name="BEx00O4PAWETUBT0XVI1C4OHM15U" hidden="1">#REF!</definedName>
    <definedName name="BEx01HY6E3GJ66ABU5ABN26V6Q13" localSheetId="3" hidden="1">#REF!</definedName>
    <definedName name="BEx01HY6E3GJ66ABU5ABN26V6Q13" hidden="1">#REF!</definedName>
    <definedName name="BEx01PQPVA98GRAAKX3HEZZ0XK5C" localSheetId="3" hidden="1">#REF!</definedName>
    <definedName name="BEx01PQPVA98GRAAKX3HEZZ0XK5C" hidden="1">#REF!</definedName>
    <definedName name="BEx01PW5YQKEGAR8JDDI5OARYXDF" localSheetId="3" hidden="1">#REF!</definedName>
    <definedName name="BEx01PW5YQKEGAR8JDDI5OARYXDF" hidden="1">#REF!</definedName>
    <definedName name="BEx01XJ94SHJ1YQ7ORPW0RQGKI2H" hidden="1">#REF!</definedName>
    <definedName name="BEx0262TTS9LPE4KF6VUW72201AB" hidden="1">#REF!</definedName>
    <definedName name="BEx02PPH4OWYB9ZB2611OC9DA9MZ"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XBADB31WUEH8U617C5F40X9" hidden="1">#REF!</definedName>
    <definedName name="BEx1FZV2CM77TBH1R6YYV9P06KA2" hidden="1">#REF!</definedName>
    <definedName name="BEx1G59AY8195JTUM6P18VXUFJ3E" hidden="1">#REF!</definedName>
    <definedName name="BEx1GRFPRSO5UT952RBFGUHDUZN5"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HU8WGEGZ07PO2AYJ3Q7JV682" hidden="1">#REF!</definedName>
    <definedName name="BEx1I4QKTILCKZUSOJCVZN7SNHL5" localSheetId="3" hidden="1">#REF!</definedName>
    <definedName name="BEx1I4QKTILCKZUSOJCVZN7SNHL5" hidden="1">#REF!</definedName>
    <definedName name="BEx1IE0ZP7RIFM9FI24S9I6AAJ14" localSheetId="3" hidden="1">#REF!</definedName>
    <definedName name="BEx1IE0ZP7RIFM9FI24S9I6AAJ14" hidden="1">#REF!</definedName>
    <definedName name="BEx1IGQ5B697MNDOE06MVSR0H58E" localSheetId="3" hidden="1">#REF!</definedName>
    <definedName name="BEx1IGQ5B697MNDOE06MVSR0H58E" hidden="1">#REF!</definedName>
    <definedName name="BEx1IKRPW8MLB9Y485M1TL2IT9SH" hidden="1">#REF!</definedName>
    <definedName name="BEx1J0CSSHDJGBJUHVOEMCF2P4DL"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VTNDJQ0189VAB5O88Z9N2B1" hidden="1">#REF!</definedName>
    <definedName name="BEx1JXBM5W4YRWNQ0P95QQS6JWD6" hidden="1">#REF!</definedName>
    <definedName name="BEx1K4D3BL8221FE5HGCB9VDX83Q" hidden="1">#REF!</definedName>
    <definedName name="BEx1K95QRKBCQOHKAK00IAOF748I" localSheetId="3" hidden="1">#REF!</definedName>
    <definedName name="BEx1K95QRKBCQOHKAK00IAOF748I" hidden="1">#REF!</definedName>
    <definedName name="BEx1KGCOC0TV99C9CNDK7IZRHVGO" localSheetId="3" hidden="1">#REF!</definedName>
    <definedName name="BEx1KGCOC0TV99C9CNDK7IZRHVGO" hidden="1">#REF!</definedName>
    <definedName name="BEx1KGY9QEHZ9QSARMQUTQKRK4UX" localSheetId="3"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AX8UE95OMEMCKW7PJJO7FX5" hidden="1">#REF!</definedName>
    <definedName name="BEx1LD63FP2Z4BR9TKSHOZW9KKZ5" hidden="1">#REF!</definedName>
    <definedName name="BEx1LDMB9RW982DUILM2WPT5VWQ3" hidden="1">#REF!</definedName>
    <definedName name="BEx1LR3VGF6TOZ4ZPIXZ96JKRKKD" hidden="1">#REF!</definedName>
    <definedName name="BEx1LRPGDQCOEMW8YT80J1XCDCIV" hidden="1">#REF!</definedName>
    <definedName name="BEx1LRUSJW4JG54X07QWD9R27WV9" hidden="1">#REF!</definedName>
    <definedName name="BEx1LU92C01NBTGCF0WADTO32CU2" hidden="1">#REF!</definedName>
    <definedName name="BEx1M1WBK5T0LP1AK2JYV6W87ID6" hidden="1">#REF!</definedName>
    <definedName name="BEx1M51HHDYGIT8PON7U8ICL2S95" hidden="1">#REF!</definedName>
    <definedName name="BEx1M68NRL0QD9UQV1RA9L68505H" hidden="1">#REF!</definedName>
    <definedName name="BEx1MQ0S8ZPM3QRPBJFVO8KGKJO2" hidden="1">#REF!</definedName>
    <definedName name="BEx1MTRKKVCHOZ0YGID6HZ49LJTO" hidden="1">#REF!</definedName>
    <definedName name="BEx1N3CUJ3UX61X38ZAJVPEN4KMC" hidden="1">#REF!</definedName>
    <definedName name="BEx1NM34KQTO1LDNSAFD1L82UZFG" hidden="1">#REF!</definedName>
    <definedName name="BEx1NNQJ0R56EJAAW1MXNECZ55XH" hidden="1">#REF!</definedName>
    <definedName name="BEx1NO6TXZVOGCUWCCRTXRXWW0XL" localSheetId="3" hidden="1">#REF!</definedName>
    <definedName name="BEx1NO6TXZVOGCUWCCRTXRXWW0XL" hidden="1">#REF!</definedName>
    <definedName name="BEx1NS8EU5P9FQV3S0WRTXI5L361" localSheetId="3" hidden="1">#REF!</definedName>
    <definedName name="BEx1NS8EU5P9FQV3S0WRTXI5L361" hidden="1">#REF!</definedName>
    <definedName name="BEx1NUBX5VUYZFKQH69FN6BTLWCR" localSheetId="3" hidden="1">#REF!</definedName>
    <definedName name="BEx1NUBX5VUYZFKQH69FN6BTLWCR" hidden="1">#REF!</definedName>
    <definedName name="BEx1NZ4K1L8UON80Y2A4RASKWGNP" hidden="1">#REF!</definedName>
    <definedName name="BEx1O24FHGT1KV1PHK1VQ1OUH4VP" hidden="1">#REF!</definedName>
    <definedName name="BEx1OFB62PDZZNV8TCVH2GJNNOSC" hidden="1">#REF!</definedName>
    <definedName name="BEx1OLAZ915OGYWP0QP1QQWDLCRX" hidden="1">#REF!</definedName>
    <definedName name="BEx1OO5ER042IS6IC4TLDI75JNVH" hidden="1">#REF!</definedName>
    <definedName name="BEx1OTE544O0H6QOAIX6QZKHCDFW"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58EB7DAA5Y346WUQVQR9QEO" hidden="1">#REF!</definedName>
    <definedName name="BEx1P7S1J4TKGVJ43C2Q2R3M9WRB" hidden="1">#REF!</definedName>
    <definedName name="BEx1PA11BLPVZM8RC5BL46WX8YB5" hidden="1">#REF!</definedName>
    <definedName name="BEx1PBZ4BEFIPGMQXT9T8S4PZ2IM" hidden="1">#REF!</definedName>
    <definedName name="BEx1PKINWPH6BLUM5BTUM1OMO78L" hidden="1">#REF!</definedName>
    <definedName name="BEx1PLF2CFSXBZPVI6CJ534EIJDN" hidden="1">#REF!</definedName>
    <definedName name="BEx1PMWZB2DO6EM9BKLUICZJ65HD" hidden="1">#REF!</definedName>
    <definedName name="BEx1PUK290DX9LHEN2RS5E5L92YR" hidden="1">#REF!</definedName>
    <definedName name="BEx1PWNKPN825TMXC0L3V3FWMXS4" hidden="1">#REF!</definedName>
    <definedName name="BEx1Q21TG5PWZ4V504UC7VGQ9FEI" localSheetId="3" hidden="1">#REF!</definedName>
    <definedName name="BEx1Q21TG5PWZ4V504UC7VGQ9FEI" hidden="1">#REF!</definedName>
    <definedName name="BEx1QA54J2A4I7IBQR19BTY28ZMR" localSheetId="3" hidden="1">#REF!</definedName>
    <definedName name="BEx1QA54J2A4I7IBQR19BTY28ZMR" hidden="1">#REF!</definedName>
    <definedName name="BEx1QMKTAIQ9VGEWQ95YM98EUX0H" localSheetId="3" hidden="1">#REF!</definedName>
    <definedName name="BEx1QMKTAIQ9VGEWQ95YM98EUX0H" hidden="1">#REF!</definedName>
    <definedName name="BEx1QMQAHG3KQUK59DVM68SWKZIZ" hidden="1">#REF!</definedName>
    <definedName name="BEx1R9YFKJCMSEST8OVCAO5E47FO" hidden="1">#REF!</definedName>
    <definedName name="BEx1RBGC06B3T52OIC0EQ1KGVP1I" hidden="1">#REF!</definedName>
    <definedName name="BEx1RG3NJLA83JCT26IM1NH7FHA3" hidden="1">#REF!</definedName>
    <definedName name="BEx1RPJGA9DKDGRAYU2BHE6FRJ0N" hidden="1">#REF!</definedName>
    <definedName name="BEx1RRC7X4NI1CU4EO5XYE2GVARJ" hidden="1">#REF!</definedName>
    <definedName name="BEx1RZA1NCGT832L7EMR7GMF588W" hidden="1">#REF!</definedName>
    <definedName name="BEx1S0XGIPUSZQUCSGWSK10GKW7Y" hidden="1">#REF!</definedName>
    <definedName name="BEx1S5VFNKIXHTTCWSV60UC50EZ8" hidden="1">#REF!</definedName>
    <definedName name="BEx1SFGNVAFMGBWWJ1P5SP00N381" hidden="1">#REF!</definedName>
    <definedName name="BEx1SFGP1BMG8LP140SHD1AEEPXP" hidden="1">#REF!</definedName>
    <definedName name="BEx1SK3U02H0RGKEYXW7ZMCEOF3V" localSheetId="3" hidden="1">#REF!</definedName>
    <definedName name="BEx1SK3U02H0RGKEYXW7ZMCEOF3V" hidden="1">#REF!</definedName>
    <definedName name="BEx1SO5L68CL3H1IC2HQ6TPY8U6F" localSheetId="3" hidden="1">#REF!</definedName>
    <definedName name="BEx1SO5L68CL3H1IC2HQ6TPY8U6F" hidden="1">#REF!</definedName>
    <definedName name="BEx1SSNEZINBJT29QVS62VS1THT4" localSheetId="3" hidden="1">#REF!</definedName>
    <definedName name="BEx1SSNEZINBJT29QVS62VS1THT4" hidden="1">#REF!</definedName>
    <definedName name="BEx1SVNCHNANBJIDIQVB8AFK4HAN" hidden="1">#REF!</definedName>
    <definedName name="BEx1TE2YGKCOGDSQUWA9TLZW5GV4" hidden="1">#REF!</definedName>
    <definedName name="BEx1TJ0WLS9O7KNSGIPWTYHDYI1D" hidden="1">#REF!</definedName>
    <definedName name="BEx1TLF98B75D1P3EJQ1GRYKUU6P" hidden="1">#REF!</definedName>
    <definedName name="BEx1TYRAHXVPGDVF5KTTB3900F58" hidden="1">#REF!</definedName>
    <definedName name="BEx1U15M7LVVFZENH830B2BGWC04" localSheetId="3" hidden="1">#REF!</definedName>
    <definedName name="BEx1U15M7LVVFZENH830B2BGWC04" hidden="1">#REF!</definedName>
    <definedName name="BEx1U5NGVTXGL4CIPVT5O034KGGR" localSheetId="3" hidden="1">#REF!</definedName>
    <definedName name="BEx1U5NGVTXGL4CIPVT5O034KGGR" hidden="1">#REF!</definedName>
    <definedName name="BEx1U7WFO8OZKB1EBF4H386JW91L" localSheetId="3" hidden="1">#REF!</definedName>
    <definedName name="BEx1U7WFO8OZKB1EBF4H386JW91L" hidden="1">#REF!</definedName>
    <definedName name="BEx1U87938YR9N6HYI24KVBKLOS3" localSheetId="3" hidden="1">#REF!</definedName>
    <definedName name="BEx1U87938YR9N6HYI24KVBKLOS3" hidden="1">#REF!</definedName>
    <definedName name="BEx1UESH4KDWHYESQU2IE55RS3LI" localSheetId="3" hidden="1">#REF!</definedName>
    <definedName name="BEx1UESH4KDWHYESQU2IE55RS3LI" hidden="1">#REF!</definedName>
    <definedName name="BEx1UFZM4VZBYSPNK43H7Y6HNB2B" hidden="1">#REF!</definedName>
    <definedName name="BEx1UI8N9KTCPSOJ7RDW0T8UEBNP" hidden="1">#REF!</definedName>
    <definedName name="BEx1UML0HHJFHA5TBOYQ24I3RV1W" hidden="1">#REF!</definedName>
    <definedName name="BEx1UUDIQPZ23XQ79GUL0RAWRSCK" hidden="1">#REF!</definedName>
    <definedName name="BEx1UUTSK2C11SHV8AJXLYCJP9N4" hidden="1">#REF!</definedName>
    <definedName name="BEx1V67SEV778NVW68J8W5SND1J7" hidden="1">#REF!</definedName>
    <definedName name="BEx1VAK6RBDZVE57N471WHPORUOE" hidden="1">#REF!</definedName>
    <definedName name="BEx1VIY9SQLRESD11CC4PHYT0XSG" hidden="1">#REF!</definedName>
    <definedName name="BEx1WC67EH10SC38QWX3WEA5KH3A"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B1FAS5PHU33TJ60SUHR618" hidden="1">#REF!</definedName>
    <definedName name="BEx1WX04G0INSPPG9NTNR3DYR6PZ" hidden="1">#REF!</definedName>
    <definedName name="BEx1X1SS6VBZVRNQ2BCV14SDSN2T" hidden="1">#REF!</definedName>
    <definedName name="BEx1X3LHU9DPG01VWX2IF65TRATF" hidden="1">#REF!</definedName>
    <definedName name="BEx1XK8AAMO0AH0Z1OUKW30CA7EQ" hidden="1">#REF!</definedName>
    <definedName name="BEx1XL4MZ7C80495GHQRWOBS16PQ" hidden="1">#REF!</definedName>
    <definedName name="BEx1Y2IGS2K95E1M51PEF9KJZ0KB" hidden="1">#REF!</definedName>
    <definedName name="BEx1Y3PKK83X2FN9SAALFHOWKMRQ" hidden="1">#REF!</definedName>
    <definedName name="BEx1Y40E3PP1FR4Z1T8TYMERO4NV" hidden="1">#REF!</definedName>
    <definedName name="BEx1YESSUDLAERX6LBB8V56M8SLC"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3OD51ISAN2LLIBMULN0U4ZC" hidden="1">#REF!</definedName>
    <definedName name="BEx3BAKI5N8MFGVWZWCRJQZ879OO" hidden="1">#REF!</definedName>
    <definedName name="BEx3BG9I89VA2OLYT4PV61JDXU69" hidden="1">#REF!</definedName>
    <definedName name="BEx3BG9J3N0QW0HQLPDKHG4LNUP8"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WAOSJWUXB8I63LLLOB0IJP1" hidden="1">#REF!</definedName>
    <definedName name="BEx3BYP0FG369M7G3JEFLMMXAKTS" hidden="1">#REF!</definedName>
    <definedName name="BEx3C2QR0WUD19QSVO8EMIPNQJKH" hidden="1">#REF!</definedName>
    <definedName name="BEx3C8AAGO4EJFEL0JJN2VY0HYIB" hidden="1">#REF!</definedName>
    <definedName name="BEx3CCS3VNR1KW2R7DKSQFZ17QW0" hidden="1">#REF!</definedName>
    <definedName name="BEx3CJTRYTU2EE1EL7M6DVFD01KO" hidden="1">#REF!</definedName>
    <definedName name="BEx3CKFCCPZZ6ROLAT5C1DZNIC1U" hidden="1">#REF!</definedName>
    <definedName name="BEx3CN4AESXZTH159TR8B9DJG12Z" hidden="1">#REF!</definedName>
    <definedName name="BEx3CO0SVO4WLH0DO43DCHYDTH1P" hidden="1">#REF!</definedName>
    <definedName name="BEx3D9G6QTSPF9UYI4X0XY0VE896" hidden="1">#REF!</definedName>
    <definedName name="BEx3DCQU9PBRXIMLO62KS5RLH447" hidden="1">#REF!</definedName>
    <definedName name="BEx3E9K8R6R3TVXS3UM0127D8DNP" hidden="1">#REF!</definedName>
    <definedName name="BEx3EE23XC21IEMZ81C84ZBTBZA8"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UUAX947Q5N6MY6W0KSNY78Y" hidden="1">#REF!</definedName>
    <definedName name="BEx3EYVWCTX3E5LGECYH82ENAGBU" hidden="1">#REF!</definedName>
    <definedName name="BEx3F0JC8H5K4UPZ6HTO1OZ2OOOA" hidden="1">#REF!</definedName>
    <definedName name="BEx3F86EA79UA9R15EEYT5ZAYQGI" hidden="1">#REF!</definedName>
    <definedName name="BEx3FF2JGKF9FOM69W2I5I0JVUSZ" hidden="1">#REF!</definedName>
    <definedName name="BEx3FHMD1P5XBCH23ZKIFO6ZTCNB" hidden="1">#REF!</definedName>
    <definedName name="BEx3FI2G3YYIACQHXNXEA15M8ZK5" hidden="1">#REF!</definedName>
    <definedName name="BEx3FJ9MHSLDK8W91GO85FX1GX57" hidden="1">#REF!</definedName>
    <definedName name="BEx3FNM4HIBMXBBXPV7LKCWA3GHW" hidden="1">#REF!</definedName>
    <definedName name="BEx3FR251HFU7A33PU01SJUENL2B" hidden="1">#REF!</definedName>
    <definedName name="BEx3FRIE1T53ZMO1E61ZGQ9THDOQ" hidden="1">#REF!</definedName>
    <definedName name="BEx3FX7EJL47JSLSWP3EOC265WAE" localSheetId="3" hidden="1">#REF!</definedName>
    <definedName name="BEx3FX7EJL47JSLSWP3EOC265WAE" hidden="1">#REF!</definedName>
    <definedName name="BEx3G201R8NLJ6FIHO2QS0SW9QVV" localSheetId="3" hidden="1">#REF!</definedName>
    <definedName name="BEx3G201R8NLJ6FIHO2QS0SW9QVV" hidden="1">#REF!</definedName>
    <definedName name="BEx3G2LL2II66XY5YCDPG4JE13A3" localSheetId="3" hidden="1">#REF!</definedName>
    <definedName name="BEx3G2LL2II66XY5YCDPG4JE13A3" hidden="1">#REF!</definedName>
    <definedName name="BEx3G2WA0DTYY9D8AGHHOBTPE2B2" hidden="1">#REF!</definedName>
    <definedName name="BEx3G3HT0ZM1BO84RTJMXZ1842C6" hidden="1">#REF!</definedName>
    <definedName name="BEx3GCXR6IAS0B6WJ03GJVH7CO52" localSheetId="3" hidden="1">#REF!</definedName>
    <definedName name="BEx3GCXR6IAS0B6WJ03GJVH7CO52" hidden="1">#REF!</definedName>
    <definedName name="BEx3GEVV18SEQDI1JGY7EN6D1GT1" localSheetId="3" hidden="1">#REF!</definedName>
    <definedName name="BEx3GEVV18SEQDI1JGY7EN6D1GT1" hidden="1">#REF!</definedName>
    <definedName name="BEx3GKFH64MKQX61S7DYTZ15JCPY" localSheetId="3"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GVD97A24S6H24BSXJFP4JCW6" hidden="1">#REF!</definedName>
    <definedName name="BEx3H5UX2GZFZZT657YR76RHW5I6" hidden="1">#REF!</definedName>
    <definedName name="BEx3HMSEFOP6DBM4R97XA6B7NFG6" hidden="1">#REF!</definedName>
    <definedName name="BEx3HNZM1GOP9RT8C2AXOMFXIMQ8" hidden="1">#REF!</definedName>
    <definedName name="BEx3HWJ5SQSD2CVCQNR183X44FR8" hidden="1">#REF!</definedName>
    <definedName name="BEx3I09YVXO0G4X7KGSA4WGORM35" hidden="1">#REF!</definedName>
    <definedName name="BEx3I7BLM11AXCZ8E4JU8ZIAXPAS" hidden="1">#REF!</definedName>
    <definedName name="BEx3ICF1GY8HQEBIU9S43PDJ90BX" hidden="1">#REF!</definedName>
    <definedName name="BEx3IYAH2DEBFWO8F94H4MXE3RLY" hidden="1">#REF!</definedName>
    <definedName name="BEx3IZXXSYEW50379N2EAFWO8DZV" hidden="1">#REF!</definedName>
    <definedName name="BEx3J1VZVGTKT4ATPO9O5JCSFTTR" hidden="1">#REF!</definedName>
    <definedName name="BEx3JC2TY7JNAAC3L7QHVPQXLGQ8" hidden="1">#REF!</definedName>
    <definedName name="BEx3JHMINP1THWDI6C83QR21FBGR" hidden="1">#REF!</definedName>
    <definedName name="BEx3JX23SYDIGOGM4Y0CQFBW8ZBV" hidden="1">#REF!</definedName>
    <definedName name="BEx3JXCXCVBZJGV5VEG9MJEI01AL" hidden="1">#REF!</definedName>
    <definedName name="BEx3JY98ZGQOIJAD31AKR12C64LP" hidden="1">#REF!</definedName>
    <definedName name="BEx3JYK2N7X59TPJSKYZ77ENY8SS" hidden="1">#REF!</definedName>
    <definedName name="BEx3K4EII7GU1CG0BN7UL15M6J8Z" hidden="1">#REF!</definedName>
    <definedName name="BEx3K4ZXQUQ2KYZF74B84SO48XMW" hidden="1">#REF!</definedName>
    <definedName name="BEx3K5QZUNWBEQQWDCJDXXFBV4QK" hidden="1">#REF!</definedName>
    <definedName name="BEx3KC6WKRCQX6L4P34ZM7CCJFBT"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7NTB2BHXP26B5F4A3PRTY0Z" hidden="1">#REF!</definedName>
    <definedName name="BEx3LM1PR4Y7KINKMTMKR984GX8Q" hidden="1">#REF!</definedName>
    <definedName name="BEx3LPCEZ1C0XEKNCM3YT09JWCUO" hidden="1">#REF!</definedName>
    <definedName name="BEx3LTU80DDHQRJRLVN79J3RC5Z0" hidden="1">#REF!</definedName>
    <definedName name="BEx3LUL5EICSTN6KP1M6B7NAHYVO" hidden="1">#REF!</definedName>
    <definedName name="BEx3M1MR1K1NQD03H74BFWOK4MWQ" hidden="1">#REF!</definedName>
    <definedName name="BEx3M4H77MYUKOOD31H9F80NMVK8" hidden="1">#REF!</definedName>
    <definedName name="BEx3M885DQ9KX2HJ6T6P6HDY9GC4" hidden="1">#REF!</definedName>
    <definedName name="BEx3M9VFX329PZWYC4DMZ6P3W9R2" hidden="1">#REF!</definedName>
    <definedName name="BEx3MCQ0L5NQSPA1DGA0QTYSLHNP" hidden="1">#REF!</definedName>
    <definedName name="BEx3MCQ0VEBV0CZXDS505L38EQ8N" hidden="1">#REF!</definedName>
    <definedName name="BEx3ME2HC294KYAUDR73NXYGVDW0" hidden="1">#REF!</definedName>
    <definedName name="BEx3MEYV5LQY0BAL7V3CFAFVOM3T" hidden="1">#REF!</definedName>
    <definedName name="BEx3MREOFWJQEYMCMBL7ZE06NBN6" hidden="1">#REF!</definedName>
    <definedName name="BEx3MRPHDEYR919ZKPYTH3O7DQTY" hidden="1">#REF!</definedName>
    <definedName name="BEx3NKXF7GYXHBK75UI6MDRUSU0J" hidden="1">#REF!</definedName>
    <definedName name="BEx3NLIZ7PHF2XE59ECZ3MD04ZG1" hidden="1">#REF!</definedName>
    <definedName name="BEx3NMQ4BVC94728AUM7CCX7UHTU" hidden="1">#REF!</definedName>
    <definedName name="BEx3NNBPZUO6BZU0DLA11SQERG4L" hidden="1">#REF!</definedName>
    <definedName name="BEx3NR2I4OUFP3Z2QZEDU2PIFIDI" hidden="1">#REF!</definedName>
    <definedName name="BEx3NVV3RL4UV2EU430NY5LKTPXD" hidden="1">#REF!</definedName>
    <definedName name="BEx3O1420BO99ELGBDOEK6YUS2AH" hidden="1">#REF!</definedName>
    <definedName name="BEx3O19B8FTTAPVT5DZXQGQXWFR8" hidden="1">#REF!</definedName>
    <definedName name="BEx3O208V4211X3WMWUFFIW28Y5U" hidden="1">#REF!</definedName>
    <definedName name="BEx3O7JY7N5U41CVEUHYIEK343YH" hidden="1">#REF!</definedName>
    <definedName name="BEx3O85IKWARA6NCJOLRBRJFMEWW" hidden="1">#REF!</definedName>
    <definedName name="BEx3OFCGQH8N5QT3C8M44CX5CLHX" localSheetId="3" hidden="1">#REF!</definedName>
    <definedName name="BEx3OFCGQH8N5QT3C8M44CX5CLHX" hidden="1">#REF!</definedName>
    <definedName name="BEx3OJZSCGFRW7SVGBFI0X9DNVMM" localSheetId="3" hidden="1">#REF!</definedName>
    <definedName name="BEx3OJZSCGFRW7SVGBFI0X9DNVMM" hidden="1">#REF!</definedName>
    <definedName name="BEx3ORSBUXAF21MKEY90YJV9AY9A" localSheetId="3" hidden="1">#REF!</definedName>
    <definedName name="BEx3ORSBUXAF21MKEY90YJV9AY9A" hidden="1">#REF!</definedName>
    <definedName name="BEx3OV8BH6PYNZT7C246LOAU9SVX" hidden="1">#REF!</definedName>
    <definedName name="BEx3OXRYJZUEY6E72UJU0PHLMYAR" hidden="1">#REF!</definedName>
    <definedName name="BEx3P59TTRSGQY888P5C1O7M2PQT" hidden="1">#REF!</definedName>
    <definedName name="BEx3PDNRRNKD5GOUBUQFXAHIXLD9" hidden="1">#REF!</definedName>
    <definedName name="BEx3PDT8GNPWLLN02IH1XPV90XYK" hidden="1">#REF!</definedName>
    <definedName name="BEx3PG24EE6BFX4WK0PD7YR4MWXE"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PCKN624WDXN9HIU6BDOOFL1" hidden="1">#REF!</definedName>
    <definedName name="BEx3PVXYZC8WB9ZJE7OCKUXZ46EA" hidden="1">#REF!</definedName>
    <definedName name="BEx3Q0VWPU5EQECK7MQ47TYJ3SWW" hidden="1">#REF!</definedName>
    <definedName name="BEx3Q7BZ9PUXK2RLIOFSIS9AHU1B" hidden="1">#REF!</definedName>
    <definedName name="BEx3Q8J42S9VU6EAN2Y28MR6DF88" hidden="1">#REF!</definedName>
    <definedName name="BEx3QEDFOYFY5NBTININ5W4RLD4Q" hidden="1">#REF!</definedName>
    <definedName name="BEx3QIKJ3U962US1Q564NZDLU8LD" hidden="1">#REF!</definedName>
    <definedName name="BEx3QLKKMOCYGB7DSNC29XGRU52O" hidden="1">#REF!</definedName>
    <definedName name="BEx3QR9D45DHW50VQ7Y3Q1AXPOB9" hidden="1">#REF!</definedName>
    <definedName name="BEx3QSWT2S5KWG6U2V9711IYDQBM" hidden="1">#REF!</definedName>
    <definedName name="BEx3QU9AM2D9N0887SF1H9427JKU" hidden="1">#REF!</definedName>
    <definedName name="BEx3QVGG7Q2X4HZHJAM35A8T3VR7" hidden="1">#REF!</definedName>
    <definedName name="BEx3R0JUB9YN8PHPPQTAMIT1IHWK" hidden="1">#REF!</definedName>
    <definedName name="BEx3R81NFRO7M81VHVKOBFT0QBIL" hidden="1">#REF!</definedName>
    <definedName name="BEx3R8N7YCUKJFKXRC8VVKDGUCWT" hidden="1">#REF!</definedName>
    <definedName name="BEx3RFJCSRTFFKD3A8DC3F4ZHW92" hidden="1">#REF!</definedName>
    <definedName name="BEx3RHC2ZD5UFS6QD4OPFCNNMWH1" hidden="1">#REF!</definedName>
    <definedName name="BEx3RHMVYSP3UJFE4JFGYN439AJK" hidden="1">#REF!</definedName>
    <definedName name="BEx3RKHARL8IJX5B7DY70B7NIRVT" hidden="1">#REF!</definedName>
    <definedName name="BEx3RQ10QIWBAPHALAA91BUUCM2X" hidden="1">#REF!</definedName>
    <definedName name="BEx3RV4E1WT43SZBUN09RTB8EK1O" hidden="1">#REF!</definedName>
    <definedName name="BEx3RXO31FBRRLV0JNYV5WKXBI0B" hidden="1">#REF!</definedName>
    <definedName name="BEx3RXYU0QLFXSFTM5EB20GD03W5" hidden="1">#REF!</definedName>
    <definedName name="BEx3RYKLC3QQO3XTUN7BEW2AQL98" hidden="1">#REF!</definedName>
    <definedName name="BEx3S0D6JUMB108LOCZDSMZJEEJ5" hidden="1">#REF!</definedName>
    <definedName name="BEx3SHWF5FZ1ENNWE8YT6JTBCDWU" hidden="1">#REF!</definedName>
    <definedName name="BEx3SICJ45BYT6FHBER86PJT25FC" hidden="1">#REF!</definedName>
    <definedName name="BEx3SMUCMJVGQ2H4EHQI5ZFHEF0P" hidden="1">#REF!</definedName>
    <definedName name="BEx3SN56F03CPDRDA7LZ763V0N4I" hidden="1">#REF!</definedName>
    <definedName name="BEx3SPE6N1ORXPRCDL3JPZD73Z9F" hidden="1">#REF!</definedName>
    <definedName name="BEx3T29ZTULQE0OMSMWUMZDU9ZZ0" hidden="1">#REF!</definedName>
    <definedName name="BEx3T6MJ1QDJ929WMUDVZ0O3UW0Y" hidden="1">#REF!</definedName>
    <definedName name="BEx3T90SRPHVFZGKZPEL156PTBLG" hidden="1">#REF!</definedName>
    <definedName name="BEx3TMNO7NM03FQTML6ZEBRQXY0M"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G11PSVRK9DW5ZNKOB4T24MN" hidden="1">#REF!</definedName>
    <definedName name="BEx3UIQ5B7PL8QJ6RI0LF7QJWLLO" localSheetId="3" hidden="1">#REF!</definedName>
    <definedName name="BEx3UIQ5B7PL8QJ6RI0LF7QJWLLO" hidden="1">#REF!</definedName>
    <definedName name="BEx3UIQ5WRJBGNTFCCLOR4N7B1OQ" localSheetId="3" hidden="1">#REF!</definedName>
    <definedName name="BEx3UIQ5WRJBGNTFCCLOR4N7B1OQ" hidden="1">#REF!</definedName>
    <definedName name="BEx3UJMIX2NUSSWGMSI25A5DM4CH" localSheetId="3" hidden="1">#REF!</definedName>
    <definedName name="BEx3UJMIX2NUSSWGMSI25A5DM4CH" hidden="1">#REF!</definedName>
    <definedName name="BEx3UKOCOQG7S1YQ436S997K1KWV" hidden="1">#REF!</definedName>
    <definedName name="BEx3UQ7WT8T56S476IYJBFTP1FBY" hidden="1">#REF!</definedName>
    <definedName name="BEx3UU46FGPB8C5GM6QZZZNI8FY1" localSheetId="3" hidden="1">#REF!</definedName>
    <definedName name="BEx3UU46FGPB8C5GM6QZZZNI8FY1" hidden="1">#REF!</definedName>
    <definedName name="BEx3UYM19VIXLA0EU7LB9NHA77PB" localSheetId="3" hidden="1">#REF!</definedName>
    <definedName name="BEx3UYM19VIXLA0EU7LB9NHA77PB" hidden="1">#REF!</definedName>
    <definedName name="BEx3V0EPR8DD44FA1TJFATXBJ5BA" localSheetId="3" hidden="1">#REF!</definedName>
    <definedName name="BEx3V0EPR8DD44FA1TJFATXBJ5BA" hidden="1">#REF!</definedName>
    <definedName name="BEx3VML7CG70HPISMVYIUEN3711Q" hidden="1">#REF!</definedName>
    <definedName name="BEx56ZID5H04P9AIYLP1OASFGV56" hidden="1">#REF!</definedName>
    <definedName name="BEx57VVOKGYOTHR9Z8AJNKRDSU20" hidden="1">#REF!</definedName>
    <definedName name="BEx587EYSS57E3PI8DT973HLJM9E" hidden="1">#REF!</definedName>
    <definedName name="BEx587KFQ3VKCOCY1SA5F24PQGUI" hidden="1">#REF!</definedName>
    <definedName name="BEx589YSF6Z3BES2WDO9VJF6J7RD" hidden="1">#REF!</definedName>
    <definedName name="BEx58HRBEO7GYHL70I9S0DIIR5Y3" hidden="1">#REF!</definedName>
    <definedName name="BEx58O1WGJ5ARYSTQ7E7Z9CZ70FW" hidden="1">#REF!</definedName>
    <definedName name="BEx58O780PQ05NF0Z1SKKRB3N099" hidden="1">#REF!</definedName>
    <definedName name="BEx58XHO7ZULLF2EUD7YIS0MGQJ5" hidden="1">#REF!</definedName>
    <definedName name="BEx58ZW0HAIGIPEX9CVA1PQQTR6X" hidden="1">#REF!</definedName>
    <definedName name="BEx59BA1KH3RG6K1LHL7YS2VB79N" hidden="1">#REF!</definedName>
    <definedName name="BEx59E9WABJP2TN71QAIKK79HPK9" hidden="1">#REF!</definedName>
    <definedName name="BEx59P7MAPNU129ZTC5H3EH892G1" hidden="1">#REF!</definedName>
    <definedName name="BEx5A11WZRQSIE089QE119AOX9ZG" hidden="1">#REF!</definedName>
    <definedName name="BEx5A6ATFUVEJ0HUDROD1OO0CGV5" hidden="1">#REF!</definedName>
    <definedName name="BEx5A7CIGCOTHJKHGUBDZG91JGPZ" hidden="1">#REF!</definedName>
    <definedName name="BEx5A8UFLT2SWVSG5COFA9B8P376" hidden="1">#REF!</definedName>
    <definedName name="BEx5AFFTN3IXIBHDKM0FYC4OFL1S" hidden="1">#REF!</definedName>
    <definedName name="BEx5AOFIO8KVRHIZ1RII337AA8ML" hidden="1">#REF!</definedName>
    <definedName name="BEx5APRZ66L5BWHFE8E4YYNEDTI4" hidden="1">#REF!</definedName>
    <definedName name="BEx5ARVI26GBOMZ6NBHE2KUBTNSP" hidden="1">#REF!</definedName>
    <definedName name="BEx5AUVDSQ35VO4BD9AKKGBM5S7D" localSheetId="3" hidden="1">#REF!</definedName>
    <definedName name="BEx5AUVDSQ35VO4BD9AKKGBM5S7D" hidden="1">#REF!</definedName>
    <definedName name="BEx5B4RHHX0J1BF2FZKEA0SPP29O" localSheetId="3" hidden="1">#REF!</definedName>
    <definedName name="BEx5B4RHHX0J1BF2FZKEA0SPP29O" hidden="1">#REF!</definedName>
    <definedName name="BEx5B5YMSWP0OVI5CIQRP5V18D0C" localSheetId="3"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5L6LIQ99M87XJMWWNL031Z" hidden="1">#REF!</definedName>
    <definedName name="BEx5BDR56MEV4IHY6CIH2SVNG1UB" hidden="1">#REF!</definedName>
    <definedName name="BEx5BESZC5H329SKHGJOHZFILYJJ" hidden="1">#REF!</definedName>
    <definedName name="BEx5BHSQ42B50IU1TEQFUXFX9XQD" hidden="1">#REF!</definedName>
    <definedName name="BEx5BKHUCQEM4FA2DEQUKKC2QEYR" hidden="1">#REF!</definedName>
    <definedName name="BEx5BKSM4UN4C1DM3EYKM79MRC5K" hidden="1">#REF!</definedName>
    <definedName name="BEx5BNN8NPH9KVOBARB9CDD9WLB6" hidden="1">#REF!</definedName>
    <definedName name="BEx5BQ6UF5C89VX5ZUUUNN7Q2S3Z" hidden="1">#REF!</definedName>
    <definedName name="BEx5BWC3RHNNZZNXQ3IJ1GNNZW7M" hidden="1">#REF!</definedName>
    <definedName name="BEx5BXJATFA4GZNILN2UJ1D2AOGO"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PEKNSJORIPFQC2E1LTRYY8L" hidden="1">#REF!</definedName>
    <definedName name="BEx5CSUOL05D8PAM2TRDA9VRJT1O" hidden="1">#REF!</definedName>
    <definedName name="BEx5CUNFOO4YDFJ22HCMI2QKIGKM" hidden="1">#REF!</definedName>
    <definedName name="BEx5D2W3OTZO7F8Q91CV254Q4LKE" hidden="1">#REF!</definedName>
    <definedName name="BEx5D5W0OED6788ZKXNBW6BMYRB4"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EW87ACRI46LAKG0VDJVFLG7R" hidden="1">#REF!</definedName>
    <definedName name="BEx5F6KF3SROYIFF0A1HJRV87YZC" hidden="1">#REF!</definedName>
    <definedName name="BEx5F6V72QTCK7O39Y59R0EVM6CW" hidden="1">#REF!</definedName>
    <definedName name="BEx5F9K9B2XA4LVU2LJMI89AW8BO" hidden="1">#REF!</definedName>
    <definedName name="BEx5FGLQVACD5F5YZG4DGSCHCGO2" hidden="1">#REF!</definedName>
    <definedName name="BEx5FLJWHLW3BTZILDPN5NMA449V" hidden="1">#REF!</definedName>
    <definedName name="BEx5FNI2O10YN2SI1NO4X5GP3GTF" hidden="1">#REF!</definedName>
    <definedName name="BEx5FO8YRFSZCG3L608EHIHIHFY4" hidden="1">#REF!</definedName>
    <definedName name="BEx5FOUK8T0EOTFUKGIWKKOE6F7G" hidden="1">#REF!</definedName>
    <definedName name="BEx5FQNA6V4CNYSH013K45RI4BCV" hidden="1">#REF!</definedName>
    <definedName name="BEx5FVQPPEU32CPNV9RRQ9MNLLVE" hidden="1">#REF!</definedName>
    <definedName name="BEx5FZC6RK92TU32WZ4N099LWYKZ"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ID9MVBUPFFT9M8K8B5MO9NV">#REF!</definedName>
    <definedName name="BEx5GN0EWA9SCQDPQ7NTUQH82QVK" hidden="1">#REF!</definedName>
    <definedName name="BEx5GNBCU4WZ74I0UXFL9ZG2XSGJ" hidden="1">#REF!</definedName>
    <definedName name="BEx5GUCTYC7QCWGWU5BTO7Y7HDZX" hidden="1">#REF!</definedName>
    <definedName name="BEx5GYUPJULJQ624TEESYFG1NFOH" hidden="1">#REF!</definedName>
    <definedName name="BEx5H0NEE0AIN5E2UHJ9J9ISU9N1" hidden="1">#REF!</definedName>
    <definedName name="BEx5H1UJSEUQM2K8QHQXO5THVHSO" hidden="1">#REF!</definedName>
    <definedName name="BEx5H78SWSMTWKQVAC01YN6480JD"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8DU0ZDRX2BY3TDR7LG7FYG" hidden="1">#REF!</definedName>
    <definedName name="BEx5HJZ9FAVNZSSBTAYRPZDYM9NU" hidden="1">#REF!</definedName>
    <definedName name="BEx5HMDKAGHEFJ193YZUKU547LDS" hidden="1">#REF!</definedName>
    <definedName name="BEx5HZ9JMKHNLFWLVUB1WP5B39BL" hidden="1">#REF!</definedName>
    <definedName name="BEx5I1D22RX2VD9NZESVVM6JZ8G5" hidden="1">#REF!</definedName>
    <definedName name="BEx5I244LQHZTF3XI66J8705R9XX" hidden="1">#REF!</definedName>
    <definedName name="BEx5I5K5UOAJ82FDJ4HULUM3KX7E"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IMN4F143KVYVDFOQYZVJG5X6" hidden="1">#REF!</definedName>
    <definedName name="BEx5ITU42638OWOBF2BOWE37XFP9" hidden="1">#REF!</definedName>
    <definedName name="BEx5J0FFP1KS4NGY20AEJI8VREEA"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QCNT9Y4RM306CHC8IPY3HBZ" hidden="1">#REF!</definedName>
    <definedName name="BEx5K08PYKE6JOKBYIB006TX619P" hidden="1">#REF!</definedName>
    <definedName name="BEx5K51DSERT1TR7B4A29R41W4NX" hidden="1">#REF!</definedName>
    <definedName name="BEx5KF88OT7666J799PZCTHRBOPU" hidden="1">#REF!</definedName>
    <definedName name="BEx5KMVAY7UVXRQY7NI5EZYMNGC7"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#REF!</definedName>
    <definedName name="BEx5LZ9QXSWRX35EGBF4FB303PNE">#REF!</definedName>
    <definedName name="BEx5MB9BR71LZDG7XXQ2EO58JC5F" hidden="1">#REF!</definedName>
    <definedName name="BEx5MLQZM68YQSKARVWTTPINFQ2C" hidden="1">#REF!</definedName>
    <definedName name="BEx5MVXTKNBXHNWTL43C670E4KXC" localSheetId="3" hidden="1">#REF!</definedName>
    <definedName name="BEx5MVXTKNBXHNWTL43C670E4KXC" hidden="1">#REF!</definedName>
    <definedName name="BEx5N4XI4PWB1W9PMZ4O5R0HWTYD" localSheetId="3" hidden="1">#REF!</definedName>
    <definedName name="BEx5N4XI4PWB1W9PMZ4O5R0HWTYD" hidden="1">#REF!</definedName>
    <definedName name="BEx5N8TQPT9Q7AMBG5SNEYKR98Y8" localSheetId="3" hidden="1">#REF!</definedName>
    <definedName name="BEx5N8TQPT9Q7AMBG5SNEYKR98Y8" hidden="1">#REF!</definedName>
    <definedName name="BEx5NA68N6FJFX9UJXK4M14U487F" hidden="1">#REF!</definedName>
    <definedName name="BEx5ND64XZTLSC6HF2CJ3WYIIH2F" hidden="1">#REF!</definedName>
    <definedName name="BEx5NHTGLW35S2ITT7VPUKDNZRF7" hidden="1">#REF!</definedName>
    <definedName name="BEx5NIKBG2GDJOYGE3WCXKU7YY51" hidden="1">#REF!</definedName>
    <definedName name="BEx5NV06L5J5IMKGOMGKGJ4PBZCD" hidden="1">#REF!</definedName>
    <definedName name="BEx5NZSSQ6PY99ZX2D7Q9IGOR34W" hidden="1">#REF!</definedName>
    <definedName name="BEx5O2CHK5IPBZFPSJ15PKMKXH2W" hidden="1">#REF!</definedName>
    <definedName name="BEx5O3ZUQ2OARA1CDOZ3NC4UE5AA" hidden="1">#REF!</definedName>
    <definedName name="BEx5OAFS0NJ2CB86A02E1JYHMLQ1" hidden="1">#REF!</definedName>
    <definedName name="BEx5OFDQH6J3G0YOE5U93X2QN95E" hidden="1">#REF!</definedName>
    <definedName name="BEx5OG4RPU8W1ETWDWM234NYYYEN" hidden="1">#REF!</definedName>
    <definedName name="BEx5OP9Y43F99O2IT69MKCCXGL61" hidden="1">#REF!</definedName>
    <definedName name="BEx5ORDB6IPFBL15XLQCRC6PS01K" hidden="1">#REF!</definedName>
    <definedName name="BEx5P3243YD55WK9A04WKXBOHZ9F" hidden="1">#REF!</definedName>
    <definedName name="BEx5P9Y9RDXNUAJ6CZ2LHMM8IM7T" localSheetId="3" hidden="1">#REF!</definedName>
    <definedName name="BEx5P9Y9RDXNUAJ6CZ2LHMM8IM7T" hidden="1">#REF!</definedName>
    <definedName name="BEx5PF76KPATYJ4N41VA1D7CDWY4" localSheetId="3" hidden="1">#REF!</definedName>
    <definedName name="BEx5PF76KPATYJ4N41VA1D7CDWY4" hidden="1">#REF!</definedName>
    <definedName name="BEx5PHWB2C0D5QLP3BZIP3UO7DIZ" localSheetId="3"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3V0EP8EMNRC3EZJJKKVKWQVB" hidden="1">#REF!</definedName>
    <definedName name="BEx741WJHIJVXUX131SBXTVW8D71" hidden="1">#REF!</definedName>
    <definedName name="BEx74ESIB9Y8KGETIERMKU5PLCQR" hidden="1">#REF!</definedName>
    <definedName name="BEx74Q6H3O7133AWQXWC21MI2UFT" hidden="1">#REF!</definedName>
    <definedName name="BEx74SVN624OKKQLMBVAPE9KAL13" hidden="1">#REF!</definedName>
    <definedName name="BEx74W6BJ8ENO3J25WNM5H5APKA3" hidden="1">#REF!</definedName>
    <definedName name="BEx7532GP65LPFYWT7B0NMQMFZNV" hidden="1">#REF!</definedName>
    <definedName name="BEx755GRRD9BL27YHLH5QWIYLWB7" hidden="1">#REF!</definedName>
    <definedName name="BEx7579IFVUAVJ784K1JNXQW1Z9I" hidden="1">#REF!</definedName>
    <definedName name="BEx759D1D5SXS5ELLZVBI0SXYUNF" hidden="1">#REF!</definedName>
    <definedName name="BEx75GJZSZHUDN6OOAGQYFUDA2LP" hidden="1">#REF!</definedName>
    <definedName name="BEx75HGCCV5K4UCJWYV8EV9AG5YT" hidden="1">#REF!</definedName>
    <definedName name="BEx75OHUDAC9RZDLL9L4I1L7VQ21" hidden="1">#REF!</definedName>
    <definedName name="BEx75PZT8TY5P13U978NVBUXKHT4" localSheetId="3" hidden="1">#REF!</definedName>
    <definedName name="BEx75PZT8TY5P13U978NVBUXKHT4" hidden="1">#REF!</definedName>
    <definedName name="BEx75T55F7GML8V1DMWL26WRT006" localSheetId="3" hidden="1">#REF!</definedName>
    <definedName name="BEx75T55F7GML8V1DMWL26WRT006" hidden="1">#REF!</definedName>
    <definedName name="BEx75VJGR07JY6UUWURQ4PJ29UKC" localSheetId="3" hidden="1">#REF!</definedName>
    <definedName name="BEx75VJGR07JY6UUWURQ4PJ29UKC" hidden="1">#REF!</definedName>
    <definedName name="BEx7696C3JFS7JTBL4CH2YB4GLHQ" hidden="1">#REF!</definedName>
    <definedName name="BEx76F0MJW2PS2LZH14RJZO14ARD" hidden="1">#REF!</definedName>
    <definedName name="BEx7741OUGLA0WJQLQRUJSL4DE00" localSheetId="3" hidden="1">#REF!</definedName>
    <definedName name="BEx7741OUGLA0WJQLQRUJSL4DE00" hidden="1">#REF!</definedName>
    <definedName name="BEx774N83DXLJZ54Q42PWIJZ2DN1" localSheetId="3" hidden="1">#REF!</definedName>
    <definedName name="BEx774N83DXLJZ54Q42PWIJZ2DN1" hidden="1">#REF!</definedName>
    <definedName name="BEx779QNIY3061ZV9BR462WKEGRW" localSheetId="3" hidden="1">#REF!</definedName>
    <definedName name="BEx779QNIY3061ZV9BR462WKEGRW" hidden="1">#REF!</definedName>
    <definedName name="BEx77G19QU9A95CNHE6QMVSQR2T3" hidden="1">#REF!</definedName>
    <definedName name="BEx77NIZM6XEWOV6EXQU2UG5MSUR" hidden="1">#REF!</definedName>
    <definedName name="BEx77P0S3GVMS7BJUL9OWUGJ1B02" localSheetId="3" hidden="1">#REF!</definedName>
    <definedName name="BEx77P0S3GVMS7BJUL9OWUGJ1B02" hidden="1">#REF!</definedName>
    <definedName name="BEx77P69SYJJ2S37W7MAD4IWKUO4" localSheetId="3" hidden="1">#REF!</definedName>
    <definedName name="BEx77P69SYJJ2S37W7MAD4IWKUO4" hidden="1">#REF!</definedName>
    <definedName name="BEx77QDESURI6WW5582YXSK3A972" localSheetId="3" hidden="1">#REF!</definedName>
    <definedName name="BEx77QDESURI6WW5582YXSK3A972" hidden="1">#REF!</definedName>
    <definedName name="BEx77U9O8O8ZI1JB5ZFCC25C06DJ"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7GF57Y7X323F3OTRWSGH7HZ" hidden="1">#REF!</definedName>
    <definedName name="BEx7881ZZBWHRAX6W2GY19J8MGEQ" hidden="1">#REF!</definedName>
    <definedName name="BEx78HHRIWDLHQX2LG0HWFRYEL1T" hidden="1">#REF!</definedName>
    <definedName name="BEx78LE2GHJ4PVWT3ULLA2J3TY1V" hidden="1">#REF!</definedName>
    <definedName name="BEx78QMXZ2P1ZB3HJ9O50DWHCMXR" hidden="1">#REF!</definedName>
    <definedName name="BEx78SFO5VR28677DWZEMDN7G86X" hidden="1">#REF!</definedName>
    <definedName name="BEx78SFOYH1Z0ZDTO47W2M60TW6K" hidden="1">#REF!</definedName>
    <definedName name="BEx79APUP133FLMIO8AZJFIIYD1L">#REF!</definedName>
    <definedName name="BEx79JK3E6JO8MX4O35A5G8NZCC8">#REF!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UC7B0V77FSBGIRCY1BR4VK" hidden="1">#REF!</definedName>
    <definedName name="BEx7A06T3RC2891FUX05G3QPRAUE" hidden="1">#REF!</definedName>
    <definedName name="BEx7A18OPKC61FNESSBTAXMF8AW7" hidden="1">#REF!</definedName>
    <definedName name="BEx7A1DZ3ACKTQDO9ELXW44GL8Y2" hidden="1">#REF!</definedName>
    <definedName name="BEx7A7DRZSSF2EG6JQH27X93U90I" localSheetId="3" hidden="1">#REF!</definedName>
    <definedName name="BEx7A7DRZSSF2EG6JQH27X93U90I" hidden="1">#REF!</definedName>
    <definedName name="BEx7A9S3JA1X7FH4CFSQLTZC4691" localSheetId="3" hidden="1">#REF!</definedName>
    <definedName name="BEx7A9S3JA1X7FH4CFSQLTZC4691" hidden="1">#REF!</definedName>
    <definedName name="BEx7ABA2C9IWH5VSLVLLLCY62161" localSheetId="3" hidden="1">#REF!</definedName>
    <definedName name="BEx7ABA2C9IWH5VSLVLLLCY62161" hidden="1">#REF!</definedName>
    <definedName name="BEx7AE4LPLX8N85BYB0WCO5S7ZPV" hidden="1">#REF!</definedName>
    <definedName name="BEx7AJ81S7N0ZOX5HWUXTT04D8KK" hidden="1">#REF!</definedName>
    <definedName name="BEx7AQKAXA50BVHLEWZFVHEFM6BR" localSheetId="3" hidden="1">#REF!</definedName>
    <definedName name="BEx7AQKAXA50BVHLEWZFVHEFM6BR" hidden="1">#REF!</definedName>
    <definedName name="BEx7ASD1I654MEDCO6GGWA95PXSC" localSheetId="3" hidden="1">#REF!</definedName>
    <definedName name="BEx7ASD1I654MEDCO6GGWA95PXSC" hidden="1">#REF!</definedName>
    <definedName name="BEx7AVCX9S5RJP3NSZ4QM4E6ERDT" localSheetId="3" hidden="1">#REF!</definedName>
    <definedName name="BEx7AVCX9S5RJP3NSZ4QM4E6ERDT" hidden="1">#REF!</definedName>
    <definedName name="BEx7AVT704ZMAOMB9JGPZ6LXHSQG" hidden="1">#REF!</definedName>
    <definedName name="BEx7AVYIGP0930MV5JEBWRYCJN68">#REF!</definedName>
    <definedName name="BEx7B6LH6917TXOSAAQ6U7HVF018" hidden="1">#REF!</definedName>
    <definedName name="BEx7BPXFZXJ79FQ0E8AQE21PGVHA" hidden="1">#REF!</definedName>
    <definedName name="BEx7C04AM39DQMC1TIX7CFZ2ADHX" hidden="1">#REF!</definedName>
    <definedName name="BEx7C1RKPVBM823KIGN85C8NOGLB" hidden="1">#REF!</definedName>
    <definedName name="BEx7C40F0PQURHPI6YQ39NFIR86Z" hidden="1">#REF!</definedName>
    <definedName name="BEx7C93VR7SYRIJS1JO8YZKSFAW9" hidden="1">#REF!</definedName>
    <definedName name="BEx7CCPC6R1KQQZ2JQU6EFI1G0RM" hidden="1">#REF!</definedName>
    <definedName name="BEx7CDAXF5MHW62MV0JHIEM92MPI" hidden="1">#REF!</definedName>
    <definedName name="BEx7CIJST9GLS2QD383UK7VUDTGL" hidden="1">#REF!</definedName>
    <definedName name="BEx7CN1OPV8F04BRSJJSWFTXJAD5"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E2QSW841R32GCRO0M9X6GW5L"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V2C287ME9PQ0FIM5QWZ3O9K" hidden="1">#REF!</definedName>
    <definedName name="BEx7EWK9GUVV6FXWYIGH0TAI4V2O" hidden="1">#REF!</definedName>
    <definedName name="BEx7EYYLHMBYQTH6I377FCQS7CSX" hidden="1">#REF!</definedName>
    <definedName name="BEx7F3R8WBC6E9U65SYE1VCBPKTN" hidden="1">#REF!</definedName>
    <definedName name="BEx7FCLG1RYI2SNOU1Y2GQZNZSWA" hidden="1">#REF!</definedName>
    <definedName name="BEx7FN32ZGWOAA4TTH79KINTDWR9" hidden="1">#REF!</definedName>
    <definedName name="BEx7G0F5491O5LOO00O1AXXAE24R" hidden="1">#REF!</definedName>
    <definedName name="BEx7G82CKM3NIY1PHNFK28M09PCH" hidden="1">#REF!</definedName>
    <definedName name="BEx7GR3ENYWRXXS5IT0UMEGOLGUH" hidden="1">#REF!</definedName>
    <definedName name="BEx7GSAL6P7TASL8MB63RFST1LJL" hidden="1">#REF!</definedName>
    <definedName name="BEx7H0JCP7ZU8M0UWQXEBQ8U7WXG" hidden="1">#REF!</definedName>
    <definedName name="BEx7H0JD6I5I8WQLLWOYWY5YWPQE" hidden="1">#REF!</definedName>
    <definedName name="BEx7H14XCXH7WEXEY1HVO53A6AGH" hidden="1">#REF!</definedName>
    <definedName name="BEx7HFTIA8AC8BR8HKIN81VE1SGW" hidden="1">#REF!</definedName>
    <definedName name="BEx7HGVBEF4LEIF6RC14N3PSU461" hidden="1">#REF!</definedName>
    <definedName name="BEx7HNM5QUG90PN1J2VL176TH6KY"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JOI6V63WKXYU6YTHPHUSP7U" hidden="1">#REF!</definedName>
    <definedName name="BEx7IRRUY5JMPVVS2G8ZTVLVF9H8" hidden="1">#REF!</definedName>
    <definedName name="BEx7IV2IJ5WT7UC0UG7WP0WF2JZI" hidden="1">#REF!</definedName>
    <definedName name="BEx7IXGU74GE5E4S6W4Z13AR092Y" hidden="1">#REF!</definedName>
    <definedName name="BEx7J4YL8Q3BI1MLH16YYQ18IJRD" hidden="1">#REF!</definedName>
    <definedName name="BEx7J7CWKB4WKZAQMK3Z0S9GSOSM" hidden="1">#REF!</definedName>
    <definedName name="BEx7JH3HGBPI07OHZ5LFYK0UFZQR" hidden="1">#REF!</definedName>
    <definedName name="BEx7JV194190CNM6WWGQ3UBJ3CHH" hidden="1">#REF!</definedName>
    <definedName name="BEx7JZJ4XFUATU0PG7083JPTXG4K" hidden="1">#REF!</definedName>
    <definedName name="BEx7K469BHM1J8L2PEX3Z5HEMTCE" hidden="1">#REF!</definedName>
    <definedName name="BEx7K7GZ607XQOGB81A1HINBTGOZ" hidden="1">#REF!</definedName>
    <definedName name="BEx7KEYPBDXSNROH8M6CDCBN6B50" hidden="1">#REF!</definedName>
    <definedName name="BEx7KMGGB2E6YDRM0M7DPVYH3ADI" hidden="1">#REF!</definedName>
    <definedName name="BEx7KR92AZ8OH3I7N51J8AU9LRP3" localSheetId="3" hidden="1">#REF!</definedName>
    <definedName name="BEx7KR92AZ8OH3I7N51J8AU9LRP3" hidden="1">#REF!</definedName>
    <definedName name="BEx7KSAS8BZT6H8OQCZ5DNSTMO07" localSheetId="3" hidden="1">#REF!</definedName>
    <definedName name="BEx7KSAS8BZT6H8OQCZ5DNSTMO07" hidden="1">#REF!</definedName>
    <definedName name="BEx7KWHTBD21COXVI4HNEQH0Z3L8" localSheetId="3" hidden="1">#REF!</definedName>
    <definedName name="BEx7KWHTBD21COXVI4HNEQH0Z3L8" hidden="1">#REF!</definedName>
    <definedName name="BEx7KWY24UYSDR57WCCVR4KEHE7U" hidden="1">#REF!</definedName>
    <definedName name="BEx7KXUGRMRSUXCM97Z7VRZQ9JH2" hidden="1">#REF!</definedName>
    <definedName name="BEx7L21IQVP1N1TTQLRMANSSLSLE" hidden="1">#REF!</definedName>
    <definedName name="BEx7L5C6U8MP6IZ67BD649WQYJEK" hidden="1">#REF!</definedName>
    <definedName name="BEx7L7QID2UUN1F4435LIWAW8DV3" hidden="1">#REF!</definedName>
    <definedName name="BEx7L8HEYEVTATR0OG5JJO647KNI" hidden="1">#REF!</definedName>
    <definedName name="BEx7L8XOV64OMS15ZFURFEUXLMWF" hidden="1">#REF!</definedName>
    <definedName name="BEx7LJVFQACL9F4DRS9YZQ9R2N30" hidden="1">#REF!</definedName>
    <definedName name="BEx7LZ0D7JSY0VK5FBGMZE26ZKFJ" hidden="1">#REF!</definedName>
    <definedName name="BEx7MAUI1JJFDIJGDW4RWY5384LY" localSheetId="3" hidden="1">#REF!</definedName>
    <definedName name="BEx7MAUI1JJFDIJGDW4RWY5384LY" hidden="1">#REF!</definedName>
    <definedName name="BEx7MJZO3UKAMJ53UWOJ5ZD4GGMQ" localSheetId="3" hidden="1">#REF!</definedName>
    <definedName name="BEx7MJZO3UKAMJ53UWOJ5ZD4GGMQ" hidden="1">#REF!</definedName>
    <definedName name="BEx7MQ4RBQK32VUVPFRBYN76KSOD" localSheetId="3" hidden="1">#REF!</definedName>
    <definedName name="BEx7MQ4RBQK32VUVPFRBYN76KSOD" hidden="1">#REF!</definedName>
    <definedName name="BEx7MT4MFNXIVQGAT6D971GZW7CA" hidden="1">#REF!</definedName>
    <definedName name="BEx7NE3X8Z6J8PMTHDO51G0HICD5" hidden="1">#REF!</definedName>
    <definedName name="BEx7NI062THZAM6I8AJWTFJL91CS" hidden="1">#REF!</definedName>
    <definedName name="BEx8Z3M9Z5VD3MZ8TD1F5M49MOTD" hidden="1">#REF!</definedName>
    <definedName name="BEx8ZCWSI30U7NSNHLBK5HV2J2EN" hidden="1">#REF!</definedName>
    <definedName name="BEx904S75BPRYMHF0083JF7ES4NG" hidden="1">#REF!</definedName>
    <definedName name="BEx90EZ2HAURBQ5I4V6WD6NYD0AQ" hidden="1">#REF!</definedName>
    <definedName name="BEx90H2KA91ZVRIJCDN62HJVKQWC" hidden="1">#REF!</definedName>
    <definedName name="BEx90HDD4RWF7JZGA8GCGG7D63MG" hidden="1">#REF!</definedName>
    <definedName name="BEx90VGH5H09ON2QXYC9WIIEU98T" hidden="1">#REF!</definedName>
    <definedName name="BEx911LKH78Q9WUWXLOQFEL59ITN" hidden="1">#REF!</definedName>
    <definedName name="BEx911WE3W1AI7TEJHN5ROFMFVQ8" hidden="1">#REF!</definedName>
    <definedName name="BEx9175B70QXYAU5A8DJPGZQ46L9" localSheetId="3" hidden="1">#REF!</definedName>
    <definedName name="BEx9175B70QXYAU5A8DJPGZQ46L9" hidden="1">#REF!</definedName>
    <definedName name="BEx917QTZAYKMWFVDPZEDX8FH1J3" localSheetId="3" hidden="1">#REF!</definedName>
    <definedName name="BEx917QTZAYKMWFVDPZEDX8FH1J3" hidden="1">#REF!</definedName>
    <definedName name="BEx91AQQRTV87AO27VWHSFZAD4ZR" localSheetId="3" hidden="1">#REF!</definedName>
    <definedName name="BEx91AQQRTV87AO27VWHSFZAD4ZR" hidden="1">#REF!</definedName>
    <definedName name="BEx91FU57YXJK7RHMFDKKYY2JFS7" hidden="1">#REF!</definedName>
    <definedName name="BEx91KXLTRYJVT47UU2JUUFNKFUT"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20O0C4FBKNO2WASY82KSAGWC" hidden="1">#REF!</definedName>
    <definedName name="BEx921PNZ46VORG2VRMWREWIC0SE" hidden="1">#REF!</definedName>
    <definedName name="BEx929YGVS1SWUVBOM0JDPJFRIAE"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18BWFQZC3NQS37Q6XU3D425" hidden="1">#REF!</definedName>
    <definedName name="BEx93B9OULL2YGC896XXYAAJSTRK"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1SIC58506DFIGKOLIHQ7KCX" hidden="1">#REF!</definedName>
    <definedName name="BEx942UCRHMI4B0US31HO95GSC2X" hidden="1">#REF!</definedName>
    <definedName name="BEx944SDUSMOBHNE6J8XN1EOL90T" hidden="1">#REF!</definedName>
    <definedName name="BEx948ZFFQWVIDNG4AZAUGGGEB5U" hidden="1">#REF!</definedName>
    <definedName name="BEx94CKXG92OMURH41SNU6IOHK4J"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TXH048JPPZ7VXKTCAEE6GQS" hidden="1">#REF!</definedName>
    <definedName name="BEx95U89DZZSVO39TGS62CX8G9N4" hidden="1">#REF!</definedName>
    <definedName name="BEx9602K2GHNBUEUVT9ONRQU1GMD" hidden="1">#REF!</definedName>
    <definedName name="BEx962BL3Y4LA53EBYI64ZYMZE8U" hidden="1">#REF!</definedName>
    <definedName name="BEx96KR21O7H9R29TN0S45Y3QPUK" hidden="1">#REF!</definedName>
    <definedName name="BEx96KWJ7BHXX4IIM048C3O7S59S" hidden="1">#REF!</definedName>
    <definedName name="BEx96SUFKHHFE8XQ6UUO6ILDOXHO" localSheetId="3" hidden="1">#REF!</definedName>
    <definedName name="BEx96SUFKHHFE8XQ6UUO6ILDOXHO" hidden="1">#REF!</definedName>
    <definedName name="BEx96UN4YWXBDEZ1U1ZUIPP41Z7I" localSheetId="3" hidden="1">#REF!</definedName>
    <definedName name="BEx96UN4YWXBDEZ1U1ZUIPP41Z7I" hidden="1">#REF!</definedName>
    <definedName name="BEx970MYCPJ6DQ44TKLOIGZO5LHH" localSheetId="3" hidden="1">#REF!</definedName>
    <definedName name="BEx970MYCPJ6DQ44TKLOIGZO5LHH" hidden="1">#REF!</definedName>
    <definedName name="BEx978KSD61YJH3S9DGO050R2EHA" hidden="1">#REF!</definedName>
    <definedName name="BEx97CBOZZVIAFCLYWXO84QIM5RH"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#REF!</definedName>
    <definedName name="BEx980QZQVMVK22H7FW8VJ1Y8HJR" hidden="1">#REF!</definedName>
    <definedName name="BEx981HW73BUZWT14TBTZHC0ZTJ4" hidden="1">#REF!</definedName>
    <definedName name="BEx9853EGK21LS9VVKSCCC6V43AN" hidden="1">#REF!</definedName>
    <definedName name="BEx985JLSPMNH380TKBDXAEFC980" hidden="1">#REF!</definedName>
    <definedName name="BEx9871KU0N99P0900EAK69VFYT2" hidden="1">#REF!</definedName>
    <definedName name="BEx98A6S6VO1UKBYLX05KBIT7SC0" hidden="1">#REF!</definedName>
    <definedName name="BEx98IFKNJFGZFLID1YTRFEG1SXY" hidden="1">#REF!</definedName>
    <definedName name="BEx98N2R8QZSZ6MEH3L7U7U7D9GD">#REF!</definedName>
    <definedName name="BEx9915UVD4G7RA3IMLFZ0LG3UA2" hidden="1">#REF!</definedName>
    <definedName name="BEx992CZON8AO7U7V88VN1JBO0MG">#REF!</definedName>
    <definedName name="BEx9952469XMFGSPXL7CMXHPJF90" hidden="1">#REF!</definedName>
    <definedName name="BEx996PK8YMHSV0CFJOHOX1OCXHG"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ZRZ4I7FHDPGRAT5VW7NVBPU"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BFT5XKMEOKSZYR2JDGKF" hidden="1">#REF!</definedName>
    <definedName name="BEx9B917EUP13X6FQ3NPQL76XM5V" hidden="1">#REF!</definedName>
    <definedName name="BEx9BAJ5WYEQ623HUT9NNCMP3RUG" hidden="1">#REF!</definedName>
    <definedName name="BEx9BURCKUDZU2MLNSZIIBVDAXBV" hidden="1">#REF!</definedName>
    <definedName name="BEx9BYNN9WBL0OZNO7QKTM7XA0XO" hidden="1">#REF!</definedName>
    <definedName name="BEx9BYSYW7QCPXS2NAVLFAU5Y2Z2" hidden="1">#REF!</definedName>
    <definedName name="BEx9C590HJ2O31IWJB73C1HR74AI" hidden="1">#REF!</definedName>
    <definedName name="BEx9CCQRMYYOGIOYTOM73VKDIPS1" hidden="1">#REF!</definedName>
    <definedName name="BEx9COA2U27AO1YZGMLP7B8DR22D" hidden="1">#REF!</definedName>
    <definedName name="BEx9D1BC9FT19KY0INAABNDBAMR1" hidden="1">#REF!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6DJDRR3E21QMZAPDC3O470U" hidden="1">#REF!</definedName>
    <definedName name="BEx9EG9KBJ77M8LEOR9ITOKN5KXY"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RBEEYPS5HLS3XT34AKZN94G" hidden="1">#REF!</definedName>
    <definedName name="BEx9GD1Q3X2QNEWIFN2YPBFX6LMO" hidden="1">#REF!</definedName>
    <definedName name="BEx9GDY4D8ZPQJCYFIMYM0V0C51Y" hidden="1">#REF!</definedName>
    <definedName name="BEx9GGY04V0ZWI6O9KZH4KSBB389" hidden="1">#REF!</definedName>
    <definedName name="BEx9GNOPB6OZ2RH3FCDNJR38RJOS">#REF!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645M2VLV3GR46GAUCXDZQ4K" hidden="1">#REF!</definedName>
    <definedName name="BEx9H8YR0E906F1JXZMBX3LNT004" hidden="1">#REF!</definedName>
    <definedName name="BEx9HVQR4IC0WPZ653S8B4V0A13M" hidden="1">#REF!</definedName>
    <definedName name="BEx9I38IOO8BH8XCE1W3NL31U1L9" localSheetId="3" hidden="1">#REF!</definedName>
    <definedName name="BEx9I38IOO8BH8XCE1W3NL31U1L9" hidden="1">#REF!</definedName>
    <definedName name="BEx9I8XIG7E5NB48QQHXP23FIN60" localSheetId="3" hidden="1">#REF!</definedName>
    <definedName name="BEx9I8XIG7E5NB48QQHXP23FIN60" hidden="1">#REF!</definedName>
    <definedName name="BEx9IHX7C0FG3M2R14H0SWIUGAOA" localSheetId="3" hidden="1">#REF!</definedName>
    <definedName name="BEx9IHX7C0FG3M2R14H0SWIUGAOA" hidden="1">#REF!</definedName>
    <definedName name="BEx9IQRF01ATLVK0YE60ARKQJ68L" hidden="1">#REF!</definedName>
    <definedName name="BEx9IT5QNZWKM6YQ5WER0DC2PMMU" hidden="1">#REF!</definedName>
    <definedName name="BEx9ITRA6B7P81T57OO22V5XLX9P" hidden="1">#REF!</definedName>
    <definedName name="BEx9IW5MFLXTVCJHVUZTUH93AXOS" hidden="1">#REF!</definedName>
    <definedName name="BEx9IXCSPSZC80YZUPRCYTG326KV" hidden="1">#REF!</definedName>
    <definedName name="BEx9IZR39NHDGOM97H4E6F81RTQW" hidden="1">#REF!</definedName>
    <definedName name="BEx9J07CU8X78XP5E4QC8XZ6YRCG" hidden="1">#REF!</definedName>
    <definedName name="BEx9J6CH5E7YZPER7HXEIOIKGPCA" hidden="1">#REF!</definedName>
    <definedName name="BEx9JJTZKVUJAVPTRE0RAVTEH41G" hidden="1">#REF!</definedName>
    <definedName name="BEx9JLBYK239B3F841C7YG1GT7ST" hidden="1">#REF!</definedName>
    <definedName name="BEx9JQQ6BSIHSV0FS8QDIRPHMMLE" hidden="1">#REF!</definedName>
    <definedName name="BEx9KP7077LQ4Q2NWSIETHZ0VA05" hidden="1">#REF!</definedName>
    <definedName name="BExAW4IIW5D0MDY6TJ3G4FOLPYIR" hidden="1">#REF!</definedName>
    <definedName name="BExAW4TAPBZ18ES67GKFVYMS67N7" hidden="1">#REF!</definedName>
    <definedName name="BExAWOAN9I36Q6B2P1316PE3048X" hidden="1">#REF!</definedName>
    <definedName name="BExAWSSHUYAPXJEDC9JT9394SHQ5" hidden="1">#REF!</definedName>
    <definedName name="BExAX410NB4F2XOB84OR2197H8M5" hidden="1">#REF!</definedName>
    <definedName name="BExAX70W4OH6R7K3QT3YA9PA2APO" hidden="1">#REF!</definedName>
    <definedName name="BExAX8TNG8LQ5Q4904SAYQIPGBSV" hidden="1">#REF!</definedName>
    <definedName name="BExAXLK9UGB0UFRV7X4UPIUEJ3VZ" hidden="1">#REF!</definedName>
    <definedName name="BExAY0EAT2LXR5MFGM0DLIB45PLO" hidden="1">#REF!</definedName>
    <definedName name="BExAYE6LNIEBR9DSNI5JGNITGKIT" hidden="1">#REF!</definedName>
    <definedName name="BExAYHMLXGGO25P8HYB2S75DEB4F" hidden="1">#REF!</definedName>
    <definedName name="BExAYJQ9G4ZXJFPWD4VIWQU6WUFT" hidden="1">#REF!</definedName>
    <definedName name="BExAYKXAUWGDOPG952TEJ2UKZKWN"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UYTMF7YSRG951CIIWKZM0T5"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AZXXGBA3DZ26LBRJCSRIMDYY6" hidden="1">#REF!</definedName>
    <definedName name="BExB012NJ8GASTNNPBRRFTLHIOC9" localSheetId="3" hidden="1">#REF!</definedName>
    <definedName name="BExB012NJ8GASTNNPBRRFTLHIOC9" hidden="1">#REF!</definedName>
    <definedName name="BExB072HHXVMUC0VYNGG48GRSH5Q" localSheetId="3" hidden="1">#REF!</definedName>
    <definedName name="BExB072HHXVMUC0VYNGG48GRSH5Q" hidden="1">#REF!</definedName>
    <definedName name="BExB0FRDEYDEUEAB1W8KD6D965XA" localSheetId="3" hidden="1">#REF!</definedName>
    <definedName name="BExB0FRDEYDEUEAB1W8KD6D965XA" hidden="1">#REF!</definedName>
    <definedName name="BExB0KPCN7YJORQAYUCF4YKIKPMC" hidden="1">#REF!</definedName>
    <definedName name="BExB0WE4PI3NOBXXVO9CTEN4DIU2" hidden="1">#REF!</definedName>
    <definedName name="BExB0ZJIGMTDV9JC5IILPRZ5BXNJ" hidden="1">#REF!</definedName>
    <definedName name="BExB10QNIVITUYS55OAEKK3VLJFE" hidden="1">#REF!</definedName>
    <definedName name="BExB14HG3PSHTJ4S9G0Y803UWLWP" hidden="1">#REF!</definedName>
    <definedName name="BExB15ZDRY4CIJ911DONP0KCY9KU" hidden="1">#REF!</definedName>
    <definedName name="BExB16VQY0O0RLZYJFU3OFEONVTE" hidden="1">#REF!</definedName>
    <definedName name="BExB1C4HDPDZBISSQ3JREULJJZ7K" hidden="1">#REF!</definedName>
    <definedName name="BExB1FKNY2UO4W5FUGFHJOA2WFGG" hidden="1">#REF!</definedName>
    <definedName name="BExB1GMD0PIDGTFBGQOPRWQSP9I4" hidden="1">#REF!</definedName>
    <definedName name="BExB1Q29OO6LNFNT1EQLA3KYE7MX" hidden="1">#REF!</definedName>
    <definedName name="BExB1TNRV5EBWZEHYLHI76T0FVA7" hidden="1">#REF!</definedName>
    <definedName name="BExB1WI6M8I0EEP1ANUQZCFY24EV" hidden="1">#REF!</definedName>
    <definedName name="BExB203OWC9QZA3BYOKQ18L4FUJE" hidden="1">#REF!</definedName>
    <definedName name="BExB215I6XJMAXZ5JDHT0R7K0CS1"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TBL7K5D70TOLTXT6SAAJQS9" hidden="1">#REF!</definedName>
    <definedName name="BExB2WRQ815O1VGMGAGDGQHTTUIN" hidden="1">#REF!</definedName>
    <definedName name="BExB30IP1DNKNQ6PZ5ERUGR5MK4Z" hidden="1">#REF!</definedName>
    <definedName name="BExB30YTF8EK04RZ190LBP9R44TW" hidden="1">#REF!</definedName>
    <definedName name="BExB31PVM8TBKT8GI5VYI71JWZ0D" hidden="1">#REF!</definedName>
    <definedName name="BExB37UZ7KOLOBAPDS5EM5MJTPFJ" hidden="1">#REF!</definedName>
    <definedName name="BExB3S8NRKFKQZGZDLCF1J5OPNQX" hidden="1">#REF!</definedName>
    <definedName name="BExB4016U17W1T4ZWNG5SJCGWE9P" hidden="1">#REF!</definedName>
    <definedName name="BExB442RX0T3L6HUL6X5T21CENW6" hidden="1">#REF!</definedName>
    <definedName name="BExB472MUJSUYK7SI8BX1ZGQL0NK" hidden="1">#REF!</definedName>
    <definedName name="BExB4ADD0L7417CII901XTFKXD1J" hidden="1">#REF!</definedName>
    <definedName name="BExB4DO1V1NL2AVK5YE1RSL5RYHL" hidden="1">#REF!</definedName>
    <definedName name="BExB4DYU06HCGRIPBSWRCXK804UM" hidden="1">#REF!</definedName>
    <definedName name="BExB4XW9A16UWK9TUIA84W8X2ZEA" hidden="1">#REF!</definedName>
    <definedName name="BExB4Z3EZBGYYI33U0KQ8NEIH8PY"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IFAFRG56RCEOOXLOQHCNSLB"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C3FUAKK9ML5T767NMWGA9YB" hidden="1">#REF!</definedName>
    <definedName name="BExB6C8X6JYRLKZKK17VE3QUNL3D" hidden="1">#REF!</definedName>
    <definedName name="BExB6HN3QRFPXM71MDUK21BKM7PF" hidden="1">#REF!</definedName>
    <definedName name="BExB6IZMHCZ3LB7N73KD90YB1HBZ" hidden="1">#REF!</definedName>
    <definedName name="BExB6RZAN4TW4BIS93TJP3MTSF2V" hidden="1">#REF!</definedName>
    <definedName name="BExB6SKVVBQPHZ4Y692I5525S418" hidden="1">#REF!</definedName>
    <definedName name="BExB719SGNX4Y8NE6JEXC555K596" hidden="1">#REF!</definedName>
    <definedName name="BExB7265DCHKS7V2OWRBXCZTEIW9" hidden="1">#REF!</definedName>
    <definedName name="BExB73DAG0L10ZK0L6HQWV9BISN7" hidden="1">#REF!</definedName>
    <definedName name="BExB74PS5P9G0P09Y6DZSCX0FLTJ" hidden="1">#REF!</definedName>
    <definedName name="BExB77KDAUB9VYWBDJP50RIW7Y73" hidden="1">#REF!</definedName>
    <definedName name="BExB78RH79J0MIF7H8CAZ0CFE88Q" hidden="1">#REF!</definedName>
    <definedName name="BExB7ELT09HGDVO5BJC1ZY9D09GZ" hidden="1">#REF!</definedName>
    <definedName name="BExB7PZU5KVXW0MOS9BQNVV0U4WD" hidden="1">#REF!</definedName>
    <definedName name="BExB7R1PBLH2KKT4OJI4ESYMV3B3" hidden="1">#REF!</definedName>
    <definedName name="BExB7SUFBKOZJWAZHJSNHTBMUZE4" hidden="1">#REF!</definedName>
    <definedName name="BExB806PAXX70XUTA3ZI7OORD78R" hidden="1">#REF!</definedName>
    <definedName name="BExB88FBDZ0MSRCK5MB3E06QBO1N" hidden="1">#REF!</definedName>
    <definedName name="BExB89H5ZI7PL41B4CQN2OSUPK7A" hidden="1">#REF!</definedName>
    <definedName name="BExB8HF4UBVZKQCSRFRUQL2EE6VL">#REF!</definedName>
    <definedName name="BExB8HKHKZ1ORJZUYGG2M4VSCC39" hidden="1">#REF!</definedName>
    <definedName name="BExB8PIBXT2X11LCOX7RIO57ITDV" hidden="1">#REF!</definedName>
    <definedName name="BExB8QPH8DC5BESEVPSMBCWVN6PO" hidden="1">#REF!</definedName>
    <definedName name="BExB8U5N0D85YR8APKN3PPKG0FWP" hidden="1">#REF!</definedName>
    <definedName name="BExB91I17P2IIQ85B7OF9X01BBL0" hidden="1">#REF!</definedName>
    <definedName name="BExB9DHI5I2TJ2LXYPM98EE81L27" hidden="1">#REF!</definedName>
    <definedName name="BExB9IVQ5K36625BTKIXXB3R8NKE" hidden="1">#REF!</definedName>
    <definedName name="BExB9Q2MZZHBGW8QQKVEYIMJBPIE" hidden="1">#REF!</definedName>
    <definedName name="BExB9UVAU97XX5IFJV05VHTKS512" hidden="1">#REF!</definedName>
    <definedName name="BExB9WTBZ1ZNJ5PYDE80FJ9A5MQS" hidden="1">#REF!</definedName>
    <definedName name="BExBA1GON0EZRJ20UYPILAPLNQWM" hidden="1">#REF!</definedName>
    <definedName name="BExBA1RFNTGEN0TO2IRNXT6F3QKR" hidden="1">#REF!</definedName>
    <definedName name="BExBA69ASGYRZW1G1DYIS9QRRTBN" hidden="1">#REF!</definedName>
    <definedName name="BExBA6K42582A14WFFWQ3Q8QQWB6" hidden="1">#REF!</definedName>
    <definedName name="BExBA6PL9AA5J2L0KPL378AA2VZ4" hidden="1">#REF!</definedName>
    <definedName name="BExBA8I5D4R8R2PYQ1K16TWGTOEP" hidden="1">#REF!</definedName>
    <definedName name="BExBA8NMWNC4ESE854DLVFP3K8UR" hidden="1">#REF!</definedName>
    <definedName name="BExBA93PE0DGUUTA7LLSIGBIXWE5" hidden="1">#REF!</definedName>
    <definedName name="BExBAAWGR2BBXC8GXEYNQ9TYNUN8" hidden="1">#REF!</definedName>
    <definedName name="BExBAG5D16CADDC0MWOKCY7JZQO0" hidden="1">#REF!</definedName>
    <definedName name="BExBAHY3NCFFKJ0L0RWLV9Q2XEA7"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VKX8Q09370X1GCZWJ4E91YJ" hidden="1">#REF!</definedName>
    <definedName name="BExBAX2X2ENJYO4QTR5VAIQ86L7B" hidden="1">#REF!</definedName>
    <definedName name="BExBAZ13D3F1DVJQ6YJ8JGUYEYJE" hidden="1">#REF!</definedName>
    <definedName name="BExBBTG649R9I0CT042JLL8LXV18" hidden="1">#REF!</definedName>
    <definedName name="BExBBUCJQRR74Q7GPWDEZXYK2KJL" hidden="1">#REF!</definedName>
    <definedName name="BExBBV8XVMD9CKZY711T0BN7H3PM" hidden="1">#REF!</definedName>
    <definedName name="BExBC5L31H53WLFYF54SQM4A7EU4" hidden="1">#REF!</definedName>
    <definedName name="BExBC78HXWXHO3XAB6E8NVTBGLJS" hidden="1">#REF!</definedName>
    <definedName name="BExBCATYYZZEDHH6VTB2O2HIRMIR" hidden="1">#REF!</definedName>
    <definedName name="BExBCKKJTIRKC1RZJRTK65HHLX4W" hidden="1">#REF!</definedName>
    <definedName name="BExBCLMEPAN3XXX174TU8SS0627Q" hidden="1">#REF!</definedName>
    <definedName name="BExBCRBEYR2KZ8FAQFZ2NHY13WIY" hidden="1">#REF!</definedName>
    <definedName name="BExBD05M2XLZ3FDJC1J5FM7IICZB" hidden="1">#REF!</definedName>
    <definedName name="BExBD4I559NXSV6J07Q343TKYMVJ" localSheetId="3" hidden="1">#REF!</definedName>
    <definedName name="BExBD4I559NXSV6J07Q343TKYMVJ" hidden="1">#REF!</definedName>
    <definedName name="BExBDBZQLTX3OGFYGULQFK5WEZU5" localSheetId="3" hidden="1">#REF!</definedName>
    <definedName name="BExBDBZQLTX3OGFYGULQFK5WEZU5" hidden="1">#REF!</definedName>
    <definedName name="BExBDJS9TUEU8Z84IV59E5V4T8K6" localSheetId="3" hidden="1">#REF!</definedName>
    <definedName name="BExBDJS9TUEU8Z84IV59E5V4T8K6" hidden="1">#REF!</definedName>
    <definedName name="BExBDKOMSVH4XMH52CFJ3F028I9R" hidden="1">#REF!</definedName>
    <definedName name="BExBDSRXVZQ0W5WXQMP5XD00GRRL" hidden="1">#REF!</definedName>
    <definedName name="BExBDT87JCZT4EZQQ1HEUN7ZAMNT" hidden="1">#REF!</definedName>
    <definedName name="BExBDUVGK3E1J4JY9ZYTS7V14BLY" hidden="1">#REF!</definedName>
    <definedName name="BExBDVH3DOL955WK34ZBD4XWH6OI" hidden="1">#REF!</definedName>
    <definedName name="BExBE162OSBKD30I7T1DKKPT3I9I" localSheetId="3" hidden="1">#REF!</definedName>
    <definedName name="BExBE162OSBKD30I7T1DKKPT3I9I" hidden="1">#REF!</definedName>
    <definedName name="BExBE5YPUY1T7N7DHMMIGGXK8TMP" localSheetId="3" hidden="1">#REF!</definedName>
    <definedName name="BExBE5YPUY1T7N7DHMMIGGXK8TMP" hidden="1">#REF!</definedName>
    <definedName name="BExBE827OBMEXJZS59TKFQS6FC0Z" localSheetId="3" hidden="1">#REF!</definedName>
    <definedName name="BExBE827OBMEXJZS59TKFQS6FC0Z" hidden="1">#REF!</definedName>
    <definedName name="BExBEC9ATLQZF86W1M3APSM4HEOH" hidden="1">#REF!</definedName>
    <definedName name="BExBEHCOWXYAJ0G8WL2C0YAEM0A3" hidden="1">#REF!</definedName>
    <definedName name="BExBEIUMJGTX2SBNU3E8Z2XPR27P" hidden="1">#REF!</definedName>
    <definedName name="BExBEYFQJE9YK12A6JBMRFKEC7RN" hidden="1">#REF!</definedName>
    <definedName name="BExBG1ED81J2O4A2S5F5Y3BPHMCR" hidden="1">#REF!</definedName>
    <definedName name="BExCRHX1OTQXWVM4RKG8IHHYCVFP" hidden="1">#REF!</definedName>
    <definedName name="BExCRLIHS7466WFJ3RPIUGGXYESZ"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GOMZRUX4W3XE4LX5XXH5F2L" hidden="1">#REF!</definedName>
    <definedName name="BExCSMOFTXSUEC1T46LR1UPYRCX5" hidden="1">#REF!</definedName>
    <definedName name="BExCSMTPZZ9RQU93PT4098LW6KAZ" hidden="1">#REF!</definedName>
    <definedName name="BExCSSDG3TM6TPKS19E9QYJEELZ6" hidden="1">#REF!</definedName>
    <definedName name="BExCSZV7U67UWXL2HKJNM5W1E4OO" hidden="1">#REF!</definedName>
    <definedName name="BExCT4NSDT61OCH04Y2QIFIOP75H" hidden="1">#REF!</definedName>
    <definedName name="BExCTDNIGAFFV0FMRGUS25TGONCJ" hidden="1">#REF!</definedName>
    <definedName name="BExCTNE23PLYUM60ZCQ942C1KG81" hidden="1">#REF!</definedName>
    <definedName name="BExCTW8G3VCZ55S09HTUGXKB1P2M" hidden="1">#REF!</definedName>
    <definedName name="BExCTWJ9A4QCQ9OZN28V6HYAACMI" hidden="1">#REF!</definedName>
    <definedName name="BExCTYS2KX0QANOLT8LGZ9WV3S3T" hidden="1">#REF!</definedName>
    <definedName name="BExCTZZ9JNES4EDHW97NP0EGQALX" hidden="1">#REF!</definedName>
    <definedName name="BExCU0A1V6NMZQ9ASYJ8QIVQ5UR2" hidden="1">#REF!</definedName>
    <definedName name="BExCU2834920JBHSPCRC4UF80OLL" hidden="1">#REF!</definedName>
    <definedName name="BExCU8O54I3P3WRYWY1CRP3S78QY" hidden="1">#REF!</definedName>
    <definedName name="BExCUBILFA1EYYEOFEX37L275Z4P" hidden="1">#REF!</definedName>
    <definedName name="BExCUDRJO23YOKT8GPWOVQ4XEHF5" hidden="1">#REF!</definedName>
    <definedName name="BExCUPAXFR16YMWL30ME3F3BSRDZ" hidden="1">#REF!</definedName>
    <definedName name="BExCUR94DHCE47PUUWEMT5QZOYR2" hidden="1">#REF!</definedName>
    <definedName name="BExCUT768Y9WTBMX7GXYUGHWIXZD" hidden="1">#REF!</definedName>
    <definedName name="BExCUW1QXVMEP3B9SFPNEEWCG9I0" hidden="1">#REF!</definedName>
    <definedName name="BExCUWN57J3KE1LMYFY8FAMDD57T" localSheetId="3" hidden="1">#REF!</definedName>
    <definedName name="BExCUWN57J3KE1LMYFY8FAMDD57T" hidden="1">#REF!</definedName>
    <definedName name="BExCV4VXZA9HAYPSLTWYK66MGS3Y" localSheetId="3" hidden="1">#REF!</definedName>
    <definedName name="BExCV4VXZA9HAYPSLTWYK66MGS3Y" hidden="1">#REF!</definedName>
    <definedName name="BExCV634L7SVHGB0UDDTRRQ2Q72H" localSheetId="3" hidden="1">#REF!</definedName>
    <definedName name="BExCV634L7SVHGB0UDDTRRQ2Q72H" hidden="1">#REF!</definedName>
    <definedName name="BExCVA4UIZYJL3LZ7EQQOM9CIPAD" hidden="1">#REF!</definedName>
    <definedName name="BExCVBMRUN39FYTXYMM2N12EFLG1" hidden="1">#REF!</definedName>
    <definedName name="BExCVBXGSXT9FWJRG62PX9S1RK83" hidden="1">#REF!</definedName>
    <definedName name="BExCVEH7A1VWBBC4BVU6VNJA1WGJ" hidden="1">#REF!</definedName>
    <definedName name="BExCVHBNLOHNFS0JAV3I1XGPNH9W" hidden="1">#REF!</definedName>
    <definedName name="BExCVI86R31A2IOZIEBY1FJLVILD" hidden="1">#REF!</definedName>
    <definedName name="BExCVKGZXE0I9EIXKBZVSGSEY2RR" hidden="1">#REF!</definedName>
    <definedName name="BExCVM4B2PZUHY0W5DLK6RO6HSGU" hidden="1">#REF!</definedName>
    <definedName name="BExCVV44WY5807WGMTGKPW0GT256" hidden="1">#REF!</definedName>
    <definedName name="BExCVZ5PN4V6MRBZ04PZJW3GEF8S" hidden="1">#REF!</definedName>
    <definedName name="BExCW13R0GWJYGXZBNCPAHQN4NR2" hidden="1">#REF!</definedName>
    <definedName name="BExCW9Y5HWU4RJTNX74O6L24VGCK" hidden="1">#REF!</definedName>
    <definedName name="BExCWJOP24TCAR0PRZG8HD526AHX" hidden="1">#REF!</definedName>
    <definedName name="BExCWM8JQB8SI9MNZVUOQN3547K8" hidden="1">#REF!</definedName>
    <definedName name="BExCWOBVOESHXLNFULF3L3PHKV9U" hidden="1">#REF!</definedName>
    <definedName name="BExCWP2YCA04PGYT4V2CKSHBG2N7" hidden="1">#REF!</definedName>
    <definedName name="BExCWPDPESGZS07QGBLSBWDNVJLZ" hidden="1">#REF!</definedName>
    <definedName name="BExCWTVKHIVCRHF8GC39KI58YM5K" hidden="1">#REF!</definedName>
    <definedName name="BExCWZPWC0LNH9ZNEEWXFFTQFZN4" hidden="1">#REF!</definedName>
    <definedName name="BExCX2KGRZBRVLZNM8SUSIE6A0RL" hidden="1">#REF!</definedName>
    <definedName name="BExCX30QEPK6YY3L5B9A865PM1XZ" hidden="1">#REF!</definedName>
    <definedName name="BExCX3X451T70LZ1VF95L7W4Y4TM" hidden="1">#REF!</definedName>
    <definedName name="BExCX4NZ2N1OUGXM7EV0U7VULJMM" hidden="1">#REF!</definedName>
    <definedName name="BExCX5KCKNR3QHCET9D7RK52DEJB" hidden="1">#REF!</definedName>
    <definedName name="BExCX8V1U9KN0DWRM7RHUYCTBVEN" hidden="1">#REF!</definedName>
    <definedName name="BExCXCGIFCIU1476QTARIGF5OXEL" hidden="1">#REF!</definedName>
    <definedName name="BExCXILMURGYMAH6N5LF5DV6K3GM" hidden="1">#REF!</definedName>
    <definedName name="BExCXMY5ISUXV19SSN8W6FPXAY3L" hidden="1">#REF!</definedName>
    <definedName name="BExCXQUFBMXQ1650735H48B1AZT3" hidden="1">#REF!</definedName>
    <definedName name="BExCXUFX19ADNJAUPHJ62T1ZS5A4" hidden="1">#REF!</definedName>
    <definedName name="BExCY2DQO9VLA77Q7EG3T0XNXX4F" hidden="1">#REF!</definedName>
    <definedName name="BExCY6VMJ68MX3C981R5Q0BX5791" hidden="1">#REF!</definedName>
    <definedName name="BExCYAH2SAZCPW6XCB7V7PMMCAWO" hidden="1">#REF!</definedName>
    <definedName name="BExCYE2K07U5UQ0WQNHXML7T0NJO" hidden="1">#REF!</definedName>
    <definedName name="BExCYH7R2U5R12XVG3NJ54H052NJ" hidden="1">#REF!</definedName>
    <definedName name="BExCYJBB52X8B3AREHCC1L5QNPX7" hidden="1">#REF!</definedName>
    <definedName name="BExCYPRC5HJE6N2XQTHCT6NXGP8N" hidden="1">#REF!</definedName>
    <definedName name="BExCYUK0I3UEXZNFDW71G6Z6D8XR" hidden="1">#REF!</definedName>
    <definedName name="BExCZ9UA19GWDW0TL6HVTOXIRSPV" hidden="1">#REF!</definedName>
    <definedName name="BExCZFZCXMLY5DWESYJ9NGTJYQ8M" hidden="1">#REF!</definedName>
    <definedName name="BExCZIJ0082EB1UPRKX9EHOOUV0U" hidden="1">#REF!</definedName>
    <definedName name="BExCZJ4P8WS0BDT31WDXI0ROE7D6" hidden="1">#REF!</definedName>
    <definedName name="BExCZKH6NI0EE02L995IFVBD1J59" hidden="1">#REF!</definedName>
    <definedName name="BExCZNH3KPWE50T7YYORPIC1TXLN" hidden="1">#REF!</definedName>
    <definedName name="BExCZSKJ3H9C3V7IL5VIJR1XCVS6" hidden="1">#REF!</definedName>
    <definedName name="BExCZUD9FEOJBKDJ51Z3JON9LKJ8" hidden="1">#REF!</definedName>
    <definedName name="BExD03NQ5GR56X8Y0Y29FLTRLLS2" hidden="1">#REF!</definedName>
    <definedName name="BExD0508DAALLU00PHFPBC8SRRKT" hidden="1">#REF!</definedName>
    <definedName name="BExD0BAT3ER3NBREZM75FYDXWDA7" hidden="1">#REF!</definedName>
    <definedName name="BExD0BG9BZG0I2HQ6PWHGGVEMY6K" hidden="1">#REF!</definedName>
    <definedName name="BExD0C1TNBFIEWNG3IH7R8WOPI6B" hidden="1">#REF!</definedName>
    <definedName name="BExD0HALIN0JR4JTPGDEVAEE5EX5" hidden="1">#REF!</definedName>
    <definedName name="BExD0LCCDPG16YLY5WQSZF1XI5DA" hidden="1">#REF!</definedName>
    <definedName name="BExD0M38AXH7IMGDWBCB3CT349N5" hidden="1">#REF!</definedName>
    <definedName name="BExD0RMWSB4TRECEHTH6NN4K9DFZ" hidden="1">#REF!</definedName>
    <definedName name="BExD0U6KG10QGVDI1XSHK0J10A2V" hidden="1">#REF!</definedName>
    <definedName name="BExD11Z3KEWZ3PWH1UZSJRDRV9IH" hidden="1">#REF!</definedName>
    <definedName name="BExD13RUIBGRXDL4QDZ305UKUR12" hidden="1">#REF!</definedName>
    <definedName name="BExD14DETV5R4OOTMAXD5NAKWRO3" hidden="1">#REF!</definedName>
    <definedName name="BExD160UKTD6MG5W79IBIHP0ZPKQ" hidden="1">#REF!</definedName>
    <definedName name="BExD16BM4TPPOCZ5ARF5HM6XKRFF" hidden="1">#REF!</definedName>
    <definedName name="BExD1OAU9OXQAZA4D70HP72CU6GB" hidden="1">#REF!</definedName>
    <definedName name="BExD1Y1JV61416YA1XRQHKWPZIE7" hidden="1">#REF!</definedName>
    <definedName name="BExD25DU4ZMU9XFJZTH3WMVIKAK6" hidden="1">#REF!</definedName>
    <definedName name="BExD2CFHIRMBKN5KXE5QP4XXEWFS" hidden="1">#REF!</definedName>
    <definedName name="BExD2DMHH1HWXQ9W0YYMDP8AAX8Q" hidden="1">#REF!</definedName>
    <definedName name="BExD2HTPC7IWBAU6OSQ67MQA8BYZ" hidden="1">#REF!</definedName>
    <definedName name="BExD2I9RDS4BGCN1GXO7T9OCTVFP" hidden="1">#REF!</definedName>
    <definedName name="BExD2O9JP64FF7WFAC5CXN0SJ91I" hidden="1">#REF!</definedName>
    <definedName name="BExD363H2VGFIQUCE6LS4AC5J0ZT" hidden="1">#REF!</definedName>
    <definedName name="BExD3A588E939V61P1XEW0FI5Q0S" hidden="1">#REF!</definedName>
    <definedName name="BExD3AW300FSO6AAXTER82E4G06O"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QXA2UQ2W4N7NYLUEOG40BZB" hidden="1">#REF!</definedName>
    <definedName name="BExD3U2N041TEJ7GCN005UTPHNXY" hidden="1">#REF!</definedName>
    <definedName name="BExD3ZGUHLSCF22XMCGLGJ6SWTEA" hidden="1">#REF!</definedName>
    <definedName name="BExD40O0CFTNJFOFMMM1KH0P7BUI" hidden="1">#REF!</definedName>
    <definedName name="BExD42M7FXJ8KK8AK9LDV75Z0U92" hidden="1">#REF!</definedName>
    <definedName name="BExD4440VK5VJ036LP729F6A0YGC" hidden="1">#REF!</definedName>
    <definedName name="BExD4BLRYNKM0GO3B3KP6590EN75" localSheetId="3" hidden="1">#REF!</definedName>
    <definedName name="BExD4BLRYNKM0GO3B3KP6590EN75" hidden="1">#REF!</definedName>
    <definedName name="BExD4BR9HJ3MWWZ5KLVZWX9FJAUS" localSheetId="3" hidden="1">#REF!</definedName>
    <definedName name="BExD4BR9HJ3MWWZ5KLVZWX9FJAUS" hidden="1">#REF!</definedName>
    <definedName name="BExD4CYDIFKUQ00ORL8MH1G8AEOH" localSheetId="3" hidden="1">#REF!</definedName>
    <definedName name="BExD4CYDIFKUQ00ORL8MH1G8AEOH"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4ZQEW7F25SBOT6GFHWYONPD2" hidden="1">#REF!</definedName>
    <definedName name="BExD50MT3M6XZLNUP9JL93EG6D9R" localSheetId="3" hidden="1">#REF!</definedName>
    <definedName name="BExD50MT3M6XZLNUP9JL93EG6D9R" hidden="1">#REF!</definedName>
    <definedName name="BExD58FB2E94KZRKVS2HR2X2RPON" localSheetId="3" hidden="1">#REF!</definedName>
    <definedName name="BExD58FB2E94KZRKVS2HR2X2RPON" hidden="1">#REF!</definedName>
    <definedName name="BExD5EV7KDSVF1CJT38M4IBPFLPY" localSheetId="3" hidden="1">#REF!</definedName>
    <definedName name="BExD5EV7KDSVF1CJT38M4IBPFLPY" hidden="1">#REF!</definedName>
    <definedName name="BExD5FRK547OESJRYAW574DZEZ7J" hidden="1">#REF!</definedName>
    <definedName name="BExD5I5X2YA2YNCTCDSMEL4CWF4N" hidden="1">#REF!</definedName>
    <definedName name="BExD5LGLIOQ0OLD32Y77OQHSFA20" hidden="1">#REF!</definedName>
    <definedName name="BExD5QUSRFJWRQ1ZM50WYLCF74DF" hidden="1">#REF!</definedName>
    <definedName name="BExD5SSUIF6AJQHBHK8PNMFBPRYB" hidden="1">#REF!</definedName>
    <definedName name="BExD623C9LRX18BE0W2V6SZLQUXX">#REF!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IKQHK6BAYQM4S5BEVL56Z8X" hidden="1">#REF!</definedName>
    <definedName name="BExD71LTOE015TV5RSAHM8NT8GVW" hidden="1">#REF!</definedName>
    <definedName name="BExD73USXVADC7EHGHVTQNCT06ZA" hidden="1">#REF!</definedName>
    <definedName name="BExD7BHVRBZ6463MAK6KNCZQQAZL" hidden="1">#REF!</definedName>
    <definedName name="BExD7GAI1HJ9MD4ZU26MDRDS4E2B" hidden="1">#REF!</definedName>
    <definedName name="BExD7GAIGULTB3YHM1OS9RBQOTEC" hidden="1">#REF!</definedName>
    <definedName name="BExD7IE1DHIS52UFDCTSKPJQNRD5" hidden="1">#REF!</definedName>
    <definedName name="BExD7IUBGUWHYC9UNZ1IY5XFYKQN" hidden="1">#REF!</definedName>
    <definedName name="BExD7JQOJ35HGL8U2OCEI2P2JT7I" hidden="1">#REF!</definedName>
    <definedName name="BExD7KSDKNDNH95NDT3S7GM3MUU2" hidden="1">#REF!</definedName>
    <definedName name="BExD7N6P5ERNDX7C0TYFQOP08EQQ" hidden="1">#REF!</definedName>
    <definedName name="BExD87EVTIE7IAHSBAD70MNJUTK8" hidden="1">#REF!</definedName>
    <definedName name="BExD8H5O087KQVWIVPUUID5VMGMS" hidden="1">#REF!</definedName>
    <definedName name="BExD8OCLZMFN5K3VZYI4Q4ITVKUA" hidden="1">#REF!</definedName>
    <definedName name="BExD8UY01RLLF0MGPUZLE6EXR9AC" hidden="1">#REF!</definedName>
    <definedName name="BExD90MZC8CFEENJPJGQXGWBZL33" hidden="1">#REF!</definedName>
    <definedName name="BExD93C1R6LC0631ECHVFYH0R0PD" hidden="1">#REF!</definedName>
    <definedName name="BExD97TXIO0COVNN4OH3DEJ33YLM" hidden="1">#REF!</definedName>
    <definedName name="BExD99RZ1RFIMK6O1ZHSPJ68X9Y5" hidden="1">#REF!</definedName>
    <definedName name="BExD9C0ZMLX1WR2QR1YPWX15IH8W" hidden="1">#REF!</definedName>
    <definedName name="BExD9L0ID3VSOU609GKWYTA5BFMA" localSheetId="3" hidden="1">#REF!</definedName>
    <definedName name="BExD9L0ID3VSOU609GKWYTA5BFMA" hidden="1">#REF!</definedName>
    <definedName name="BExD9M7SEMG0JK2FUTTZXWIEBTKB" localSheetId="3" hidden="1">#REF!</definedName>
    <definedName name="BExD9M7SEMG0JK2FUTTZXWIEBTKB" hidden="1">#REF!</definedName>
    <definedName name="BExD9MNYBYB1AICQL5165G472IE2" localSheetId="3" hidden="1">#REF!</definedName>
    <definedName name="BExD9MNYBYB1AICQL5165G472IE2" hidden="1">#REF!</definedName>
    <definedName name="BExD9PNSYT7GASEGUVL48MUQ02WO" hidden="1">#REF!</definedName>
    <definedName name="BExD9TK2MIWFH5SKUYU9ZKF4NPHQ" hidden="1">#REF!</definedName>
    <definedName name="BExDA2JS3GCJ8M5I4XF4ZMYZ4BXT" hidden="1">#REF!</definedName>
    <definedName name="BExDA6LD9061UULVKUUI4QP8SK13" hidden="1">#REF!</definedName>
    <definedName name="BExDA7SHULP5GGGVSZFK3FMN833U" hidden="1">#REF!</definedName>
    <definedName name="BExDABE0KA94036RVJKMXL7GB30N" hidden="1">#REF!</definedName>
    <definedName name="BExDAGMVMNLQ6QXASB9R6D8DIT12" hidden="1">#REF!</definedName>
    <definedName name="BExDAYBHU9ADLXI8VRC7F608RVGM" hidden="1">#REF!</definedName>
    <definedName name="BExDBDR1XR0FV0CYUCB2OJ7CJCZU" hidden="1">#REF!</definedName>
    <definedName name="BExDBO8QK1FUFVLO07NZ0BZ9BKA0" hidden="1">#REF!</definedName>
    <definedName name="BExDBRJDI7W1042W6UYNA12BZGBJ" hidden="1">#REF!</definedName>
    <definedName name="BExDBY4R8EXLUENLCDFC4YRRVQPS" hidden="1">#REF!</definedName>
    <definedName name="BExDC7F818VN0S18ID7XRCRVYPJ4" hidden="1">#REF!</definedName>
    <definedName name="BExDCL7K96PC9VZYB70ZW3QPVIJE" hidden="1">#REF!</definedName>
    <definedName name="BExDCP3UZ3C2O4C1F7KMU0Z9U32N" hidden="1">#REF!</definedName>
    <definedName name="BExEOBX3WECDMYCV9RLN49APTXMM" hidden="1">#REF!</definedName>
    <definedName name="BExEOKLZRPEMPJO02S4EGHZXAWN3" hidden="1">#REF!</definedName>
    <definedName name="BExEP4E4F36662JDI0TOD85OP7X9"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XZALJLD4OBF74IKZBR13SR" hidden="1">#REF!</definedName>
    <definedName name="BExEQE3GC6W9CGTSGR7X502XUI5L" hidden="1">#REF!</definedName>
    <definedName name="BExEQFLE2RPWGMWQAI4JMKUEFRPT" hidden="1">#REF!</definedName>
    <definedName name="BExEQK38GYRBUH7XFJUH04UET47Q" hidden="1">#REF!</definedName>
    <definedName name="BExEQKE1O2TX2P7ZGJMB9VWDXWO4" hidden="1">#REF!</definedName>
    <definedName name="BExEQTZAP8R69U31W4LKGTKKGKQE" hidden="1">#REF!</definedName>
    <definedName name="BExEQU4RR1SZE5XJ90D8ZQ8KRZFG" hidden="1">#REF!</definedName>
    <definedName name="BExER2O72H1F9WV6S1J04C15PXX7" hidden="1">#REF!</definedName>
    <definedName name="BExERFEPB2LP5DWH3DNZJF8R0AK9" hidden="1">#REF!</definedName>
    <definedName name="BExERRUIKIOATPZ9U4HQ0V52RJAU" hidden="1">#REF!</definedName>
    <definedName name="BExERSANFNM1O7T65PC5MJ301YET" hidden="1">#REF!</definedName>
    <definedName name="BExERTNAJZ59DKI5JCRPJKMWW067" hidden="1">#REF!</definedName>
    <definedName name="BExERWCEBKQRYWRQLYJ4UCMMKTHG" hidden="1">#REF!</definedName>
    <definedName name="BExES1QK2RJM42AWEVW7RIMFEW0F" localSheetId="3" hidden="1">#REF!</definedName>
    <definedName name="BExES1QK2RJM42AWEVW7RIMFEW0F" hidden="1">#REF!</definedName>
    <definedName name="BExES44RHHDL3V7FLV6M20834WF1" localSheetId="3" hidden="1">#REF!</definedName>
    <definedName name="BExES44RHHDL3V7FLV6M20834WF1" hidden="1">#REF!</definedName>
    <definedName name="BExES4A7VE2X3RYYTVRLKZD4I7WU" localSheetId="3" hidden="1">#REF!</definedName>
    <definedName name="BExES4A7VE2X3RYYTVRLKZD4I7WU" hidden="1">#REF!</definedName>
    <definedName name="BExES6ZC8R7PHJ21OVJFLIR7DY30" hidden="1">#REF!</definedName>
    <definedName name="BExESEH25TCNEETUCSRK8DYHROYY"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3SPX08PMIJ6NN1UTG16Y6O2" hidden="1">#REF!</definedName>
    <definedName name="BExETA3B1FCIOA80H94K90FWXQKE" hidden="1">#REF!</definedName>
    <definedName name="BExETAZOYT4CJIT8RRKC9F2HJG1D" hidden="1">#REF!</definedName>
    <definedName name="BExETDZJZBM897WV9SJ54R7KH7MG" hidden="1">#REF!</definedName>
    <definedName name="BExETDZKK8E89XXW4SLL9AY29YEZ" hidden="1">#REF!</definedName>
    <definedName name="BExETF6QD5A9GEINE1KZRRC2LXWM" hidden="1">#REF!</definedName>
    <definedName name="BExETQ9XRXLUACN82805SPSPNKHI" hidden="1">#REF!</definedName>
    <definedName name="BExETR0YRMOR63E6DHLEHV9QVVON" hidden="1">#REF!</definedName>
    <definedName name="BExETU66ISCWFE06X0BBMH4H32HS" hidden="1">#REF!</definedName>
    <definedName name="BExETVTGY38YXYYF7N73OYN6FYY3" hidden="1">#REF!</definedName>
    <definedName name="BExEUNE4T242Y59C6MS28MXEUGCP" hidden="1">#REF!</definedName>
    <definedName name="BExEV1H9B1FRT8LPRHN7ODLAOI8T" hidden="1">#REF!</definedName>
    <definedName name="BExEV2TP7NA3ZR6RJGH5ER370OUM" localSheetId="3" hidden="1">#REF!</definedName>
    <definedName name="BExEV2TP7NA3ZR6RJGH5ER370OUM" hidden="1">#REF!</definedName>
    <definedName name="BExEV69USLNYO2QRJRC0J92XUF00" localSheetId="3" hidden="1">#REF!</definedName>
    <definedName name="BExEV69USLNYO2QRJRC0J92XUF00" hidden="1">#REF!</definedName>
    <definedName name="BExEV6KNTQOCFD7GV726XQEVQ7R6" localSheetId="3" hidden="1">#REF!</definedName>
    <definedName name="BExEV6KNTQOCFD7GV726XQEVQ7R6" hidden="1">#REF!</definedName>
    <definedName name="BExEV6VGM4POO9QT9KH3QA3VYCWM" hidden="1">#REF!</definedName>
    <definedName name="BExEV7MBFVP1I7TO351C06LT5IXR" hidden="1">#REF!</definedName>
    <definedName name="BExEVET98G3FU6QBF9LHYWSAMV0O" hidden="1">#REF!</definedName>
    <definedName name="BExEVNCUT0PDUYNJH7G6BSEWZOT2" hidden="1">#REF!</definedName>
    <definedName name="BExEVPGF4V5J0WQRZKUM8F9TTKZJ" hidden="1">#REF!</definedName>
    <definedName name="BExEVPWH8S9GER9M14SPIT6XZ8SG" hidden="1">#REF!</definedName>
    <definedName name="BExEVSLKRULT27602UIM13PGVL2R"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5SCJJRAF57MFJ81MB2U6K1N" hidden="1">#REF!</definedName>
    <definedName name="BExEW68M9WL8214QH9C7VCK7BN08" localSheetId="3" hidden="1">#REF!</definedName>
    <definedName name="BExEW68M9WL8214QH9C7VCK7BN08" hidden="1">#REF!</definedName>
    <definedName name="BExEW8C5SY1NQL4BKYZVXQ6JPR0W" localSheetId="3" hidden="1">#REF!</definedName>
    <definedName name="BExEW8C5SY1NQL4BKYZVXQ6JPR0W" hidden="1">#REF!</definedName>
    <definedName name="BExEW8HFKH6F47KIHYBDRUEFZ2ZZ" localSheetId="3" hidden="1">#REF!</definedName>
    <definedName name="BExEW8HFKH6F47KIHYBDRUEFZ2ZZ"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RTB911TBBZNA61Y44XXUP7N" hidden="1">#REF!</definedName>
    <definedName name="BExEWY3WYCWEMX9F15OWWUSC6ITZ" hidden="1">#REF!</definedName>
    <definedName name="BExEX25M63XO5LQD9ZS2VHQ0U8SR" hidden="1">#REF!</definedName>
    <definedName name="BExEX85F3OSW8NSCYGYPS9372Z1Q" hidden="1">#REF!</definedName>
    <definedName name="BExEX9HWY2G6928ZVVVQF77QCM2C" hidden="1">#REF!</definedName>
    <definedName name="BExEXBQWAYKMVBRJRHB8PFCSYFVN" hidden="1">#REF!</definedName>
    <definedName name="BExEXRBZ0DI9E2UFLLKYWGN66B61" hidden="1">#REF!</definedName>
    <definedName name="BExEY3GVGXSA8OTWWVC0OOM3N7EO" hidden="1">#REF!</definedName>
    <definedName name="BExEYLG9FL9V1JPPNZ3FUDNSEJ4V" hidden="1">#REF!</definedName>
    <definedName name="BExEYOW8C1B3OUUCIGEC7L8OOW1Z" hidden="1">#REF!</definedName>
    <definedName name="BExEYUQJXZT6N5HJH8ACJF6SRWEE" hidden="1">#REF!</definedName>
    <definedName name="BExEZ1S6VZCG01ZPLBSS9Z1SBOJ2" hidden="1">#REF!</definedName>
    <definedName name="BExEZGBFNJR8DLPN0V11AU22L6WY" hidden="1">#REF!</definedName>
    <definedName name="BExF02Y3V3QEPO2XLDSK47APK9XJ" hidden="1">#REF!</definedName>
    <definedName name="BExF09OS91RT7N7IW8JLMZ121ZP3" hidden="1">#REF!</definedName>
    <definedName name="BExF0JFE12J96ZPQZ2WHQZ66M1PC" hidden="1">#REF!</definedName>
    <definedName name="BExF0LOEHV42P2DV7QL8O7HOQ3N9" hidden="1">#REF!</definedName>
    <definedName name="BExF0MVJ4YGAIOT97BSBZTKKMJLO" hidden="1">#REF!</definedName>
    <definedName name="BExF0WRM9VO25RLSO03ZOCE8H7K5" hidden="1">#REF!</definedName>
    <definedName name="BExF0ZRI7W4RSLIDLHTSM0AWXO3S" hidden="1">#REF!</definedName>
    <definedName name="BExF15RBGKENVWZEFUPEK40YBRA7" hidden="1">#REF!</definedName>
    <definedName name="BExF19CT3MMZZ2T5EWMDNG3UOJ01" hidden="1">#REF!</definedName>
    <definedName name="BExF1I6ZCNOTATBG3PZ1RGSJ7JEC"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1Z9Z270BYA12GL2T6GSF2ZTY" hidden="1">#REF!</definedName>
    <definedName name="BExF29MBQUXJYOPZW1LVIKUJ4C01" hidden="1">#REF!</definedName>
    <definedName name="BExF2CWZN6E87RGTBMD4YQI2QT7R" hidden="1">#REF!</definedName>
    <definedName name="BExF2DYO1WQ7GMXSTAQRDBW1NSFG" hidden="1">#REF!</definedName>
    <definedName name="BExF2MSVB7MZZMDR2SCNEYJX21AU"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HDFSQD839XTC1DA8K1VHPZK" hidden="1">#REF!</definedName>
    <definedName name="BExF3I9T44X7DV9HHV51DVDDPPZG" hidden="1">#REF!</definedName>
    <definedName name="BExF3JMFX5DILOIFUDIO1HZUK875" hidden="1">#REF!</definedName>
    <definedName name="BExF3NO0RE1VBB19GCRR03V0B690" hidden="1">#REF!</definedName>
    <definedName name="BExF3NTC4BGZEM6B87TCFX277QCS" localSheetId="3" hidden="1">#REF!</definedName>
    <definedName name="BExF3NTC4BGZEM6B87TCFX277QCS" hidden="1">#REF!</definedName>
    <definedName name="BExF3Q7NI90WT31QHYSJDIG0LLLJ" localSheetId="3" hidden="1">#REF!</definedName>
    <definedName name="BExF3Q7NI90WT31QHYSJDIG0LLLJ" hidden="1">#REF!</definedName>
    <definedName name="BExF3QD55TIY1MSBSRK9TUJKBEWO" localSheetId="3" hidden="1">#REF!</definedName>
    <definedName name="BExF3QD55TIY1MSBSRK9TUJKBEWO" hidden="1">#REF!</definedName>
    <definedName name="BExF3QT8J6RIF1L3R700MBSKIOKW" hidden="1">#REF!</definedName>
    <definedName name="BExF3WT0ZHF3EL0ASMG2VZWM9G8I"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RZ6DOAJ22UKB3277ZIOU46S" hidden="1">#REF!</definedName>
    <definedName name="BExF4SF9NEX1FZE9N8EXT89PM54D" hidden="1">#REF!</definedName>
    <definedName name="BExF52GTGP8MHGII4KJ8TJGR8W8U" hidden="1">#REF!</definedName>
    <definedName name="BExF57K7L3UC1I2FSAWURR4SN0UN"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6H4GVM169LVJ9EMCTORM8Q7" hidden="1">#REF!</definedName>
    <definedName name="BExF6786I4LDI5XCLJEAUR1360PJ" hidden="1">#REF!</definedName>
    <definedName name="BExF67O951CF8UJF3KBDNR0E83C1" hidden="1">#REF!</definedName>
    <definedName name="BExF6EV7I35NVMIJGYTB6E24YVPA">#REF!</definedName>
    <definedName name="BExF6FGUF393KTMBT40S5BYAFG00" hidden="1">#REF!</definedName>
    <definedName name="BExF6GNYXWY8A0SY4PW1B6KJMMTM" hidden="1">#REF!</definedName>
    <definedName name="BExF6IB8K74Z0AFT05GPOKKZW7C9" hidden="1">#REF!</definedName>
    <definedName name="BExF6NUXJI11W2IAZNAM1QWC0459" hidden="1">#REF!</definedName>
    <definedName name="BExF6QUSYQJK98BYSLTE5MXT70P5" hidden="1">#REF!</definedName>
    <definedName name="BExF6RR76KNVIXGJOVFO8GDILKGZ" hidden="1">#REF!</definedName>
    <definedName name="BExF6ZE8D5CMPJPRWT6S4HM56LPF" hidden="1">#REF!</definedName>
    <definedName name="BExF76FV8SF7AJK7B35AL7VTZF6D" hidden="1">#REF!</definedName>
    <definedName name="BExF7EOIMC1OYL1N7835KGOI0FIZ" hidden="1">#REF!</definedName>
    <definedName name="BExF7K88K7ASGV6RAOAGH52G04VR" hidden="1">#REF!</definedName>
    <definedName name="BExF7OVDRP3LHNAF2CX4V84CKKIR" hidden="1">#REF!</definedName>
    <definedName name="BExF7QO41X2A2SL8UXDNP99GY7U9" hidden="1">#REF!</definedName>
    <definedName name="BExF7R9OJ83YUOQJTFS47QJFPBA6" hidden="1">#REF!</definedName>
    <definedName name="BExF7WD56YB3STK93BIQP3486ZEI" hidden="1">#REF!</definedName>
    <definedName name="BExF80K6MCUWS9W99VRNYEN44QQZ" hidden="1">#REF!</definedName>
    <definedName name="BExF81GI8B8WBHXFTET68A9358BR" hidden="1">#REF!</definedName>
    <definedName name="BExF87GAYMXKMUTK8SVUQ03Q8QZR" hidden="1">#REF!</definedName>
    <definedName name="BExGKVQARCQ9KIFMMXBXEKHDTREN" hidden="1">#REF!</definedName>
    <definedName name="BExGL97US0Y3KXXASUTVR26XLT70" localSheetId="3" hidden="1">#REF!</definedName>
    <definedName name="BExGL97US0Y3KXXASUTVR26XLT70" hidden="1">#REF!</definedName>
    <definedName name="BExGLA47VYPH5Q19X9DS7CT55B4I" localSheetId="3" hidden="1">#REF!</definedName>
    <definedName name="BExGLA47VYPH5Q19X9DS7CT55B4I" hidden="1">#REF!</definedName>
    <definedName name="BExGLC7R4C33RO0PID97ZPPVCW4M" localSheetId="3"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X716Z4UBZVUK6LS4LCBZ8EV" hidden="1">#REF!</definedName>
    <definedName name="BExGLYE6RZTAAWHJBG2QFJPTDS2Q" hidden="1">#REF!</definedName>
    <definedName name="BExGM4DZ65OAQP7MA4LN6QMYZOFF" hidden="1">#REF!</definedName>
    <definedName name="BExGMCXCWEC9XNUOEMZ61TMI6CUO"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4I0QATXNZCLZJM1KH1OIJQH" hidden="1">#REF!</definedName>
    <definedName name="BExGN7SOVSLKC6I1KE8PWWP0JN74" hidden="1">#REF!</definedName>
    <definedName name="BExGN9FZ2RWCMSY1YOBJKZMNIM9R" hidden="1">#REF!</definedName>
    <definedName name="BExGNDSIMTHOCXXG6QOGR6DA8SGG" hidden="1">#REF!</definedName>
    <definedName name="BExGNG6TCN1ZSYO3FQ0I1CHBMQSK" hidden="1">#REF!</definedName>
    <definedName name="BExGNN2YQ9BDAZXT2GLCSAPXKIM7"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93Y9EAR1NQIAT7U7P8UVVPK" hidden="1">#REF!</definedName>
    <definedName name="BExGOB25QJMQCQE76MRW9X58OIOO" localSheetId="3" hidden="1">#REF!</definedName>
    <definedName name="BExGOB25QJMQCQE76MRW9X58OIOO" hidden="1">#REF!</definedName>
    <definedName name="BExGOD5OOOBUBIMGTY10CMMLMXNN" localSheetId="3" hidden="1">#REF!</definedName>
    <definedName name="BExGOD5OOOBUBIMGTY10CMMLMXNN" hidden="1">#REF!</definedName>
    <definedName name="BExGODAZKJ9EXMQZNQR5YDBSS525" localSheetId="3" hidden="1">#REF!</definedName>
    <definedName name="BExGODAZKJ9EXMQZNQR5YDBSS525" hidden="1">#REF!</definedName>
    <definedName name="BExGODR8ZSMUC11I56QHSZ686XV5" hidden="1">#REF!</definedName>
    <definedName name="BExGOT6UXUX5FVTAYL9SOBZ1D0II" hidden="1">#REF!</definedName>
    <definedName name="BExGOXJDHUDPDT8I8IVGVW9J0R5Q" hidden="1">#REF!</definedName>
    <definedName name="BExGP3TT3CY5VYQJQ82YO0NMENH1" hidden="1">#REF!</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4E4XWZBZNG82O3F6S3IX0UD" hidden="1">#REF!</definedName>
    <definedName name="BExGQ61DTJ0SBFMDFBAK3XZ9O0ZO" hidden="1">#REF!</definedName>
    <definedName name="BExGQ6SG9XEOD0VMBAR22YPZWSTA" hidden="1">#REF!</definedName>
    <definedName name="BExGQGJ1A7LNZUS8QSMOG8UNGLMK" hidden="1">#REF!</definedName>
    <definedName name="BExGQNPYSR0588CMPYC6F4KV9EDE" hidden="1">#REF!</definedName>
    <definedName name="BExGQPO7ENFEQC0NC6MC9OZR2LHY" localSheetId="3" hidden="1">#REF!</definedName>
    <definedName name="BExGQPO7ENFEQC0NC6MC9OZR2LHY" hidden="1">#REF!</definedName>
    <definedName name="BExGQX0H4EZMXBJTKJJE4ICJWN5O" localSheetId="3" hidden="1">#REF!</definedName>
    <definedName name="BExGQX0H4EZMXBJTKJJE4ICJWN5O" hidden="1">#REF!</definedName>
    <definedName name="BExGR4CW3WRIID17GGX4MI9ZDHFE" localSheetId="3"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AY9F658TSUK4B5X7SAIOYT9" hidden="1">#REF!</definedName>
    <definedName name="BExGRD74EJWS14SU2OOJCGK9X1W7" hidden="1">#REF!</definedName>
    <definedName name="BExGROQL61G1JF22224SED98B361" hidden="1">#REF!</definedName>
    <definedName name="BExGRUKVVKDL8483WI70VN2QZDGD" hidden="1">#REF!</definedName>
    <definedName name="BExGRW2VUL2RYAVBES5DLY6VH9EK" hidden="1">#REF!</definedName>
    <definedName name="BExGS2IWR5DUNJ1U9PAKIV8CMBNI" hidden="1">#REF!</definedName>
    <definedName name="BExGS39S7AWXR3SMHER030GA9FHE"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CKA06Y0QKMK697YEVLEA9FY" hidden="1">#REF!</definedName>
    <definedName name="BExGSJWJN6NORKNRWIN4W0MANCAV" hidden="1">#REF!</definedName>
    <definedName name="BExGSQY65LH1PCKKM5WHDW83F35O" hidden="1">#REF!</definedName>
    <definedName name="BExGSSW8N9A0O48I1Z0M4ZIIXNTV" hidden="1">#REF!</definedName>
    <definedName name="BExGSYW1GKISF0PMUAK3XJK9PEW9" hidden="1">#REF!</definedName>
    <definedName name="BExGSZCAQHVWXD4N87N0EW2W1JGB" hidden="1">#REF!</definedName>
    <definedName name="BExGT0DZJB6LSF6L693UUB9EY1VQ" hidden="1">#REF!</definedName>
    <definedName name="BExGTGVFIF8HOQXR54SK065A8M4K" hidden="1">#REF!</definedName>
    <definedName name="BExGTHRSN7OEWMFAXSHGKS2ECVLO" hidden="1">#REF!</definedName>
    <definedName name="BExGTIYX3OWPIINOGY1E4QQYSKHP" hidden="1">#REF!</definedName>
    <definedName name="BExGTKGUN0KUU3C0RL2LK98D8MEK" hidden="1">#REF!</definedName>
    <definedName name="BExGTTWOFVNMXRUNAMNODBN7I5RE" hidden="1">#REF!</definedName>
    <definedName name="BExGTZ046J7VMUG4YPKFN2K8TWB7" hidden="1">#REF!</definedName>
    <definedName name="BExGU1JWSVXPWIF3A5PN098ST2ZB"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PZ6NZ68L2EDDWJAMBIUVHKZ" hidden="1">#REF!</definedName>
    <definedName name="BExGUQF9N9FKI7S0H30WUAEB5LPD"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LQV4WLYED6UCM4VDJMDIODS" hidden="1">#REF!</definedName>
    <definedName name="BExGVQE1PH4Q46QUDV9GXTDJHSBP" hidden="1">#REF!</definedName>
    <definedName name="BExGVQUBBCND7N6N8UAFSJ3XMO2K" hidden="1">#REF!</definedName>
    <definedName name="BExGVV6OOLDQ3TXZK51TTF3YX0WN" hidden="1">#REF!</definedName>
    <definedName name="BExGW0KVS7U0C87XFZ78QW991IEV" hidden="1">#REF!</definedName>
    <definedName name="BExGW2Z7AMPG6H9EXA9ML6EZVGGA" hidden="1">#REF!</definedName>
    <definedName name="BExGW4XE5DHK7GOPYX8TT51CSG15" hidden="1">#REF!</definedName>
    <definedName name="BExGW5Z3L0OX08J99L459WM06JKA" hidden="1">#REF!</definedName>
    <definedName name="BExGWABG5VT5XO1A196RK61AXA8C" hidden="1">#REF!</definedName>
    <definedName name="BExGWE2ENPKKCYNRTQY1QKPWFLXM" hidden="1">#REF!</definedName>
    <definedName name="BExGWEO0JDG84NYLEAV5NSOAGMJZ" hidden="1">#REF!</definedName>
    <definedName name="BExGWK7JDSL1M5WZ40HT9QXFJ1EM" hidden="1">#REF!</definedName>
    <definedName name="BExGWLEOC70Z8QAJTPT2PDHTNM4L" hidden="1">#REF!</definedName>
    <definedName name="BExGWNCXLCRTLBVMTXYJ5PHQI6SS" hidden="1">#REF!</definedName>
    <definedName name="BExGWTI0YD2LF2C6MIF0OB6ZIWO7"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R7QM0F3N9OYEG8V5BZ8X5WD" hidden="1">#REF!</definedName>
    <definedName name="BExGXWB73RJ4BASBQTQ8EY0EC1EB" hidden="1">#REF!</definedName>
    <definedName name="BExGXZ0ABB43C7SMRKZHWOSU9EQX"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M8ENAT3UBFMSYCXQG8WWNVD" hidden="1">#REF!</definedName>
    <definedName name="BExGYMZGRR1O4VFUEQP4FPY9SFY6" hidden="1">#REF!</definedName>
    <definedName name="BExGYOS6TV2C72PLRFU8RP1I58GY"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TE5G7WSV7TYWM2Q9FW7YZUN" hidden="1">#REF!</definedName>
    <definedName name="BExH00L21GZX5YJJGVMOAWBERLP5" hidden="1">#REF!</definedName>
    <definedName name="BExH02ZD6VAY1KQLAQYBBI6WWIZB" hidden="1">#REF!</definedName>
    <definedName name="BExH08Z6LQCGGSGSAILMHX4X7JMD" hidden="1">#REF!</definedName>
    <definedName name="BExH0BTMHS9M9C5JSOE1DK83LRCJ" hidden="1">#REF!</definedName>
    <definedName name="BExH0KT9Z8HEVRRQRGQ8YHXRLIJA" hidden="1">#REF!</definedName>
    <definedName name="BExH0M0FDN12YBOCKL3XL2Z7T7Y8" hidden="1">#REF!</definedName>
    <definedName name="BExH0O9G06YPZ5TN9RYT326I1CP2" hidden="1">#REF!</definedName>
    <definedName name="BExH0WNJAKTJRCKMTX8O4KNMIIJM" hidden="1">#REF!</definedName>
    <definedName name="BExH12Y4WX542WI3ZEM15AK4UM9J" hidden="1">#REF!</definedName>
    <definedName name="BExH181KIGEHYN7U002O6RO1HZT7" hidden="1">#REF!</definedName>
    <definedName name="BExH1COQB2N3U6HS9ITOY40KC6JA" hidden="1">#REF!</definedName>
    <definedName name="BExH1FDTQXR9QQ31WDB7OPXU7MPT" hidden="1">#REF!</definedName>
    <definedName name="BExH1FOMEUIJNIDJAUY0ZQFBJSY9" hidden="1">#REF!</definedName>
    <definedName name="BExH1G4VNA3BFMF4QK35PGSBQJMB" hidden="1">#REF!</definedName>
    <definedName name="BExH1JFFHEBFX9BWJMNIA3N66R3Z" hidden="1">#REF!</definedName>
    <definedName name="BExH1UYUZFQ3NQ2E3UANIJDR9U8U" hidden="1">#REF!</definedName>
    <definedName name="BExH1Z0GIUSVTF2H1G1I3PDGBNK2" hidden="1">#REF!</definedName>
    <definedName name="BExH225UTM6S9FW4MUDZS7F1PQSH" hidden="1">#REF!</definedName>
    <definedName name="BExH22M34C4EGB2M8ES9K2NBZFIX" hidden="1">#REF!</definedName>
    <definedName name="BExH23271RF7AYZ542KHQTH68GQ7" hidden="1">#REF!</definedName>
    <definedName name="BExH25LUU6AHETNY34SBU5S7UOWE" hidden="1">#REF!</definedName>
    <definedName name="BExH2EARUVJ0LN7IJXI0S3UWLQB2" localSheetId="3" hidden="1">#REF!</definedName>
    <definedName name="BExH2EARUVJ0LN7IJXI0S3UWLQB2" hidden="1">#REF!</definedName>
    <definedName name="BExH2GJQR4JALNB314RY0LDI49VH" localSheetId="3" hidden="1">#REF!</definedName>
    <definedName name="BExH2GJQR4JALNB314RY0LDI49VH" hidden="1">#REF!</definedName>
    <definedName name="BExH2JZR49T7644JFVE7B3N7RZM9" localSheetId="3" hidden="1">#REF!</definedName>
    <definedName name="BExH2JZR49T7644JFVE7B3N7RZM9" hidden="1">#REF!</definedName>
    <definedName name="BExH2UHF0QTJG107MULYB16WBJM9"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E9HZ3QJCDZW7WI7YACFQCHE" hidden="1">#REF!</definedName>
    <definedName name="BExH3IRB6764RQ5HBYRLH6XCT29X" hidden="1">#REF!</definedName>
    <definedName name="BExIG2U8V6RSB47SXLCQG3Q68YRO" hidden="1">#REF!</definedName>
    <definedName name="BExIGHTQQA3RHXK08CNPZI42FVSA" hidden="1">#REF!</definedName>
    <definedName name="BExIGJBO8R13LV7CZ7C1YCP974NN" hidden="1">#REF!</definedName>
    <definedName name="BExIGWT86FPOEYTI8GXCGU5Y3KGK" hidden="1">#REF!</definedName>
    <definedName name="BExIHBHXA7E7VUTBVHXXXCH3A5CL" hidden="1">#REF!</definedName>
    <definedName name="BExIHBHXMSLC44C053SZXSYO7792" hidden="1">#REF!</definedName>
    <definedName name="BExIHPQCQTGEW8QOJVIQ4VX0P6DX" hidden="1">#REF!</definedName>
    <definedName name="BExII1F6IZ6R90QEXPQM797VHUO1" hidden="1">#REF!</definedName>
    <definedName name="BExII1KN91Q7DLW0UB7W2TJ5ACT9" hidden="1">#REF!</definedName>
    <definedName name="BExII50LI8I0CDOOZEMIVHVA2V95" hidden="1">#REF!</definedName>
    <definedName name="BExIIFCX8RFH3G7Q9DCH3HTE14VA"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DISZXEB5UAC55IINOQUBK6X" hidden="1">#REF!</definedName>
    <definedName name="BExIJFGZJ5ED9D6KAY4PGQYLELAX" hidden="1">#REF!</definedName>
    <definedName name="BExIJQK80ZEKSTV62E59AYJYUNLI" hidden="1">#REF!</definedName>
    <definedName name="BExIJRLX3M0YQLU1D5Y9V7HM5QNM" hidden="1">#REF!</definedName>
    <definedName name="BExIJRR7W9PHGSRPIHRCMIOQUEQQ" hidden="1">#REF!</definedName>
    <definedName name="BExIJV22J0QA7286KNPMHO1ZUCB3" localSheetId="3" hidden="1">#REF!</definedName>
    <definedName name="BExIJV22J0QA7286KNPMHO1ZUCB3" hidden="1">#REF!</definedName>
    <definedName name="BExIJVI6OC7B6ZE9V4PAOYZXKNER" localSheetId="3" hidden="1">#REF!</definedName>
    <definedName name="BExIJVI6OC7B6ZE9V4PAOYZXKNER" hidden="1">#REF!</definedName>
    <definedName name="BExIJWK0NGTGQ4X7D5VIVXD14JHI" localSheetId="3" hidden="1">#REF!</definedName>
    <definedName name="BExIJWK0NGTGQ4X7D5VIVXD14JHI" hidden="1">#REF!</definedName>
    <definedName name="BExIJWPCIYINEJUTXU74VK7WG031" hidden="1">#REF!</definedName>
    <definedName name="BExIKHTXPZR5A8OHB6HDP6QWDHAD" hidden="1">#REF!</definedName>
    <definedName name="BExIKMMJOETSAXJYY1SIKM58LMA2" hidden="1">#REF!</definedName>
    <definedName name="BExIKPRX2YB5WTLBU2ZIIDKTSZLB"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5T2MJ6DXYOSVERRYGMDV89B" hidden="1">#REF!</definedName>
    <definedName name="BExILAAXRTRAD18K74M6MGUEEPUM" hidden="1">#REF!</definedName>
    <definedName name="BExILG5F338C0FFLMVOKMKF8X5ZP" hidden="1">#REF!</definedName>
    <definedName name="BExILGQTQM0HOD0BJI90YO7GOIN3" hidden="1">#REF!</definedName>
    <definedName name="BExILT6PKNSR8V0R7UE4IRG590K6" hidden="1">#REF!</definedName>
    <definedName name="BExIM2RXHXBO63HBPUTHF775IIRY" localSheetId="3" hidden="1">#REF!</definedName>
    <definedName name="BExIM2RXHXBO63HBPUTHF775IIRY" hidden="1">#REF!</definedName>
    <definedName name="BExIM2RXYS5BGYBDMFLU1RE8039Z" localSheetId="3" hidden="1">#REF!</definedName>
    <definedName name="BExIM2RXYS5BGYBDMFLU1RE8039Z" hidden="1">#REF!</definedName>
    <definedName name="BExIM2X90EG7J3TG4STQ3J1OK4O0" localSheetId="3" hidden="1">#REF!</definedName>
    <definedName name="BExIM2X90EG7J3TG4STQ3J1OK4O0" hidden="1">#REF!</definedName>
    <definedName name="BExIM9DBUB7ZGF4B20FVUO9QGOX2" localSheetId="3" hidden="1">#REF!</definedName>
    <definedName name="BExIM9DBUB7ZGF4B20FVUO9QGOX2" hidden="1">#REF!</definedName>
    <definedName name="BExIMGK9Z94TFPWWZFMD10HV0IF6" localSheetId="3" hidden="1">#REF!</definedName>
    <definedName name="BExIMGK9Z94TFPWWZFMD10HV0IF6" hidden="1">#REF!</definedName>
    <definedName name="BExIMPEGKG18TELVC33T4OQTNBWC" localSheetId="3" hidden="1">#REF!</definedName>
    <definedName name="BExIMPEGKG18TELVC33T4OQTNBWC" hidden="1">#REF!</definedName>
    <definedName name="BExIN4OR435DL1US13JQPOQK8GD5" hidden="1">#REF!</definedName>
    <definedName name="BExINHQ27UK79IK88M14P1SXMGYY" hidden="1">#REF!</definedName>
    <definedName name="BExINI6A7H3KSFRFA6UBBDPKW37F" hidden="1">#REF!</definedName>
    <definedName name="BExINIMK8XC3JOBT2EXYFHHH52H0" hidden="1">#REF!</definedName>
    <definedName name="BExINLGZTO4C3BAICP3I2AXI0L3L" hidden="1">#REF!</definedName>
    <definedName name="BExINLX401ZKEGWU168DS4JUM2J6" hidden="1">#REF!</definedName>
    <definedName name="BExINMYYJO1FTV1CZF6O5XCFAMQX" hidden="1">#REF!</definedName>
    <definedName name="BExINP2H4KI05FRFV5PKZFE00HKO" hidden="1">#REF!</definedName>
    <definedName name="BExINT417AAWC51ZA8X4TDJCY0QV" hidden="1">#REF!</definedName>
    <definedName name="BExINT42RM5ESUGKCUN8IZFWEV0D" hidden="1">#REF!</definedName>
    <definedName name="BExINZELBUXH0OXC3SAGC2RI7DXI" localSheetId="3" hidden="1">#REF!</definedName>
    <definedName name="BExINZELBUXH0OXC3SAGC2RI7DXI" hidden="1">#REF!</definedName>
    <definedName name="BExINZELVWYGU876QUUZCIMXPBQC" localSheetId="3" hidden="1">#REF!</definedName>
    <definedName name="BExINZELVWYGU876QUUZCIMXPBQC" hidden="1">#REF!</definedName>
    <definedName name="BExIOCQUQHKUU1KONGSDOLQTQEIC" localSheetId="3" hidden="1">#REF!</definedName>
    <definedName name="BExIOCQUQHKUU1KONGSDOLQTQEIC" hidden="1">#REF!</definedName>
    <definedName name="BExIOFL8Y5O61VLKTB4H20IJNWS1" hidden="1">#REF!</definedName>
    <definedName name="BExIOMBXRW5NS4ZPYX9G5QREZ5J6" hidden="1">#REF!</definedName>
    <definedName name="BExIOP121EZ0DOU3CLJVVRUIQPZP" hidden="1">#REF!</definedName>
    <definedName name="BExIORA3GK78T7C7SNBJJUONJ0LS" hidden="1">#REF!</definedName>
    <definedName name="BExIORFDXP4AVIEBLSTZ8ETSXMNM" hidden="1">#REF!</definedName>
    <definedName name="BExIOTZ5EFZ2NASVQ05RH15HRSW6"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NFUDPDKOSH5GHDVNA8D66S" hidden="1">#REF!</definedName>
    <definedName name="BExIPMWA45QSRZBQJ7J5LE412D5J"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65DFEB0L9IMMF5X977SD" hidden="1">#REF!</definedName>
    <definedName name="BExIQBMDE1L6J4H27K1FMSHQKDSE" hidden="1">#REF!</definedName>
    <definedName name="BExIQE65LVXUOF3UZFO7SDHFJH22" hidden="1">#REF!</definedName>
    <definedName name="BExIQG9OO2KKBOWTMD1OXY36TEGA" hidden="1">#REF!</definedName>
    <definedName name="BExIQK0FRCT7UYOFPF6HXKEUARNJ" hidden="1">#REF!</definedName>
    <definedName name="BExIQX1XBB31HZTYEEVOBSE3C5A6" hidden="1">#REF!</definedName>
    <definedName name="BExIQY8VY7PMQS8M5UTSAF3MW1AA"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RRM8X5MMN15Q3SPFK13165ZR" hidden="1">#REF!</definedName>
    <definedName name="BExIS4T0DRF57HYO7OGG72KBOFOI" localSheetId="3" hidden="1">#REF!</definedName>
    <definedName name="BExIS4T0DRF57HYO7OGG72KBOFOI" hidden="1">#REF!</definedName>
    <definedName name="BExIS77BJDDK18PGI9DSEYZPIL7P" localSheetId="3" hidden="1">#REF!</definedName>
    <definedName name="BExIS77BJDDK18PGI9DSEYZPIL7P" hidden="1">#REF!</definedName>
    <definedName name="BExIS8UME1A94FJH5YHFVEO8E03Z" localSheetId="3" hidden="1">#REF!</definedName>
    <definedName name="BExIS8UME1A94FJH5YHFVEO8E03Z" hidden="1">#REF!</definedName>
    <definedName name="BExIS8USL1T3Z97CZ30HJ98E2GXQ" hidden="1">#REF!</definedName>
    <definedName name="BExISC5B700MZUBFTQ9K4IKTF7HR" hidden="1">#REF!</definedName>
    <definedName name="BExISDHXS49S1H56ENBPRF1NLD5C" hidden="1">#REF!</definedName>
    <definedName name="BExISM1JLV54A21A164IURMPGUMU" hidden="1">#REF!</definedName>
    <definedName name="BExISRFKJYUZ4AKW44IJF7RF9Y90" hidden="1">#REF!</definedName>
    <definedName name="BExISXVMB9A7MHHRJTQGWLTINL5K" hidden="1">#REF!</definedName>
    <definedName name="BExIT1MK8TBAK3SNP36A8FKDQSOK" hidden="1">#REF!</definedName>
    <definedName name="BExITBNYANV2S8KD56GOGCKW393R" hidden="1">#REF!</definedName>
    <definedName name="BExITENTNC8AZE7V0WRWRYW8HP0C" hidden="1">#REF!</definedName>
    <definedName name="BExITKI640SU7Y4KLZY9I1Z9R6TT" hidden="1">#REF!</definedName>
    <definedName name="BExITTSMS5QHJIV39IX8L172UTTU" hidden="1">#REF!</definedName>
    <definedName name="BExITU3FT317H7G8057DIO12TN7U" hidden="1">#REF!</definedName>
    <definedName name="BExITXE2V3RFP2CB0EZVVTMZFX7T" hidden="1">#REF!</definedName>
    <definedName name="BExIUAFCGGFQDEDMTXUYTTA3EYBT" hidden="1">#REF!</definedName>
    <definedName name="BExIUD4OJGH65NFNQ4VMCE3R4J1X" hidden="1">#REF!</definedName>
    <definedName name="BExIUKGWIPE992U6T8OUR0LZQDXK" hidden="1">#REF!</definedName>
    <definedName name="BExIUM46R6FW1PBJUL86BQVXB96X" hidden="1">#REF!</definedName>
    <definedName name="BExIUTB5OAAXYW0OFMP0PS40SPOB" hidden="1">#REF!</definedName>
    <definedName name="BExIUUT2MHIOV6R3WHA0DPM1KBKY" hidden="1">#REF!</definedName>
    <definedName name="BExIUY3RMHPHDAHQNA21GY3ZUTMU"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8AM80CS6E5TN6IATF33GV1V" hidden="1">#REF!</definedName>
    <definedName name="BExIVBFYNRU691AQPVWWPH7PG4PX" hidden="1">#REF!</definedName>
    <definedName name="BExIVC6WZMHRBRGIBUVX0CO2RK05" hidden="1">#REF!</definedName>
    <definedName name="BExIVCXWL6H5LD9DHDIA4F5U9TQL" hidden="1">#REF!</definedName>
    <definedName name="BExIVEL6GUMOY062S9PFOGOGJ1UX"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CGFM00Y1WAFPJT5KRD1K5XP" hidden="1">#REF!</definedName>
    <definedName name="BExIWG1W7XP9DFYYSZAIOSHM0QLQ" hidden="1">#REF!</definedName>
    <definedName name="BExIWH3KUK94B7833DD4TB0Y6KP9" hidden="1">#REF!</definedName>
    <definedName name="BExIWKE9MGIDWORBI43AWTUNYFAN" hidden="1">#REF!</definedName>
    <definedName name="BExIWLFXFUPVKEPUHWJYGEW9I7SQ" hidden="1">#REF!</definedName>
    <definedName name="BExIWNZR6BI167OK1PHT0XMDHSMS" hidden="1">#REF!</definedName>
    <definedName name="BExIWQ8KOCZ9G1137JOM03I28GP4" hidden="1">#REF!</definedName>
    <definedName name="BExIX34PM5DBTRHRQWP6PL6WIX88" hidden="1">#REF!</definedName>
    <definedName name="BExIX5OAP9KSUE5SIZCW9P39Q4WE" hidden="1">#REF!</definedName>
    <definedName name="BExIXB7UUMLUUU4G2KWA00VKHNEJ"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P9Q6FV9T0R9G3UDKLS4TTYX" hidden="1">#REF!</definedName>
    <definedName name="BExIYQ63QDPSPOEL1H0OP89YQTZH" hidden="1">#REF!</definedName>
    <definedName name="BExIYV9IMIVVVSZNL48E412WN7ZF" localSheetId="3" hidden="1">#REF!</definedName>
    <definedName name="BExIYV9IMIVVVSZNL48E412WN7ZF" hidden="1">#REF!</definedName>
    <definedName name="BExIYWWSSNFJ49218D4EO9QWKL69" localSheetId="3" hidden="1">#REF!</definedName>
    <definedName name="BExIYWWSSNFJ49218D4EO9QWKL69" hidden="1">#REF!</definedName>
    <definedName name="BExIYZGLDQ1TN7BIIN4RLDP31GIM" localSheetId="3" hidden="1">#REF!</definedName>
    <definedName name="BExIYZGLDQ1TN7BIIN4RLDP31GIM" hidden="1">#REF!</definedName>
    <definedName name="BExIZ4K0EZJK6PW3L8SVKTJFSWW9" hidden="1">#REF!</definedName>
    <definedName name="BExIZ5GDN6WSJ55BFCN2CC7G80L0" hidden="1">#REF!</definedName>
    <definedName name="BExIZ6YBLNY9O1BQC129VGDXCVNX"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RR2XMWW3VZMPSQKXHZUH" hidden="1">#REF!</definedName>
    <definedName name="BExJ0DYJWXGE7DA39PYL3WM05U9O" hidden="1">#REF!</definedName>
    <definedName name="BExJ0MY8SY5J5V50H3UKE78ODTVB" hidden="1">#REF!</definedName>
    <definedName name="BExJ0YC98G37ML4N8FLP8D95EFRF" hidden="1">#REF!</definedName>
    <definedName name="BExJ1PWWYANUHL8A16ETV0RDAXC3" hidden="1">#REF!</definedName>
    <definedName name="BExKCDYKAEV45AFXHVHZZ62E5BM3" hidden="1">#REF!</definedName>
    <definedName name="BExKCJCRGT5SGXIHDQI24Z6J8GI4" hidden="1">#REF!</definedName>
    <definedName name="BExKDKO0W4AGQO1V7K6Q4VM750FT" hidden="1">#REF!</definedName>
    <definedName name="BExKDLF10G7W77J87QWH3ZGLUCLW" hidden="1">#REF!</definedName>
    <definedName name="BExKE0PBX3XGOUM78ZT54ALDAVSP" hidden="1">#REF!</definedName>
    <definedName name="BExKEFE0I3MT6ZLC4T1L9465HKTN" hidden="1">#REF!</definedName>
    <definedName name="BExKEK6O5BVJP4VY02FY7JNAZ6BT" hidden="1">#REF!</definedName>
    <definedName name="BExKEKXK6E6QX339ELPXDIRZSJE0" hidden="1">#REF!</definedName>
    <definedName name="BExKEOOIBMP7N8033EY2CJYCBX6H" hidden="1">#REF!</definedName>
    <definedName name="BExKEW0RR5LA3VC46A2BEOOMQE56" hidden="1">#REF!</definedName>
    <definedName name="BExKFA3VI1CZK21SM0N3LZWT9LA1" hidden="1">#REF!</definedName>
    <definedName name="BExKFHGARZIYPYRZWQNLP5VVCRE2" hidden="1">#REF!</definedName>
    <definedName name="BExKFINBFV5J2NFRCL4YUO3YF0ZE" hidden="1">#REF!</definedName>
    <definedName name="BExKFISRBFACTAMJSALEYMY66F6X" hidden="1">#REF!</definedName>
    <definedName name="BExKFOSK5DJ151C4E8544UWMYTOC" hidden="1">#REF!</definedName>
    <definedName name="BExKFY32BHV278YC2ID5UIB5O51K" hidden="1">#REF!</definedName>
    <definedName name="BExKFYJC4EVEV54F82K6VKP7Q3OU" hidden="1">#REF!</definedName>
    <definedName name="BExKG4IYHBKQQ8J8FN10GB2IKO33" hidden="1">#REF!</definedName>
    <definedName name="BExKG60XBDFYOF7ZU3F5US7CM2Y4" hidden="1">#REF!</definedName>
    <definedName name="BExKG6XA0DGM4VUMUE4NHHVYVJ0J"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RLRYB3OW56X3JCUII1OOS3K" hidden="1">#REF!</definedName>
    <definedName name="BExKGV77YH9YXIQTRKK2331QGYKF" hidden="1">#REF!</definedName>
    <definedName name="BExKH170S7VQ0NRNOWNT98XVEWUH" hidden="1">#REF!</definedName>
    <definedName name="BExKH3FTZ5VGTB86W9M4AB39R0G8" hidden="1">#REF!</definedName>
    <definedName name="BExKH3FV5U5O6XZM7STS3NZKQFGJ"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HWD5BOLP8DQJHOIBWHYCSY9W" hidden="1">#REF!</definedName>
    <definedName name="BExKI4076KXCDE5KXL79KT36OKLO" hidden="1">#REF!</definedName>
    <definedName name="BExKI45P8VH8M6QPIX8B2CFPOGZ3" hidden="1">#REF!</definedName>
    <definedName name="BExKI7LO70WYISR7Q0Y1ZDWO9M3B" hidden="1">#REF!</definedName>
    <definedName name="BExKIEN5C2YIQQSVLK8YO62XYJMM"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CRXE2B5CHO3044NF9QAKPIW" hidden="1">#REF!</definedName>
    <definedName name="BExKKIM9NPF6B3SPMPIQB27HQME4" hidden="1">#REF!</definedName>
    <definedName name="BExKKIX1BCBQ4R3K41QD8NTV0OV0" hidden="1">#REF!</definedName>
    <definedName name="BExKKKV82VW7RLX4HE7NYZULP4I5" hidden="1">#REF!</definedName>
    <definedName name="BExKKLGTZTV7J4XD4AGDM4UEZFTY" hidden="1">#REF!</definedName>
    <definedName name="BExKKQ3ZWADYV03YHMXDOAMU90EB" hidden="1">#REF!</definedName>
    <definedName name="BExKKRWPS7N7KUY6X06X0TEINQM6" hidden="1">#REF!</definedName>
    <definedName name="BExKKUGD2HMJWQEYZ8H3X1BMXFS9" hidden="1">#REF!</definedName>
    <definedName name="BExKKX05KCZZZPKOR1NE5A8RGVT4" hidden="1">#REF!</definedName>
    <definedName name="BExKKX5GX2R75C9E5OJC8AEQ02WR" hidden="1">#REF!</definedName>
    <definedName name="BExKLD6S9L66QYREYHBE5J44OK7X" hidden="1">#REF!</definedName>
    <definedName name="BExKLEZK32L28GYJWVO63BZ5E1JD" hidden="1">#REF!</definedName>
    <definedName name="BExKLHTYKCAWH7WCYP78L3516NDH" hidden="1">#REF!</definedName>
    <definedName name="BExKLLKVVHT06LA55JB2FC871DC5" hidden="1">#REF!</definedName>
    <definedName name="BExKMFUOVKD6ZRRWMW0FAANYOY14" hidden="1">#REF!</definedName>
    <definedName name="BExKMM52P2JTD826GL7EUFZ2GOWA" localSheetId="3" hidden="1">#REF!</definedName>
    <definedName name="BExKMM52P2JTD826GL7EUFZ2GOWA" hidden="1">#REF!</definedName>
    <definedName name="BExKMWBX4EH3EYJ07UFEM08NB40Z" localSheetId="3" hidden="1">#REF!</definedName>
    <definedName name="BExKMWBX4EH3EYJ07UFEM08NB40Z" hidden="1">#REF!</definedName>
    <definedName name="BExKNBGV2IR3S7M0BX4810KZB4V3" localSheetId="3" hidden="1">#REF!</definedName>
    <definedName name="BExKNBGV2IR3S7M0BX4810KZB4V3" hidden="1">#REF!</definedName>
    <definedName name="BExKNCTBZTSY3MO42VU5PLV6YUHZ" hidden="1">#REF!</definedName>
    <definedName name="BExKNGV2YY749C42AQ2T9QNIE5C3" hidden="1">#REF!</definedName>
    <definedName name="BExKNSP7EUXMQ7HQ1I4UI51T620P" hidden="1">#REF!</definedName>
    <definedName name="BExKNV8UOHVWEHDJWI2WMJ9X6QHZ"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BVQIBD5QN64WI0VMWG8ECVY" hidden="1">#REF!</definedName>
    <definedName name="BExKODIZGWW2EQD0FEYW6WK6XLCM" hidden="1">#REF!</definedName>
    <definedName name="BExKOPO2HPWVQGAKW8LOZMPIDEFG" hidden="1">#REF!</definedName>
    <definedName name="BExKOU0G4S03BPJYQJ7Q6BXA1XZE" hidden="1">#REF!</definedName>
    <definedName name="BExKP1NNUBCM89W1AWCQ4GYT46VL" hidden="1">#REF!</definedName>
    <definedName name="BExKPEZP0QTKOTLIMMIFSVTHQEEK" localSheetId="3" hidden="1">#REF!</definedName>
    <definedName name="BExKPEZP0QTKOTLIMMIFSVTHQEEK" hidden="1">#REF!</definedName>
    <definedName name="BExKPJXT3SWOS15NRMD9RAD4AXOC" localSheetId="3" hidden="1">#REF!</definedName>
    <definedName name="BExKPJXT3SWOS15NRMD9RAD4AXOC" hidden="1">#REF!</definedName>
    <definedName name="BExKPLFRCAYNO7ZNGISMPGFFXB00" localSheetId="3" hidden="1">#REF!</definedName>
    <definedName name="BExKPLFRCAYNO7ZNGISMPGFFXB00" hidden="1">#REF!</definedName>
    <definedName name="BExKPLQJX0HJ8OTXBXH9IC9J2V0W" hidden="1">#REF!</definedName>
    <definedName name="BExKPN8C7GN36ZJZHLOB74LU6KT0" hidden="1">#REF!</definedName>
    <definedName name="BExKPUKRNDWTKQ8SV8FLABPPXTJK" hidden="1">#REF!</definedName>
    <definedName name="BExKPX9VZ1J5021Q98K60HMPJU58" hidden="1">#REF!</definedName>
    <definedName name="BExKQJGAAWNM3NT19E9I0CQDBTU0" hidden="1">#REF!</definedName>
    <definedName name="BExKQM5GJ1ZN5REKFE7YVBQ0KXWF" hidden="1">#REF!</definedName>
    <definedName name="BExKQOEA7HV9U5DH9C8JXFD62EKH" hidden="1">#REF!</definedName>
    <definedName name="BExKQQ71278061G7ZFYGPWOMOMY2" hidden="1">#REF!</definedName>
    <definedName name="BExKQR8NYY6S7G0RNG3W5UHF26LU" hidden="1">#REF!</definedName>
    <definedName name="BExKQRUAOHG635WYE6STI4YHGJPE" hidden="1">#REF!</definedName>
    <definedName name="BExKQTXRG3ECU8NT47UR7643LO5G" hidden="1">#REF!</definedName>
    <definedName name="BExKQVL7HPOIZ4FHANDFMVOJLEPR" hidden="1">#REF!</definedName>
    <definedName name="BExKR1VS7ERDDF8HXB3WTPYEUCIU" hidden="1">#REF!</definedName>
    <definedName name="BExKR32XG1WY77WDT8KW9FJPGQTU" hidden="1">#REF!</definedName>
    <definedName name="BExKR510GA0MUAKSG4OVIQ26I0BG" hidden="1">#REF!</definedName>
    <definedName name="BExKR8RZSEHW184G0Z56B4EGNU72" hidden="1">#REF!</definedName>
    <definedName name="BExKRVUSQ6PA7ZYQSTEQL3X7PB9P" hidden="1">#REF!</definedName>
    <definedName name="BExKRY3KZ7F7RB2KH8HXSQ85IEQO" hidden="1">#REF!</definedName>
    <definedName name="BExKSA37DZTCK6H13HPIKR0ZFVL8"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LH6QVG81B35VZ8FUSPBKTD5" hidden="1">#REF!</definedName>
    <definedName name="BExKSRX3BUJY78UHYYZJVTVLMZVP" hidden="1">#REF!</definedName>
    <definedName name="BExKSU0MKNAVZYYPKCYTZDWQX4R8" hidden="1">#REF!</definedName>
    <definedName name="BExKSUBFNA2CM15GD0QR99POCR5I" hidden="1">#REF!</definedName>
    <definedName name="BExKSV7ROT5B5BVJ3G19JSC85BAD" hidden="1">#REF!</definedName>
    <definedName name="BExKSX60G1MUS689FXIGYP2F7C62" hidden="1">#REF!</definedName>
    <definedName name="BExKT2UZ7Y2VWF5NQE18SJRLD2RN" hidden="1">#REF!</definedName>
    <definedName name="BExKT3GJFNGAM09H5F615E36A38C" hidden="1">#REF!</definedName>
    <definedName name="BExKT9AWCJUL6FVVYMI7NGFTAEEG" hidden="1">#REF!</definedName>
    <definedName name="BExKTQZGN8GI3XGSEXMPCCA3S19H" hidden="1">#REF!</definedName>
    <definedName name="BExKTSBXGP8YGSN5UO0FUHVXT92J" hidden="1">#REF!</definedName>
    <definedName name="BExKTUKYYU0F6TUW1RXV24LRAZFE" hidden="1">#REF!</definedName>
    <definedName name="BExKU3FBLHQBIUTN6XEZW5GC9OG1" hidden="1">#REF!</definedName>
    <definedName name="BExKU3KMPVWH483Q5TP8K2H0S2L4" hidden="1">#REF!</definedName>
    <definedName name="BExKU82I99FEUIZLODXJDOJC96CQ" hidden="1">#REF!</definedName>
    <definedName name="BExKU9EXMNZKVJV6GSO4XEI3YCWM" hidden="1">#REF!</definedName>
    <definedName name="BExKUDM0DFSCM3D91SH0XLXJSL18" hidden="1">#REF!</definedName>
    <definedName name="BExKUGGKEOHX3EEPQ7NGSZWZ8UPA" hidden="1">#REF!</definedName>
    <definedName name="BExKULEKJLA77AUQPDUHSM94Y76Z" hidden="1">#REF!</definedName>
    <definedName name="BExKUPAT7VWF9ZS0PSYAV71U4N72" hidden="1">#REF!</definedName>
    <definedName name="BExKV08R85MKI3MAX9E2HERNQUNL" localSheetId="3" hidden="1">#REF!</definedName>
    <definedName name="BExKV08R85MKI3MAX9E2HERNQUNL" hidden="1">#REF!</definedName>
    <definedName name="BExKV334XOSQSXAYPE1ZFCWHR4J8" localSheetId="3" hidden="1">#REF!</definedName>
    <definedName name="BExKV334XOSQSXAYPE1ZFCWHR4J8" hidden="1">#REF!</definedName>
    <definedName name="BExKV4AAUNNJL5JWD7PX6BFKVS6O" localSheetId="3" hidden="1">#REF!</definedName>
    <definedName name="BExKV4AAUNNJL5JWD7PX6BFKVS6O" hidden="1">#REF!</definedName>
    <definedName name="BExKV6J9WVQH09L0UOV4PHTLKXRK" hidden="1">#REF!</definedName>
    <definedName name="BExKVDVK6HN74GQPTXICP9BFC8CF" hidden="1">#REF!</definedName>
    <definedName name="BExKVFZ3ZZGIC1QI8XN6BYFWN0ZY" hidden="1">#REF!</definedName>
    <definedName name="BExKVG4KGO28KPGTAFL1R8TTZ10N" hidden="1">#REF!</definedName>
    <definedName name="BExKVQRICZRKMKC3XFBPYJM79KT1" hidden="1">#REF!</definedName>
    <definedName name="BExKW0CSH7DA02YSNV64PSEIXB2P" hidden="1">#REF!</definedName>
    <definedName name="BExKW61SUXF65SCFWSZUR9GUOOMH" hidden="1">#REF!</definedName>
    <definedName name="BExM9NUG3Q31X01AI9ZJCZIX25CS" hidden="1">#REF!</definedName>
    <definedName name="BExM9OG182RP30MY23PG49LVPZ1C" hidden="1">#REF!</definedName>
    <definedName name="BExMA64MW1S18NH8DCKPCCEI5KCB" hidden="1">#REF!</definedName>
    <definedName name="BExMAAMGWSV264QND3PEEFNT51OK" hidden="1">#REF!</definedName>
    <definedName name="BExMAC4FBX1U0Y3998JERGS9KL2T" hidden="1">#REF!</definedName>
    <definedName name="BExMAIF09XQ94J83IAH3DFXTENQV" hidden="1">#REF!</definedName>
    <definedName name="BExMALEWFUEM8Y686IT03ECURUBR" hidden="1">#REF!</definedName>
    <definedName name="BExMAR3XSK6RSFLHP7ZX1EWGHASI" hidden="1">#REF!</definedName>
    <definedName name="BExMAXJS82ZJ8RS22VLE0V0LDUII"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MVGO0XJ71IWHILW9QA74NPG" hidden="1">#REF!</definedName>
    <definedName name="BExMBYPQDG9AYDQ5E8IECVFREPO6" hidden="1">#REF!</definedName>
    <definedName name="BExMBZ5YTPW7PFDUD2A9VUJ4HTNH" localSheetId="3" hidden="1">#REF!</definedName>
    <definedName name="BExMBZ5YTPW7PFDUD2A9VUJ4HTNH" hidden="1">#REF!</definedName>
    <definedName name="BExMBZM2XYYERB8X75SWZCZRQTT3" localSheetId="3" hidden="1">#REF!</definedName>
    <definedName name="BExMBZM2XYYERB8X75SWZCZRQTT3" hidden="1">#REF!</definedName>
    <definedName name="BExMC8AZUTX8LG89K2JJR7ZG62XX" localSheetId="3" hidden="1">#REF!</definedName>
    <definedName name="BExMC8AZUTX8LG89K2JJR7ZG62XX" hidden="1">#REF!</definedName>
    <definedName name="BExMCA96YR10V72G2R0SCIKPZLIZ" hidden="1">#REF!</definedName>
    <definedName name="BExMCB5JU5I2VQDUBS4O42BTEVKI" hidden="1">#REF!</definedName>
    <definedName name="BExMCFSQFSEMPY5IXDIRKZDASDBR" hidden="1">#REF!</definedName>
    <definedName name="BExMCGUFAIU47IPVOIVWOZPLSX79" hidden="1">#REF!</definedName>
    <definedName name="BExMCMZOEYWVOOJ98TBHTTCS7XB8" hidden="1">#REF!</definedName>
    <definedName name="BExMCQQH8CGFPPPG70D6VV4J3XR6" hidden="1">#REF!</definedName>
    <definedName name="BExMCS8EF2W3FS9QADNKREYSI8P0" hidden="1">#REF!</definedName>
    <definedName name="BExMCUS7GSOM96J0HJ7EH0FFM2AC" hidden="1">#REF!</definedName>
    <definedName name="BExMCYTT6TVDWMJXO1NZANRTVNAN" hidden="1">#REF!</definedName>
    <definedName name="BExMD5F6IAV108XYJLXUO9HD0IT6"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UWB7VWHFFR266QXO46BNV2S" hidden="1">#REF!</definedName>
    <definedName name="BExME2U47N8LZG0BPJ49ANY5QVV2" hidden="1">#REF!</definedName>
    <definedName name="BExME5OOQT5THEZMTKUDCTJQJ75P" hidden="1">#REF!</definedName>
    <definedName name="BExME88DH5DUKMUFI9FNVECXFD2E" hidden="1">#REF!</definedName>
    <definedName name="BExME9A7MOGAK7YTTQYXP5DL6VYA" hidden="1">#REF!</definedName>
    <definedName name="BExMEIF7MG94HDIP9UUN2B1R7AP9" hidden="1">#REF!</definedName>
    <definedName name="BExMEOV9YFRY5C3GDLU60GIX10BY" hidden="1">#REF!</definedName>
    <definedName name="BExMEQ7OI6NAP3UP3UX0O5JKS0DV" hidden="1">#REF!</definedName>
    <definedName name="BExMEY09ESM4H2YGKEQQRYUD114R" hidden="1">#REF!</definedName>
    <definedName name="BExMF4G4IUPQY1Y5GEY5N3E04CL6" hidden="1">#REF!</definedName>
    <definedName name="BExMF5I0YYHYSHHGNQEI50YPTUFU" hidden="1">#REF!</definedName>
    <definedName name="BExMF9UIGYMOAQK0ELUWP0S0HZZY" hidden="1">#REF!</definedName>
    <definedName name="BExMFDLBSWFMRDYJ2DZETI3EXKN2" hidden="1">#REF!</definedName>
    <definedName name="BExMFLDTMRTCHKA37LQW67BG8D5C" hidden="1">#REF!</definedName>
    <definedName name="BExMFYPXA6CPPQEIQCZVJ1O8CC3D" hidden="1">#REF!</definedName>
    <definedName name="BExMG3IJ4BTO1ISLMJY91RJVU21M" hidden="1">#REF!</definedName>
    <definedName name="BExMG9NSK30KD01QX0UBN2VNRTG4" hidden="1">#REF!</definedName>
    <definedName name="BExMGD99CUH3CN5F5OWTFJPXIOC5" hidden="1">#REF!</definedName>
    <definedName name="BExMGG3PFIHPHX7NXB7HDFI3N12L" hidden="1">#REF!</definedName>
    <definedName name="BExMGGUQP0X7T5PIESJE86819NLZ"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58NHPZ1UTOZCYFOQPS8I7WN" hidden="1">#REF!</definedName>
    <definedName name="BExMI6L9KX05GAK523JFKICJMTA5" hidden="1">#REF!</definedName>
    <definedName name="BExMI6QQ20XHD0NWJUN741B37182" hidden="1">#REF!</definedName>
    <definedName name="BExMI7MYLMINF9AC59CYYVFGQJAY" hidden="1">#REF!</definedName>
    <definedName name="BExMI8JB94SBD9EMNJEK7Y2T6GYU" hidden="1">#REF!</definedName>
    <definedName name="BExMI8OS85YTW3KYVE4YD0R7Z6UV" hidden="1">#REF!</definedName>
    <definedName name="BExMIBOOZU40JS3F89OMPSRCE9MM" hidden="1">#REF!</definedName>
    <definedName name="BExMIHJ01IVQHPV5ZNO9UPQB64N8" hidden="1">#REF!</definedName>
    <definedName name="BExMIIQ5MBWSIHTFWAQADXMZC22Q" hidden="1">#REF!</definedName>
    <definedName name="BExMIL4I2GE866I25CR5JBLJWJ6A" hidden="1">#REF!</definedName>
    <definedName name="BExMIRKIPF27SNO82SPFSB3T5U17" hidden="1">#REF!</definedName>
    <definedName name="BExMITILFEELDXT62AREXCM0DX4R" hidden="1">#REF!</definedName>
    <definedName name="BExMIV0KC8555D5E42ZGWG15Y0MO" hidden="1">#REF!</definedName>
    <definedName name="BExMIZT6AN7E6YMW2S87CTCN2UXH" hidden="1">#REF!</definedName>
    <definedName name="BExMJ03XNEEQE05W28YBDN4G56JD" hidden="1">#REF!</definedName>
    <definedName name="BExMJ15T9F3475M0896SG60TN0SR" hidden="1">#REF!</definedName>
    <definedName name="BExMJ39CRE4I6SJI19LKWDKX3OQ2" hidden="1">#REF!</definedName>
    <definedName name="BExMJC8UI1MMXIJR29O1IWETLHH6" hidden="1">#REF!</definedName>
    <definedName name="BExMJNC8ZFB9DRFOJ961ZAJ8U3A8" hidden="1">#REF!</definedName>
    <definedName name="BExMJSA6JY35531TSI8ZQP6U7CDE" hidden="1">#REF!</definedName>
    <definedName name="BExMJTBV8A3D31W2IQHP9RDFPPHQ" hidden="1">#REF!</definedName>
    <definedName name="BExMK2RTXN4QJWEUNX002XK8VQP8" hidden="1">#REF!</definedName>
    <definedName name="BExMK3YZF17HAMXX3PO2KP6S46ZU" hidden="1">#REF!</definedName>
    <definedName name="BExMKBGQDUZ8AWXYHA3QVMSDVZ3D" hidden="1">#REF!</definedName>
    <definedName name="BExMKBM1467553LDFZRRKVSHN374" hidden="1">#REF!</definedName>
    <definedName name="BExMKGK5FJUC0AU8MABRGDC5ZM70" hidden="1">#REF!</definedName>
    <definedName name="BExMKISYVO6POIGSJWIW3PHDYL45" hidden="1">#REF!</definedName>
    <definedName name="BExMKSP1VOPPTKX4WEPT3LUKE8WQ"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2VXA0E0WCJ13O00WFMOW4RI" hidden="1">#REF!</definedName>
    <definedName name="BExML3XQNDIMX55ZCHHXKUV3D6E6" hidden="1">#REF!</definedName>
    <definedName name="BExML5QGSWHLI18BGY4CGOTD3UWH" hidden="1">#REF!</definedName>
    <definedName name="BExML6MTWMIEAK6NWSBVYN98A7G9" hidden="1">#REF!</definedName>
    <definedName name="BExMLO5Z61RE85X8HHX2G4IU3AZW" hidden="1">#REF!</definedName>
    <definedName name="BExMLVI7UORSHM9FMO8S2EI0TMTS" hidden="1">#REF!</definedName>
    <definedName name="BExMM5UCOT2HSSN0ZIPZW55GSOVO"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844A9KG2DK921WGK4O9YPZ" hidden="1">#REF!</definedName>
    <definedName name="BExMMQIUVPCOBISTEJJYNCCLUCPY" hidden="1">#REF!</definedName>
    <definedName name="BExMMSH37SF6GV4N9O9EW1APAZ1E" hidden="1">#REF!</definedName>
    <definedName name="BExMMTIXETA5VAKBSOFDD5SRU887" hidden="1">#REF!</definedName>
    <definedName name="BExMMV0P6P5YS3C35G0JYYHI7992" hidden="1">#REF!</definedName>
    <definedName name="BExMN1WVXE52MEF2NT3IVTY8KJQM" hidden="1">#REF!</definedName>
    <definedName name="BExMN2IH1J3S3D19MIV7YYZMS9DV" hidden="1">#REF!</definedName>
    <definedName name="BExMNAWJNSZ1W6QTQUX8O56Y0NF2" hidden="1">#REF!</definedName>
    <definedName name="BExMNDR4V2VG5RFZDGTAGD3Q9PPG" localSheetId="3" hidden="1">#REF!</definedName>
    <definedName name="BExMNDR4V2VG5RFZDGTAGD3Q9PPG" hidden="1">#REF!</definedName>
    <definedName name="BExMNJLFWZBRN9PZF1IO9CYWV1B2" localSheetId="3" hidden="1">#REF!</definedName>
    <definedName name="BExMNJLFWZBRN9PZF1IO9CYWV1B2" hidden="1">#REF!</definedName>
    <definedName name="BExMNKCJ0FA57YEUUAJE43U1QN5P" localSheetId="3" hidden="1">#REF!</definedName>
    <definedName name="BExMNKCJ0FA57YEUUAJE43U1QN5P" hidden="1">#REF!</definedName>
    <definedName name="BExMNKN5D1WEF2OOJVP6LZ6DLU3Y" hidden="1">#REF!</definedName>
    <definedName name="BExMNR38HMPLWAJRQ9MMS3ZAZ9IU" hidden="1">#REF!</definedName>
    <definedName name="BExMNRDZULKJMVY2VKIIRM2M5A1M" hidden="1">#REF!</definedName>
    <definedName name="BExMO9IOWKTWHO8LQJJQI5P3INWY" hidden="1">#REF!</definedName>
    <definedName name="BExMOI29DOEK5R1A5QZPUDKF7N6T" hidden="1">#REF!</definedName>
    <definedName name="BExMOIYOIL4KOXZBI7MJYXPIV1QJ" hidden="1">#REF!</definedName>
    <definedName name="BExMORI2ZA9JU0J28GT1ZAXP5A9C" hidden="1">#REF!</definedName>
    <definedName name="BExMPAJ5AJAXGKGK3F6H3ODS6RF4" hidden="1">#REF!</definedName>
    <definedName name="BExMPD2X55FFBVJ6CBUKNPROIOEU"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T9KA5ZL7QPEO8EJSGDXUSF6"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QHUEHGF2FS4LCB0THFELGDI" hidden="1">#REF!</definedName>
    <definedName name="BExMRRJNUMGRSDD5GGKKGEIZ6FTS" hidden="1">#REF!</definedName>
    <definedName name="BExMRU3ACIU0RD2BNWO55LH5U2BR" hidden="1">#REF!</definedName>
    <definedName name="BExMS86DS3IHF2GL3USMAG2JZHWC" hidden="1">#REF!</definedName>
    <definedName name="BExMSCO8TZ680ZEYN2WP0KB738IZ" hidden="1">#REF!</definedName>
    <definedName name="BExMSQRCC40AP8BDUPL2I2DNC210" hidden="1">#REF!</definedName>
    <definedName name="BExO4J9LR712G00TVA82VNTG8O7H" hidden="1">#REF!</definedName>
    <definedName name="BExO4WGD4T7PXNGQYFD65V3BP906" hidden="1">#REF!</definedName>
    <definedName name="BExO55G2KVZ7MIJ30N827CLH0I2A" localSheetId="3" hidden="1">#REF!</definedName>
    <definedName name="BExO55G2KVZ7MIJ30N827CLH0I2A" hidden="1">#REF!</definedName>
    <definedName name="BExO5A8PZD9EUHC5CMPU6N3SQ15L" localSheetId="3" hidden="1">#REF!</definedName>
    <definedName name="BExO5A8PZD9EUHC5CMPU6N3SQ15L" hidden="1">#REF!</definedName>
    <definedName name="BExO5XMAHL7CY3X0B1OPKZ28DCJ5" localSheetId="3" hidden="1">#REF!</definedName>
    <definedName name="BExO5XMAHL7CY3X0B1OPKZ28DCJ5" hidden="1">#REF!</definedName>
    <definedName name="BExO64NREBN75DKW0OMYAUWYVY5S" hidden="1">#REF!</definedName>
    <definedName name="BExO66LZJKY4PTQVREELI6POS4AY" hidden="1">#REF!</definedName>
    <definedName name="BExO6LLHCYTF7CIVHKAO0NMET14Q" hidden="1">#REF!</definedName>
    <definedName name="BExO6QE36OX39618EFGY819YKS0N" hidden="1">#REF!</definedName>
    <definedName name="BExO6Y6LB0P6L4JTH4J6TCB4OHW8" hidden="1">#REF!</definedName>
    <definedName name="BExO7OUQS3XTUQ2LDKGQ8AAQ3OJJ" hidden="1">#REF!</definedName>
    <definedName name="BExO7RUSODZC2NQZMT2AFSMV2ONF" hidden="1">#REF!</definedName>
    <definedName name="BExO7VLLWHHV7J25Z3RPF2PK6D8H" hidden="1">#REF!</definedName>
    <definedName name="BExO7WNA0JRE553ALPEZODW1ICID" hidden="1">#REF!</definedName>
    <definedName name="BExO85HMYXZJ7SONWBKKIAXMCI3C" hidden="1">#REF!</definedName>
    <definedName name="BExO863922O4PBGQMUNEQKGN3K96" hidden="1">#REF!</definedName>
    <definedName name="BExO89ZIOXN0HOKHY24F7HDZ87UT" hidden="1">#REF!</definedName>
    <definedName name="BExO8BXK76C9VFPKRARWMK6YTJ6O" hidden="1">#REF!</definedName>
    <definedName name="BExO8CDTBCABLEUD6PE2UM2EZ6C4" hidden="1">#REF!</definedName>
    <definedName name="BExO8I85NBW303RBA7RZM8Q42KKU" hidden="1">#REF!</definedName>
    <definedName name="BExO8IZ05ZG0XVOL3W41KBQE176A" hidden="1">#REF!</definedName>
    <definedName name="BExO8SK9JB6X989C2E50VDFI9589" hidden="1">#REF!</definedName>
    <definedName name="BExO8SPR4QWYLQRJDDPI2HTYU64C" hidden="1">#REF!</definedName>
    <definedName name="BExO8UTAGQWDBQZEEF4HUNMLQCVU" hidden="1">#REF!</definedName>
    <definedName name="BExO8ZWPPH977G7OJO9G8JR25ZG1" hidden="1">#REF!</definedName>
    <definedName name="BExO937E20IHMGQOZMECL3VZC7OX" hidden="1">#REF!</definedName>
    <definedName name="BExO94UTJKQQ7TJTTJRTSR70YVJC" hidden="1">#REF!</definedName>
    <definedName name="BExO9AZXF5CN7MTM11IM5SV2RXHY"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Q3GKCT7YZW1EMVU3EILSZL2" hidden="1">#REF!</definedName>
    <definedName name="BExOAULC4L2CQJSFPGMEJUUTI5B1" hidden="1">#REF!</definedName>
    <definedName name="BExOAZU2Y521ZUPN4R2HWBIUQKKR" hidden="1">#REF!</definedName>
    <definedName name="BExOB9KT2THGV4SPLDVFTFXS4B14" hidden="1">#REF!</definedName>
    <definedName name="BExOBEZ0IE2WBEYY3D3CMRI72N1K" hidden="1">#REF!</definedName>
    <definedName name="BExOBIPU8760ITY0C8N27XZ3KWEF" hidden="1">#REF!</definedName>
    <definedName name="BExOBM0I5L0MZ1G4H9MGMD87SBMZ" hidden="1">#REF!</definedName>
    <definedName name="BExOBOUXMP88KJY2BX2JLUJH5N0K" hidden="1">#REF!</definedName>
    <definedName name="BExOBP0FKQ4SVR59FB48UNLKCOR6" hidden="1">#REF!</definedName>
    <definedName name="BExOBXURJP8XL4VX0LAH1M4VR4VL" hidden="1">#REF!</definedName>
    <definedName name="BExOBYAVUCQ0IGM0Y6A75QHP0Q1A" hidden="1">#REF!</definedName>
    <definedName name="BExOC3UEHB1CZNINSQHZANWJYKR8" hidden="1">#REF!</definedName>
    <definedName name="BExOCBSF3XGO9YJ23LX2H78VOUR7" hidden="1">#REF!</definedName>
    <definedName name="BExOCHBYK42SX24MJ239H6G9OJ8E" hidden="1">#REF!</definedName>
    <definedName name="BExOCKXFMOW6WPFEVX1I7R7FNDSS" hidden="1">#REF!</definedName>
    <definedName name="BExOCYEXOB95DH5NOB0M5NOYX398" hidden="1">#REF!</definedName>
    <definedName name="BExOD4ERMDMFD8X1016N4EXOUR0S" hidden="1">#REF!</definedName>
    <definedName name="BExOD55RS7BQUHRQ6H3USVGKR0P7" hidden="1">#REF!</definedName>
    <definedName name="BExOD7UQ6G3P86ZLZV0GY79H7VLL" hidden="1">#REF!</definedName>
    <definedName name="BExODEWDDEABM4ZY3XREJIBZ8IVP" hidden="1">#REF!</definedName>
    <definedName name="BExODNLAA1L7WQ9ZQX6A1ZOXK9VR" hidden="1">#REF!</definedName>
    <definedName name="BExODZFEIWV26E8RFU7XQYX1J458" hidden="1">#REF!</definedName>
    <definedName name="BExOEBKG55EROA2VL360A06LKASE" hidden="1">#REF!</definedName>
    <definedName name="BExOED2F7B5GEHKVIWGRV2BCDE2Y" hidden="1">#REF!</definedName>
    <definedName name="BExOERG5LWXYYEN1DY1H2FWRJS9T" hidden="1">#REF!</definedName>
    <definedName name="BExOEV1S6JJVO5PP4BZ20SNGZR7D" hidden="1">#REF!</definedName>
    <definedName name="BExOF2U4Y5JYM0GUBGC0U2UH931Y" hidden="1">#REF!</definedName>
    <definedName name="BExOF6VWODFNH2HUFTQI5L0UHNQ9" hidden="1">#REF!</definedName>
    <definedName name="BExOFEDNCYI2TPTMQ8SJN3AW4YMF" localSheetId="3" hidden="1">#REF!</definedName>
    <definedName name="BExOFEDNCYI2TPTMQ8SJN3AW4YMF" hidden="1">#REF!</definedName>
    <definedName name="BExOFGRSPF8UTG0K1OGA8LX12P37" localSheetId="3" hidden="1">#REF!</definedName>
    <definedName name="BExOFGRSPF8UTG0K1OGA8LX12P37" hidden="1">#REF!</definedName>
    <definedName name="BExOFVLXVD6RVHSQO8KZOOACSV24" localSheetId="3" hidden="1">#REF!</definedName>
    <definedName name="BExOFVLXVD6RVHSQO8KZOOACSV24" hidden="1">#REF!</definedName>
    <definedName name="BExOG2SW3XOGP9VAPQ3THV3VWV12" hidden="1">#REF!</definedName>
    <definedName name="BExOG45J81K4OPA40KW5VQU54KY3" hidden="1">#REF!</definedName>
    <definedName name="BExOGBXX51PO4FXDL42WFPKYU6Y9"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H9ICZ13C1LAW8OTYTR9S7ZP3" hidden="1">#REF!</definedName>
    <definedName name="BExOHCI9MFNF9Y2P8D4LJGJ5B5CB" hidden="1">#REF!</definedName>
    <definedName name="BExOHL75H3OT4WAKKPUXIVXWFVDS" hidden="1">#REF!</definedName>
    <definedName name="BExOHLHXXJL6363CC082M9M5VVXQ" hidden="1">#REF!</definedName>
    <definedName name="BExOHNAO5UDXSO73BK2ARHWKS90Y" hidden="1">#REF!</definedName>
    <definedName name="BExOHNLFZGEVXCTJ9CWMJJS7C98A"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K437LIDQQW9LPBD4ZIP504X" hidden="1">#REF!</definedName>
    <definedName name="BExOIM7L0Z3LSII9P7ZTV4KJ8RMA" hidden="1">#REF!</definedName>
    <definedName name="BExOIRR9MU1G575D1ZA3HFPLOPHO" hidden="1">#REF!</definedName>
    <definedName name="BExOIWJVMJ6MG6JC4SPD1L00OHU1" hidden="1">#REF!</definedName>
    <definedName name="BExOIYCN8Z4JK3OOG86KYUCV0ME8" hidden="1">#REF!</definedName>
    <definedName name="BExOJ1HV93EOH7BOVAII53VPS2G2" hidden="1">#REF!</definedName>
    <definedName name="BExOJ3AKZ9BCBZT3KD8WMSLK6MN2" hidden="1">#REF!</definedName>
    <definedName name="BExOJ3FWAWMR29DR11VER2OQPUJT"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6EKT2189GVNUAT82OZYA3XB" hidden="1">#REF!</definedName>
    <definedName name="BExOKFUDO7FXT8ZXISPIKAJYI0CO" hidden="1">#REF!</definedName>
    <definedName name="BExOKI3C3DWTNF6PRKG2XY34A3JA"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ICXFHJLILCJVFMJE5MGGWKR" hidden="1">#REF!</definedName>
    <definedName name="BExOLOI0WJS3QC12I3ISL0D9AWOF" hidden="1">#REF!</definedName>
    <definedName name="BExOLUCCA6OM4TBUAJHS6O1UU6TO" hidden="1">#REF!</definedName>
    <definedName name="BExOLYZNG5RBD0BTS1OEZJNU92Q5" hidden="1">#REF!</definedName>
    <definedName name="BExOM3HIJ3UZPOKJI68KPBJAHPDC" hidden="1">#REF!</definedName>
    <definedName name="BExOM8VPAS5WZAM0QNYW8ZY56VAP"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B3A7CO4YD8RB41PHC93BQ9M" hidden="1">#REF!</definedName>
    <definedName name="BExONDSE2SJ2Q00MS22HA9D59305" hidden="1">#REF!</definedName>
    <definedName name="BExONFQH6UUXF8V0GI4BRIST9RFO"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O0EYS79NAIW0WEELRXCYS9GK" hidden="1">#REF!</definedName>
    <definedName name="BExOO1WWIZSGB0YTGKESB45TSVMZ" localSheetId="3" hidden="1">#REF!</definedName>
    <definedName name="BExOO1WWIZSGB0YTGKESB45TSVMZ" hidden="1">#REF!</definedName>
    <definedName name="BExOO4B8FPAFYPHCTYTX37P1TQM5" localSheetId="3" hidden="1">#REF!</definedName>
    <definedName name="BExOO4B8FPAFYPHCTYTX37P1TQM5" hidden="1">#REF!</definedName>
    <definedName name="BExOO5D2QZREOU0YQCGPBXBS4YQ1" localSheetId="3" hidden="1">#REF!</definedName>
    <definedName name="BExOO5D2QZREOU0YQCGPBXBS4YQ1" hidden="1">#REF!</definedName>
    <definedName name="BExOO6ERU9G120RGLKYWC09LZ5RE" hidden="1">#REF!</definedName>
    <definedName name="BExOO824YWJ12GSXLC07K7266C14" hidden="1">#REF!</definedName>
    <definedName name="BExOOIULUDOJRMYABWV5CCL906X6" hidden="1">#REF!</definedName>
    <definedName name="BExOOLE93DKM88V3PQ8ELSMZCHUA"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1OYH5SW4PG5JI8ED4NJN4422" hidden="1">#REF!</definedName>
    <definedName name="BExQ29C73XR33S3668YYSYZAIHTG" hidden="1">#REF!</definedName>
    <definedName name="BExQ2D8FO6F5AOMJ5FJODJ81T8C3" hidden="1">#REF!</definedName>
    <definedName name="BExQ2FS228IUDUP2023RA1D4AO4C" hidden="1">#REF!</definedName>
    <definedName name="BExQ2L0XYWLY9VPZWXYYFRIRQRJ1" hidden="1">#REF!</definedName>
    <definedName name="BExQ2M841F5Z1BQYR8DG5FKK0LIU" hidden="1">#REF!</definedName>
    <definedName name="BExQ2V7SO1UTLMJ1NFVRKDOOQAP2" hidden="1">#REF!</definedName>
    <definedName name="BExQ300G8I8TK45A0MVHV15422EU" hidden="1">#REF!</definedName>
    <definedName name="BExQ39R28MXSG2SEV956F0KZ20AN" hidden="1">#REF!</definedName>
    <definedName name="BExQ3D1P3M5Z3HLMEZ17E0BLEE4U" hidden="1">#REF!</definedName>
    <definedName name="BExQ3D1PQ0OOWP5T1D37RLPA9BFX" hidden="1">#REF!</definedName>
    <definedName name="BExQ3LW3GD5LUIS2HB4C1TEJJP2P" hidden="1">#REF!</definedName>
    <definedName name="BExQ3O4W7QF8BOXTUT4IOGF6YKUD" hidden="1">#REF!</definedName>
    <definedName name="BExQ3PXOWSN8561ZR8IEY8ZASI3B" hidden="1">#REF!</definedName>
    <definedName name="BExQ3TZF04IPY0B0UG9CQQ5736UA" hidden="1">#REF!</definedName>
    <definedName name="BExQ42IU9MNDYLODP41DL6YTZMAR" hidden="1">#REF!</definedName>
    <definedName name="BExQ452HF7N1HYPXJXQ8WD6SOWUV" hidden="1">#REF!</definedName>
    <definedName name="BExQ499KBJ5W7A1G293A0K14EVQB" hidden="1">#REF!</definedName>
    <definedName name="BExQ4BTBSHPHVEDRCXC2ROW8PLFC" hidden="1">#REF!</definedName>
    <definedName name="BExQ4DGKF54SRKQUTUT4B1CZSS62" hidden="1">#REF!</definedName>
    <definedName name="BExQ4FV23PRA8ZOTVPNAWYTCYRR2" hidden="1">#REF!</definedName>
    <definedName name="BExQ4KSYQQLLYN7NYUBF7WND3ACX" hidden="1">#REF!</definedName>
    <definedName name="BExQ4T74LQ5PYTV1MUQUW75A4BDY" hidden="1">#REF!</definedName>
    <definedName name="BExQ4XJHD7EJCNH7S1MJDZJ2MNWG" hidden="1">#REF!</definedName>
    <definedName name="BExQ5039ZCEWBUJHU682G4S89J03" hidden="1">#REF!</definedName>
    <definedName name="BExQ56Z9W6YHZHRXOFFI8EFA7CDI" hidden="1">#REF!</definedName>
    <definedName name="BExQ5DQ4DQOLJ6KAS500VUBF9OTL" hidden="1">#REF!</definedName>
    <definedName name="BExQ5DVF3U6CH0PO809ZFLIE9A0F" hidden="1">#REF!</definedName>
    <definedName name="BExQ5IO89JL1G3PO02VX1LHZHLZ1" localSheetId="3" hidden="1">#REF!</definedName>
    <definedName name="BExQ5IO89JL1G3PO02VX1LHZHLZ1" hidden="1">#REF!</definedName>
    <definedName name="BExQ5KX3Z668H1KUCKZ9J24HUQ1F" localSheetId="3" hidden="1">#REF!</definedName>
    <definedName name="BExQ5KX3Z668H1KUCKZ9J24HUQ1F" hidden="1">#REF!</definedName>
    <definedName name="BExQ5SPMSOCJYLAY20NB5A6O32RE" localSheetId="3" hidden="1">#REF!</definedName>
    <definedName name="BExQ5SPMSOCJYLAY20NB5A6O32RE" hidden="1">#REF!</definedName>
    <definedName name="BExQ5UICMGTMK790KTLK49MAGXRC" hidden="1">#REF!</definedName>
    <definedName name="BExQ5UID6Y8WYNRD669UN70IZT91" hidden="1">#REF!</definedName>
    <definedName name="BExQ5VEOVW4SMWTX520KZ3TVUW0I" hidden="1">#REF!</definedName>
    <definedName name="BExQ5VEQEIJO7YY80OJTA3XRQYJ9" hidden="1">#REF!</definedName>
    <definedName name="BExQ5Y3SSM2ICJCUN3XZ10VMPD4D" hidden="1">#REF!</definedName>
    <definedName name="BExQ5YUUK9FD0QGTY4WD0W90O7OL" hidden="1">#REF!</definedName>
    <definedName name="BExQ631QZYS8VO7HE6HNP34CEOR2" hidden="1">#REF!</definedName>
    <definedName name="BExQ63793YQ9BH7JLCNRIATIGTRG" hidden="1">#REF!</definedName>
    <definedName name="BExQ6CN1EF2UPZ57ZYMGK8TUJQSS" hidden="1">#REF!</definedName>
    <definedName name="BExQ6M2YXJ8AMRJF3QGHC40ADAHZ" hidden="1">#REF!</definedName>
    <definedName name="BExQ6M8APM0TVP9WQAFVTB8N0NXA" hidden="1">#REF!</definedName>
    <definedName name="BExQ6M8B0X44N9TV56ATUVHGDI00" hidden="1">#REF!</definedName>
    <definedName name="BExQ6POH065GV0I74XXVD0VUPBJW" hidden="1">#REF!</definedName>
    <definedName name="BExQ6R0YG1HMF8DVPFMIHIOUSMVE" hidden="1">#REF!</definedName>
    <definedName name="BExQ6WV9KPSMXPPLGZ3KK4WNYTHU" hidden="1">#REF!</definedName>
    <definedName name="BExQ6Z48UU3475XVS5MSB61Y2LTN" hidden="1">#REF!</definedName>
    <definedName name="BExQ783XTMM2A9I3UKCFWJH1PP2N" localSheetId="3" hidden="1">#REF!</definedName>
    <definedName name="BExQ783XTMM2A9I3UKCFWJH1PP2N" hidden="1">#REF!</definedName>
    <definedName name="BExQ79LX01ZPQB8EGD1ZHR2VK2H3" localSheetId="3" hidden="1">#REF!</definedName>
    <definedName name="BExQ79LX01ZPQB8EGD1ZHR2VK2H3" hidden="1">#REF!</definedName>
    <definedName name="BExQ7AT1ON4L7W584EXCOXCQ8AF8" localSheetId="3" hidden="1">#REF!</definedName>
    <definedName name="BExQ7AT1ON4L7W584EXCOXCQ8AF8"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NJJ5I2EFVEHCKSRF7BAOJX8" hidden="1">#REF!</definedName>
    <definedName name="BExQ7OLEEXKKDJBY2RBEALGCVGC3" hidden="1">#REF!</definedName>
    <definedName name="BExQ7XL2Q1GVUFL1F9KK0K0EXMWG" hidden="1">#REF!</definedName>
    <definedName name="BExQ804OMLOOLGJAZ76PFIUFBWIX" hidden="1">#REF!</definedName>
    <definedName name="BExQ834L4O72YNJYUPLVXEJ7K3BU"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DM90XJ6GCJIK9LC5O82I2TJ" hidden="1">#REF!</definedName>
    <definedName name="BExQ8DX1FNZIJVRD63724J6NDCOG" hidden="1">#REF!</definedName>
    <definedName name="BExQ8G0K46ZORA0QVQTDI7Z8LXGF" hidden="1">#REF!</definedName>
    <definedName name="BExQ8O3WEU8HNTTGKTW5T0QSKCLP" hidden="1">#REF!</definedName>
    <definedName name="BExQ8PWMBELWDMVC65RE0VV0PKJ2" hidden="1">#REF!</definedName>
    <definedName name="BExQ8XEDA0NG4CETTWK2XL8XZWLT" hidden="1">#REF!</definedName>
    <definedName name="BExQ8ZCEDBOBJA3D9LDP5TU2WYGR"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R7UV4VT86NLRFAY9CP2M3CL" hidden="1">#REF!</definedName>
    <definedName name="BExQ9UTANMJCK7LJ4OQMD6F2Q01L" hidden="1">#REF!</definedName>
    <definedName name="BExQ9ZLYHWABXAA9NJDW8ZS0UQ9P" hidden="1">#REF!</definedName>
    <definedName name="BExQA324HSCK40ENJUT9CS9EC71B" localSheetId="3" hidden="1">#REF!</definedName>
    <definedName name="BExQA324HSCK40ENJUT9CS9EC71B" hidden="1">#REF!</definedName>
    <definedName name="BExQA55GY0STSNBWQCWN8E31ZXCS" localSheetId="3" hidden="1">#REF!</definedName>
    <definedName name="BExQA55GY0STSNBWQCWN8E31ZXCS" hidden="1">#REF!</definedName>
    <definedName name="BExQA6Y7SIFO3MVYCQACIZ6YV0WS" localSheetId="3" hidden="1">#REF!</definedName>
    <definedName name="BExQA6Y7SIFO3MVYCQACIZ6YV0WS" hidden="1">#REF!</definedName>
    <definedName name="BExQA9HZIN9XEMHEEVHT99UU9Z82" hidden="1">#REF!</definedName>
    <definedName name="BExQAELFYH92K8CJL155181UDORO" hidden="1">#REF!</definedName>
    <definedName name="BExQAG8PP8R5NJKNQD1U4QOSD6X5" hidden="1">#REF!</definedName>
    <definedName name="BExQATFG0VP9HTVNMWL5T6B3N3IP" hidden="1">#REF!</definedName>
    <definedName name="BExQAYDITUO5K8A2FQRB0H1O4I4E" hidden="1">#REF!</definedName>
    <definedName name="BExQBDICMZTSA1X73TMHNO4JSFLN" hidden="1">#REF!</definedName>
    <definedName name="BExQBEER6CRCRPSSL61S0OMH57ZA" hidden="1">#REF!</definedName>
    <definedName name="BExQBIGGY5TXI2FJVVZSLZ0LTZYH" hidden="1">#REF!</definedName>
    <definedName name="BExQBM1RUSIQ85LLMM2159BYDPIP" hidden="1">#REF!</definedName>
    <definedName name="BExQBPSOZ47V81YAEURP0NQJNTJH" hidden="1">#REF!</definedName>
    <definedName name="BExQBZZKW056AXUH7L35UYMATHNR" hidden="1">#REF!</definedName>
    <definedName name="BExQC5TWT21CGBKD0IHAXTIN2QB8" hidden="1">#REF!</definedName>
    <definedName name="BExQC94JL9F5GW4S8DQCAF4WB2DA" hidden="1">#REF!</definedName>
    <definedName name="BExQCDH4D9DTA02ITMHNTDANJREJ" hidden="1">#REF!</definedName>
    <definedName name="BExQCKTD8AT0824LGWREXM1B5D1X" hidden="1">#REF!</definedName>
    <definedName name="BExQCOV3MAQPJ038UJX6SNODPAZU" hidden="1">#REF!</definedName>
    <definedName name="BExQD571YWOXKR2SX85K5MKQ0AO2" hidden="1">#REF!</definedName>
    <definedName name="BExQD8SK7Y1Y0AYWI0WMF0ET8HR1" hidden="1">#REF!</definedName>
    <definedName name="BExQDB6VCHN8PNX8EA6JNIEQ2JC2" hidden="1">#REF!</definedName>
    <definedName name="BExQDE1B6U2Q9B73KBENABP71YM1" hidden="1">#REF!</definedName>
    <definedName name="BExQDG4YSI6HR3RI4SO2KWMGKUPB" hidden="1">#REF!</definedName>
    <definedName name="BExQDGQCN7ZW41QDUHOBJUGQAX40" hidden="1">#REF!</definedName>
    <definedName name="BExQE73VMCL6FGT6439XK03B088Y" hidden="1">#REF!</definedName>
    <definedName name="BExQEC7BRIJ30PTU3UPFOIP2HPE3" hidden="1">#REF!</definedName>
    <definedName name="BExQELXVICMMT0JFDWUW1L3I335X" hidden="1">#REF!</definedName>
    <definedName name="BExQEMUA4HEFM4OVO8M8MA8PIAW1" hidden="1">#REF!</definedName>
    <definedName name="BExQEQ4XZQFIKUXNU9H7WE7AMZ1U" hidden="1">#REF!</definedName>
    <definedName name="BExQERHKUGD73UH278HHQULBSG9M" hidden="1">#REF!</definedName>
    <definedName name="BExQESZI930ZHFKIRJ3TMK3X27PH" hidden="1">#REF!</definedName>
    <definedName name="BExQEY88PESL76JUL4GA11W8IHFE"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FZZRMR5PQTR0X833N3LRX6ZL" hidden="1">#REF!</definedName>
    <definedName name="BExQG8TYRD2G42UA5ZPCRLNKUDMX" hidden="1">#REF!</definedName>
    <definedName name="BExQGO48J9MPCDQ96RBB9UN9AIGT" hidden="1">#REF!</definedName>
    <definedName name="BExQGSBB6MJWDW7AYWA0MSFTXKRR" hidden="1">#REF!</definedName>
    <definedName name="BExQGV5VQ04IFVBYEFOZQHKJ561J" hidden="1">#REF!</definedName>
    <definedName name="BExQGVB7GL4W9291MCCPQ46Z66C1"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XDHUYC4Q1EIPVGT5YX2JZL4" hidden="1">#REF!</definedName>
    <definedName name="BExQHZBHVN2L4HC7ACTR73T5OCV0" hidden="1">#REF!</definedName>
    <definedName name="BExQI5M37YD0WH3DQITAZHZBB115" hidden="1">#REF!</definedName>
    <definedName name="BExQI7V42EHAI28LLDLOQJ1ETBBF"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EB09IBJU22LBRVC4SFL687J" hidden="1">#REF!</definedName>
    <definedName name="BExQIJUJOU8IYLVQCFMPTADHZ9J7" hidden="1">#REF!</definedName>
    <definedName name="BExQIS8O6R36CI01XRY9ISM99TW9" hidden="1">#REF!</definedName>
    <definedName name="BExQIVJB9MJ25NDUHTCVMSODJY2C" hidden="1">#REF!</definedName>
    <definedName name="BExQJ2KYENKJB760H4Z8NV8Z08WT" hidden="1">#REF!</definedName>
    <definedName name="BExQJ4DQ84ZQCB1WU62YHO0XEQSV" hidden="1">#REF!</definedName>
    <definedName name="BExQJBF7LAX128WR7VTMJC88ZLPG" hidden="1">#REF!</definedName>
    <definedName name="BExQJEVCKX6KZHNCLYXY7D0MX5KN" hidden="1">#REF!</definedName>
    <definedName name="BExQJJYSDX8B0J1QGF2HL071KKA3" hidden="1">#REF!</definedName>
    <definedName name="BExQJQPFM9GN0NWOW73O5VE3NTJO" hidden="1">#REF!</definedName>
    <definedName name="BExQK1HV6SQQ7CP8H8IUKI9TYXTD" hidden="1">#REF!</definedName>
    <definedName name="BExQK3LE5CSBW1E4H4KHW548FL2R" hidden="1">#REF!</definedName>
    <definedName name="BExQKG6LD6PLNDGNGO9DJXY865BR" hidden="1">#REF!</definedName>
    <definedName name="BExQKKDMM6UNMDK33ZZN3QBP6TN6" hidden="1">#REF!</definedName>
    <definedName name="BExQKP6ANI278H3LT3CHFIOFPQD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17FU4YOHE3YTW15EQ9ZTN1Y" hidden="1">#REF!</definedName>
    <definedName name="BExS0ASQBKRTPDWFK0KUDFOS9LE5" hidden="1">#REF!</definedName>
    <definedName name="BExS0GHQUF6YT0RU3TKDEO8CSJYB" hidden="1">#REF!</definedName>
    <definedName name="BExS0K8IHC45I78DMZBOJ1P13KQA" hidden="1">#REF!</definedName>
    <definedName name="BExS14X03J9K12GCDNGZI9AZKE9C" hidden="1">#REF!</definedName>
    <definedName name="BExS152B2LFCRAUHSLI5T6QRNII0" hidden="1">#REF!</definedName>
    <definedName name="BExS15IJV0WW662NXQUVT3FGP4ST" hidden="1">#REF!</definedName>
    <definedName name="BExS194110MR25BYJI3CJ2EGZ8XT" hidden="1">#REF!</definedName>
    <definedName name="BExS1BNVGNSGD4EP90QL8WXYWZ66" hidden="1">#REF!</definedName>
    <definedName name="BExS1UE39N6NCND7MAARSBWXS6HU" hidden="1">#REF!</definedName>
    <definedName name="BExS226HTWL5WVC76MP5A1IBI8WD" hidden="1">#REF!</definedName>
    <definedName name="BExS26OI2QNNAH2WMDD95Z400048" hidden="1">#REF!</definedName>
    <definedName name="BExS2DF6B4ZUF3VZLI4G6LJ3BF38" hidden="1">#REF!</definedName>
    <definedName name="BExS2QB5FS5LYTFYO4BROTWG3OV5" hidden="1">#REF!</definedName>
    <definedName name="BExS2TLU1HONYV6S3ZD9T12D7CIG" hidden="1">#REF!</definedName>
    <definedName name="BExS318UV9I2FXPQQWUKKX00QLPJ" hidden="1">#REF!</definedName>
    <definedName name="BExS3KQ6RJB21YELK7Z4KFN2CQPS" hidden="1">#REF!</definedName>
    <definedName name="BExS3LBS0SMTHALVM4NRI1BAV1NP" hidden="1">#REF!</definedName>
    <definedName name="BExS3MTQ75VBXDGEBURP6YT8RROE" hidden="1">#REF!</definedName>
    <definedName name="BExS3OMGYO0DFN5186UFKEXZ2RX3" hidden="1">#REF!</definedName>
    <definedName name="BExS3PO59RQLS7HO1A6UIPRZX70V" hidden="1">#REF!</definedName>
    <definedName name="BExS3SDERJ27OER67TIGOVZU13A2" hidden="1">#REF!</definedName>
    <definedName name="BExS46R5WDNU5KL04FKY5LHJUCB8" hidden="1">#REF!</definedName>
    <definedName name="BExS46WMSMYP0MQ9GHLZM5ON641L" hidden="1">#REF!</definedName>
    <definedName name="BExS4ASWKM93XA275AXHYP8AG6SU" hidden="1">#REF!</definedName>
    <definedName name="BExS4JN3Y6SVBKILQK0R9HS45Y52" hidden="1">#REF!</definedName>
    <definedName name="BExS4P6S41O6Z6BED77U3GD9PNH1" hidden="1">#REF!</definedName>
    <definedName name="BExS4WOJWBEF6OH97BLAVUD3TQ7R" hidden="1">#REF!</definedName>
    <definedName name="BExS51H0N51UT0FZOPZRCF1GU063" hidden="1">#REF!</definedName>
    <definedName name="BExS54X72TJFC41FJK72MLRR2OO7" hidden="1">#REF!</definedName>
    <definedName name="BExS59F0PA1V2ZC7S5TN6IT41SXP" hidden="1">#REF!</definedName>
    <definedName name="BExS5DRER9US6NXY9ATYT41KZII3" hidden="1">#REF!</definedName>
    <definedName name="BExS5L3TGB8JVW9ROYWTKYTUPW27" hidden="1">#REF!</definedName>
    <definedName name="BExS5UP3NQ1QY0PMIO69O2J1JRQX" hidden="1">#REF!</definedName>
    <definedName name="BExS64QH0TK7BFMOHTRNM3DTXCZ5" hidden="1">#REF!</definedName>
    <definedName name="BExS668EZXO8KT71OK13TBL2MYVF" localSheetId="3" hidden="1">#REF!</definedName>
    <definedName name="BExS668EZXO8KT71OK13TBL2MYVF" hidden="1">#REF!</definedName>
    <definedName name="BExS6GKQ96EHVLYWNJDWXZXUZW90" localSheetId="3" hidden="1">#REF!</definedName>
    <definedName name="BExS6GKQ96EHVLYWNJDWXZXUZW90" hidden="1">#REF!</definedName>
    <definedName name="BExS6ITKSZFRR01YD5B0F676SYN7" localSheetId="3" hidden="1">#REF!</definedName>
    <definedName name="BExS6ITKSZFRR01YD5B0F676SYN7" hidden="1">#REF!</definedName>
    <definedName name="BExS6M4AG8VGSMFGJXMMJ6YYATZI" localSheetId="3" hidden="1">#REF!</definedName>
    <definedName name="BExS6M4AG8VGSMFGJXMMJ6YYATZI" hidden="1">#REF!</definedName>
    <definedName name="BExS6N0LI574IAC89EFW6CLTCQ33" localSheetId="3" hidden="1">#REF!</definedName>
    <definedName name="BExS6N0LI574IAC89EFW6CLTCQ33" hidden="1">#REF!</definedName>
    <definedName name="BExS6WRDBF3ST86ZOBBUL3GTCR11" localSheetId="3" hidden="1">#REF!</definedName>
    <definedName name="BExS6WRDBF3ST86ZOBBUL3GTCR11" hidden="1">#REF!</definedName>
    <definedName name="BExS6XNRKR0C3MTA0LV5B60UB908" localSheetId="3" hidden="1">#REF!</definedName>
    <definedName name="BExS6XNRKR0C3MTA0LV5B60UB908" hidden="1">#REF!</definedName>
    <definedName name="BExS743NAKMEAA4255AJCZWPVQD5" hidden="1">#REF!</definedName>
    <definedName name="BExS7EQLZPAVX5ZPW27ZJHFHXJWR" hidden="1">#REF!</definedName>
    <definedName name="BExS7J348DNX760P5D4N9N72C1H1" hidden="1">#REF!</definedName>
    <definedName name="BExS7OMMB9XYX3CR9NYR0OI0B6YV" hidden="1">#REF!</definedName>
    <definedName name="BExS7TKQYLRZGM93UY3ZJZJBQNFJ" hidden="1">#REF!</definedName>
    <definedName name="BExS7Y2LNGVHSIBKC7C3R6X4LDR6"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PN4E1L5NH0OOKX0SGAV052X" hidden="1">#REF!</definedName>
    <definedName name="BExS8R51C8RM2FS6V6IRTYO9GA4A" hidden="1">#REF!</definedName>
    <definedName name="BExS8WDX408F60MH1X9B9UZ2H4R7" hidden="1">#REF!</definedName>
    <definedName name="BExS8Z2W2QEC3MH0BZIYLDFQNUIP" hidden="1">#REF!</definedName>
    <definedName name="BExS8Z8DJ9GSBTJQBINLMFIRTKJ2" hidden="1">#REF!</definedName>
    <definedName name="BExS92DKGRFFCIA9C0IXDOLO57EP" hidden="1">#REF!</definedName>
    <definedName name="BExS95DMT99CLDFYVR0MMS5QFQ4O"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MWR7YEFZL0UO24FU8UDGAXH" hidden="1">#REF!</definedName>
    <definedName name="BExS9WI0A6PSEB8N9GPXF2Z7MWHM" hidden="1">#REF!</definedName>
    <definedName name="BExSA5HP306TN9XJS0TU619DLRR7" hidden="1">#REF!</definedName>
    <definedName name="BExSA6U57AKWU3K9W6DLF75569X0" hidden="1">#REF!</definedName>
    <definedName name="BExSA8HLXG7TQJAREJXZWXCKKLYT"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UTCT4P7JP57NOR9MTX33QJZ" hidden="1">#REF!</definedName>
    <definedName name="BExSAY9CA9TFXQ9M9FBJRGJO9T9E" hidden="1">#REF!</definedName>
    <definedName name="BExSB3CYILY5VM7EWWCYC2RHW5GS" hidden="1">#REF!</definedName>
    <definedName name="BExSB4JYKQ3MINI7RAYK5M8BLJDC" localSheetId="3" hidden="1">#REF!</definedName>
    <definedName name="BExSB4JYKQ3MINI7RAYK5M8BLJDC" hidden="1">#REF!</definedName>
    <definedName name="BExSB6NLRVUI2GHH9VI5V6MY8ZL7" localSheetId="3" hidden="1">#REF!</definedName>
    <definedName name="BExSB6NLRVUI2GHH9VI5V6MY8ZL7" hidden="1">#REF!</definedName>
    <definedName name="BExSBMOS41ZRLWYLOU29V6Y7YORR" localSheetId="3"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E99EZTILTTCE4NJJF96OYYM" hidden="1">#REF!</definedName>
    <definedName name="BExSCHUQZ2HFEWS54X67DIS8OSXZ" hidden="1">#REF!</definedName>
    <definedName name="BExSCOG41SKKG4GYU76WRWW1CTE6" hidden="1">#REF!</definedName>
    <definedName name="BExSCPN9MLJYMCCD3AD6AGFMBBGA" hidden="1">#REF!</definedName>
    <definedName name="BExSCVC9P86YVFMRKKUVRV29MZXZ"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P5Y04WWMX2WWRITWOX8R5I9" hidden="1">#REF!</definedName>
    <definedName name="BExSDSB5WUA2A09DZ1ZPZH3J8VFL"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NBSLP026IKXG2AS0SKST99F" hidden="1">#REF!</definedName>
    <definedName name="BExSEP9UVOAI6TMXKNK587PQ3328" hidden="1">#REF!</definedName>
    <definedName name="BExSERZ34ETZF8OI93MYIVZX4RDV" hidden="1">#REF!</definedName>
    <definedName name="BExSF07QFLZCO4P6K6QF05XG7PH1" hidden="1">#REF!</definedName>
    <definedName name="BExSF85QVM8XVOYH429ITJC8TA5Q" hidden="1">#REF!</definedName>
    <definedName name="BExSFELNPJYUZX393PKWKNNZYV1N" hidden="1">#REF!</definedName>
    <definedName name="BExSFHAQ0VN5PU9GULAPYTQ4HKW8" hidden="1">#REF!</definedName>
    <definedName name="BExSFIY63CMZLHHLQETZ2HFOHW52" hidden="1">#REF!</definedName>
    <definedName name="BExSFJ8ZAGQ63A4MVMZRQWLVRGQ5" hidden="1">#REF!</definedName>
    <definedName name="BExSFKQRST2S9KXWWLCXYLKSF4G1" hidden="1">#REF!</definedName>
    <definedName name="BExSFLHT3DWP12GA4DDKMCK3E4F9" hidden="1">#REF!</definedName>
    <definedName name="BExSFYDRRTAZVPXRWUF5PDQ97WFF" localSheetId="3" hidden="1">#REF!</definedName>
    <definedName name="BExSFYDRRTAZVPXRWUF5PDQ97WFF" hidden="1">#REF!</definedName>
    <definedName name="BExSFZVPFTXA3F0IJ2NGH1GXX9R7" localSheetId="3" hidden="1">#REF!</definedName>
    <definedName name="BExSFZVPFTXA3F0IJ2NGH1GXX9R7" hidden="1">#REF!</definedName>
    <definedName name="BExSG90Q4ZUU2IPGDYOM169NJV9S" localSheetId="3"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EPODWLV8HDBVY76N01S70YZ"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P7BU5UM9A7AOHIGT50GZN74" hidden="1">#REF!</definedName>
    <definedName name="BExSGR5JQVX2HQ0PKCGZNSSUM1RV" localSheetId="3" hidden="1">#REF!</definedName>
    <definedName name="BExSGR5JQVX2HQ0PKCGZNSSUM1RV" hidden="1">#REF!</definedName>
    <definedName name="BExSGVHX69GJZHD99DKE4RZ042B1" localSheetId="3" hidden="1">#REF!</definedName>
    <definedName name="BExSGVHX69GJZHD99DKE4RZ042B1" hidden="1">#REF!</definedName>
    <definedName name="BExSGZJO4J4ZO04E2N2ECVYS9DEZ" localSheetId="3" hidden="1">#REF!</definedName>
    <definedName name="BExSGZJO4J4ZO04E2N2ECVYS9DEZ" hidden="1">#REF!</definedName>
    <definedName name="BExSHAHFHS7MMNJR8JPVABRGBVIT" hidden="1">#REF!</definedName>
    <definedName name="BExSHFA0PJ5TS0LF5C5VDPKMSUP8" hidden="1">#REF!</definedName>
    <definedName name="BExSHGH88QZWW4RNAX4YKAZ5JEBL" hidden="1">#REF!</definedName>
    <definedName name="BExSHOKK1OO3CX9Z28C58E5J1D9W" hidden="1">#REF!</definedName>
    <definedName name="BExSHQD8KYLTQGDXIRKCHQQ7MKIH" hidden="1">#REF!</definedName>
    <definedName name="BExSHVGPIAHXI97UBLI9G4I4M29F" hidden="1">#REF!</definedName>
    <definedName name="BExSHVRHZDFJHSWEWWYO8PK8UC27"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localSheetId="3" hidden="1">#REF!</definedName>
    <definedName name="BExTV67VIM8PV6KO253M4DUBJQLC" hidden="1">#REF!</definedName>
    <definedName name="BExTVELZCF2YA5L6F23BYZZR6WHF" localSheetId="3" hidden="1">#REF!</definedName>
    <definedName name="BExTVELZCF2YA5L6F23BYZZR6WHF" hidden="1">#REF!</definedName>
    <definedName name="BExTVGPIQZ99YFXUC8OONUX5BD42" localSheetId="3" hidden="1">#REF!</definedName>
    <definedName name="BExTVGPIQZ99YFXUC8OONUX5BD42" hidden="1">#REF!</definedName>
    <definedName name="BExTVLNG9KX2WVJZRHW6SQVAV80G" hidden="1">#REF!</definedName>
    <definedName name="BExTVOSUIF74AWLLP1Y2PW2T8R4L" hidden="1">#REF!</definedName>
    <definedName name="BExTVYE49EIPTW7ZG5F30RHCYXWI" hidden="1">#REF!</definedName>
    <definedName name="BExTVZQLP9VFLEYQ9280W13X7E8K" hidden="1">#REF!</definedName>
    <definedName name="BExTW4U1EFP1ZS3Q099D6OFYZ4PO" hidden="1">#REF!</definedName>
    <definedName name="BExTWB4LA1PODQOH4LDTHQKBN16K" hidden="1">#REF!</definedName>
    <definedName name="BExTWEQ3PHIFDCWHG4QVX0626J8L" hidden="1">#REF!</definedName>
    <definedName name="BExTWFMEUL2NCM0LIAELE18IZ3TQ" hidden="1">#REF!</definedName>
    <definedName name="BExTWH9QHMKXVF1R0QG6TJ2154QV" hidden="1">#REF!</definedName>
    <definedName name="BExTWHVADLJCCNEWMD928MM0SUBX" hidden="1">#REF!</definedName>
    <definedName name="BExTWI0Q8AWXUA3ZN7I5V3QK2KM1" hidden="1">#REF!</definedName>
    <definedName name="BExTWJTIA3WUW1PUWXAOP9O8NKLZ" hidden="1">#REF!</definedName>
    <definedName name="BExTWP7ODVVVOXUAS0T4KNY9E7XN" hidden="1">#REF!</definedName>
    <definedName name="BExTWTEREH1W943SZJSXS6AZCXLO" hidden="1">#REF!</definedName>
    <definedName name="BExTWW95OX07FNA01WF5MSSSFQLX" hidden="1">#REF!</definedName>
    <definedName name="BExTX476KI0RNB71XI5TYMANSGBG" hidden="1">#REF!</definedName>
    <definedName name="BExTXFQI2GZRV54ZHPCYUHMPUDGG" hidden="1">#REF!</definedName>
    <definedName name="BExTXJ6HBAIXMMWKZTJNFDYVZCAY" hidden="1">#REF!</definedName>
    <definedName name="BExTXT812NQT8GAEGH738U29BI0D" hidden="1">#REF!</definedName>
    <definedName name="BExTXWIP2TFPTQ76NHFOB72NICRZ" hidden="1">#REF!</definedName>
    <definedName name="BExTXZ7U13BQKYC9T78TWXRCE6L6" hidden="1">#REF!</definedName>
    <definedName name="BExTY5T62H651VC86QM4X7E28JVA" hidden="1">#REF!</definedName>
    <definedName name="BExTYHCJJ2NWRM1RV59FYR41534U" hidden="1">#REF!</definedName>
    <definedName name="BExTYKCEFJ83LZM95M1V7CSFQVEA" hidden="1">#REF!</definedName>
    <definedName name="BExTYL3GR8LX1FWLOOBTAZQOOO7D" hidden="1">#REF!</definedName>
    <definedName name="BExTYLUCLWGGQOEPH6W91DIYL3RQ" localSheetId="3" hidden="1">#REF!</definedName>
    <definedName name="BExTYLUCLWGGQOEPH6W91DIYL3RQ" hidden="1">#REF!</definedName>
    <definedName name="BExTYOZQGNRDMMFZOG8515WQDGU3" localSheetId="3" hidden="1">#REF!</definedName>
    <definedName name="BExTYOZQGNRDMMFZOG8515WQDGU3" hidden="1">#REF!</definedName>
    <definedName name="BExTYPLA9N640MFRJJQPKXT7P88M" localSheetId="3" hidden="1">#REF!</definedName>
    <definedName name="BExTYPLA9N640MFRJJQPKXT7P88M" hidden="1">#REF!</definedName>
    <definedName name="BExTYQMZFH06S0SMRP98OBQF34G8" localSheetId="3" hidden="1">#REF!</definedName>
    <definedName name="BExTYQMZFH06S0SMRP98OBQF34G8" hidden="1">#REF!</definedName>
    <definedName name="BExTZ7F71SNTOX4LLZCK5R9VUMIJ" localSheetId="3" hidden="1">#REF!</definedName>
    <definedName name="BExTZ7F71SNTOX4LLZCK5R9VUMIJ" hidden="1">#REF!</definedName>
    <definedName name="BExTZ8GX3F0K1UBDQ5Y9BYXK1Z6F" hidden="1">#REF!</definedName>
    <definedName name="BExTZ8X5G9S3PA4FPSNK7T69W7QT" hidden="1">#REF!</definedName>
    <definedName name="BExTZ97Y0RMR8V5BI9F2H4MFB77O" hidden="1">#REF!</definedName>
    <definedName name="BExTZ97YR84DZ8QVX5145UPYSRH1"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BFJJQO1HJZKI14QGOQ6JROO" hidden="1">#REF!</definedName>
    <definedName name="BExU0BFKP4UL0TQC5B09T8C2BO3W" hidden="1">#REF!</definedName>
    <definedName name="BExU0CXIZZF3DKCNKF3AHXAPONZC"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DHV15JIOYOXDDJLCPQWUF8Y" hidden="1">#REF!</definedName>
    <definedName name="BExU1GXUTLRPJN4MRINLAPHSZQFG" hidden="1">#REF!</definedName>
    <definedName name="BExU1IL9AOHFO85BZB6S60DK3N8H" hidden="1">#REF!</definedName>
    <definedName name="BExU1NOPS09CLFZL1O31RAF9BQNQ" hidden="1">#REF!</definedName>
    <definedName name="BExU1P6H60U4RWZFX1HYXV8Z6KI7" hidden="1">#REF!</definedName>
    <definedName name="BExU1PH9MOEX1JZVZ3D5M9DXB191" hidden="1">#REF!</definedName>
    <definedName name="BExU1QZEEKJA35IMEOLOJ3ODX0ZA" hidden="1">#REF!</definedName>
    <definedName name="BExU1VRURIWWVJ95O40WA23LMTJD" hidden="1">#REF!</definedName>
    <definedName name="BExU24M8MKBQNO1RXU0IQ2PBN3F1" hidden="1">#REF!</definedName>
    <definedName name="BExU2M5CK6XK55UIHDVYRXJJJRI4" hidden="1">#REF!</definedName>
    <definedName name="BExU2T1JA8VA37QX2DVLJLQAUW7W" hidden="1">#REF!</definedName>
    <definedName name="BExU2TXVT25ZTOFQAF6CM53Z1RLF" hidden="1">#REF!</definedName>
    <definedName name="BExU2XZLYIU19G7358W5T9E87AFR" hidden="1">#REF!</definedName>
    <definedName name="BExU33OMH5JZ904ICANETZ08X20J" hidden="1">#REF!</definedName>
    <definedName name="BExU3B66MCKJFSKT3HL8B5EJGVX0" hidden="1">#REF!</definedName>
    <definedName name="BExU3FIQME8CY7AIZPHINOQE8U4S"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H4QVOMTUDXRKDNWMMIRSYHD" hidden="1">#REF!</definedName>
    <definedName name="BExU4I148DA7PRCCISLWQ6ABXFK6" localSheetId="3" hidden="1">#REF!</definedName>
    <definedName name="BExU4I148DA7PRCCISLWQ6ABXFK6" hidden="1">#REF!</definedName>
    <definedName name="BExU4L101H2KQHVKCKQ4PBAWZV6K" localSheetId="3" hidden="1">#REF!</definedName>
    <definedName name="BExU4L101H2KQHVKCKQ4PBAWZV6K" hidden="1">#REF!</definedName>
    <definedName name="BExU4NA00RRRBGRT6TOB0MXZRCRZ" localSheetId="3" hidden="1">#REF!</definedName>
    <definedName name="BExU4NA00RRRBGRT6TOB0MXZRCRZ" hidden="1">#REF!</definedName>
    <definedName name="BExU51IFNZXPBDES28457LR8X60M" hidden="1">#REF!</definedName>
    <definedName name="BExU529I6YHVOG83TJHWSILIQU1S" hidden="1">#REF!</definedName>
    <definedName name="BExU57YCIKPRD8QWL6EU0YR3NG3J" hidden="1">#REF!</definedName>
    <definedName name="BExU5DSTBWXLN6E59B757KRWRI6E" hidden="1">#REF!</definedName>
    <definedName name="BExU5TDWM8NNDHYPQ7OQODTQ368A" hidden="1">#REF!</definedName>
    <definedName name="BExU5UQD0ZEWKNYDL4KL8VFIMNVH" hidden="1">#REF!</definedName>
    <definedName name="BExU5X4OX1V1XHS6WSSORVQPP6Z3" hidden="1">#REF!</definedName>
    <definedName name="BExU5XVPARTFMRYHNUTBKDIL4UJN" hidden="1">#REF!</definedName>
    <definedName name="BExU66KMFBAP8JCVG9VM1RD1TNFF"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BBTUF8BQ42DSGM94X5TG5GF" hidden="1">#REF!</definedName>
    <definedName name="BExU7HH4EAHFQHT4AXKGWAWZP3I0" hidden="1">#REF!</definedName>
    <definedName name="BExU7MF1ZVPDHOSMCAXOSYICHZ4I" hidden="1">#REF!</definedName>
    <definedName name="BExU7O2BJ6D5YCKEL6FD2EFCWYRX" hidden="1">#REF!</definedName>
    <definedName name="BExU7PKGGTU90XX4CKU6M5W0HTLN" hidden="1">#REF!</definedName>
    <definedName name="BExU7Q0JS9YIUKUPNSSAIDK2KJAV" hidden="1">#REF!</definedName>
    <definedName name="BExU7XNR6I6O94DKRLHQ1FWJ64S0" hidden="1">#REF!</definedName>
    <definedName name="BExU80I6AE5OU7P7F5V7HWIZBJ4P" hidden="1">#REF!</definedName>
    <definedName name="BExU86NB26MCPYIISZ36HADONGT2" hidden="1">#REF!</definedName>
    <definedName name="BExU885EZZNSZV3GP298UJ8LB7OL" hidden="1">#REF!</definedName>
    <definedName name="BExU8DZPVHN9IPBJG5ASDBCHVV6F" hidden="1">#REF!</definedName>
    <definedName name="BExU8FSAUP9TUZ1NO9WXK80QPHWV" hidden="1">#REF!</definedName>
    <definedName name="BExU8GOTU4Q7I3BF5S1PKOPIPIP8" hidden="1">#REF!</definedName>
    <definedName name="BExU8KFLAN778MBN93NYZB0FV30G" hidden="1">#REF!</definedName>
    <definedName name="BExU8MDV8JYF9JHWAW4N09DMLGH5" hidden="1">#REF!</definedName>
    <definedName name="BExU8R0Z2JP4BSAIMCN5VNQZSAQV" hidden="1">#REF!</definedName>
    <definedName name="BExU8SO8VG1NKAASDL1AWU8VYF7J" hidden="1">#REF!</definedName>
    <definedName name="BExU8UX9JX3XLB47YZ8GFXE0V7R2" hidden="1">#REF!</definedName>
    <definedName name="BExU91DC3DGKPZD6LTER2IRTF89C" hidden="1">#REF!</definedName>
    <definedName name="BExU91TEHJ9BOPW2I0PGCMVB2LIN" hidden="1">#REF!</definedName>
    <definedName name="BExU935WUOV28D64L2EAFTLHA8XK" hidden="1">#REF!</definedName>
    <definedName name="BExU96M1J7P9DZQ3S9H0C12KGYTW" localSheetId="3" hidden="1">#REF!</definedName>
    <definedName name="BExU96M1J7P9DZQ3S9H0C12KGYTW" hidden="1">#REF!</definedName>
    <definedName name="BExU9F05OR1GZ3057R6UL3WPEIYI" localSheetId="3" hidden="1">#REF!</definedName>
    <definedName name="BExU9F05OR1GZ3057R6UL3WPEIYI" hidden="1">#REF!</definedName>
    <definedName name="BExU9GCSO5YILIKG6VAHN13DL75K" localSheetId="3" hidden="1">#REF!</definedName>
    <definedName name="BExU9GCSO5YILIKG6VAHN13DL75K" hidden="1">#REF!</definedName>
    <definedName name="BExU9KJOZLO15N11MJVN782NFGJ0" hidden="1">#REF!</definedName>
    <definedName name="BExU9KUGSKLYR8ZI3DN6F833CK8A" hidden="1">#REF!</definedName>
    <definedName name="BExU9LG29XU2K1GNKRO4438JYQZE" hidden="1">#REF!</definedName>
    <definedName name="BExU9MHVU4RJY03HU20S53C4BQTJ"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7MHC1RAILNC8XURIB3WHXK3" hidden="1">#REF!</definedName>
    <definedName name="BExUAABKIIVOK3JUILTKGJVUPEQK" hidden="1">#REF!</definedName>
    <definedName name="BExUAAH2D4VGVRIQGPJB00O9MFGA" hidden="1">#REF!</definedName>
    <definedName name="BExUABTJG7CHXQDBVDEEMHSVE1YY" hidden="1">#REF!</definedName>
    <definedName name="BExUAE7VUMCVDFX37BD0AFOQDTE3" localSheetId="3" hidden="1">#REF!</definedName>
    <definedName name="BExUAE7VUMCVDFX37BD0AFOQDTE3" hidden="1">#REF!</definedName>
    <definedName name="BExUAFV4JMBSM2SKBQL9NHL0NIBS" localSheetId="3" hidden="1">#REF!</definedName>
    <definedName name="BExUAFV4JMBSM2SKBQL9NHL0NIBS" hidden="1">#REF!</definedName>
    <definedName name="BExUAMWQODKBXMRH1QCMJLJBF8M7" localSheetId="3" hidden="1">#REF!</definedName>
    <definedName name="BExUAMWQODKBXMRH1QCMJLJBF8M7" hidden="1">#REF!</definedName>
    <definedName name="BExUAQYCACRL8UX675MZ2A0135PW" hidden="1">#REF!</definedName>
    <definedName name="BExUAT7C2EA99VHS9U7OALH9YLZN" hidden="1">#REF!</definedName>
    <definedName name="BExUAVAV8UKWKQ0K62SFQWUFUOTU" hidden="1">#REF!</definedName>
    <definedName name="BExUAX8WS5OPVLCDXRGKTU2QMTFO" hidden="1">#REF!</definedName>
    <definedName name="BExUB8HLEXSBVPZ5AXNQEK96F1N4" hidden="1">#REF!</definedName>
    <definedName name="BExUB9U3LH9RE0L0C9VDXHG4Z0CT" hidden="1">#REF!</definedName>
    <definedName name="BExUBCDVZIEA7YT0LPSMHL5ZSERQ" hidden="1">#REF!</definedName>
    <definedName name="BExUBKXBUCN760QYU7Q8GESBWOQH" hidden="1">#REF!</definedName>
    <definedName name="BExUBL83ED0P076RN9RJ8P1MZ299" hidden="1">#REF!</definedName>
    <definedName name="BExUBS9LHCDLBL7S3ZNT91B3T5I9" hidden="1">#REF!</definedName>
    <definedName name="BExUBZB72GX583YHAMJJC3QGV1EZ" hidden="1">#REF!</definedName>
    <definedName name="BExUC4EMUM9S63KSY0LLQUAGWJ1A" hidden="1">#REF!</definedName>
    <definedName name="BExUC623BDYEODBN0N4DO6PJQ7NU" hidden="1">#REF!</definedName>
    <definedName name="BExUC8WH8TCKBB5313JGYYQ1WFLT" hidden="1">#REF!</definedName>
    <definedName name="BExUCFCDK6SPH86I6STXX8X3WMC4" hidden="1">#REF!</definedName>
    <definedName name="BExUCI1NZNPIHC2T0GUIENNZVCNG" hidden="1">#REF!</definedName>
    <definedName name="BExUCLC6AQ5KR6LXSAXV4QQ8ASVG" hidden="1">#REF!</definedName>
    <definedName name="BExUCPOPUZEN1BYI6PPSAUKQPXP4" hidden="1">#REF!</definedName>
    <definedName name="BExUCQL36TCLIPO8DEYYYFQLM20S" hidden="1">#REF!</definedName>
    <definedName name="BExUD4IOJ12X3PJG5WXNNGDRCKAP" hidden="1">#REF!</definedName>
    <definedName name="BExUD77TM7LZ8CRP774MLVLQMHJF" hidden="1">#REF!</definedName>
    <definedName name="BExUD9WX9BWK72UWVSLYZJLAY5VY" hidden="1">#REF!</definedName>
    <definedName name="BExUDBEUJH9IACZDBL1VAUWPG0QW" hidden="1">#REF!</definedName>
    <definedName name="BExUDEV0CYVO7Y5IQQBEJ6FUY9S6" hidden="1">#REF!</definedName>
    <definedName name="BExUDWOXQGIZW0EAIIYLQUPXF8YV" hidden="1">#REF!</definedName>
    <definedName name="BExUDXAIC17W1FUU8Z10XUAVB7CS" hidden="1">#REF!</definedName>
    <definedName name="BExUE5OMY7OAJQ9WR8C8HG311ORP" hidden="1">#REF!</definedName>
    <definedName name="BExUEBZ76MLA94L1R8NG6162LJJC"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RQXGAYDXW65J1WQ66FUBU3MG" hidden="1">#REF!</definedName>
    <definedName name="BExVRT0Z04GVD2DWPCG83NW0VCB8" hidden="1">#REF!</definedName>
    <definedName name="BExVS6TC2D1M7WMNFJPY1Q5XO46F" hidden="1">#REF!</definedName>
    <definedName name="BExVSL787C8E4HFQZ2NVLT35I2XV" hidden="1">#REF!</definedName>
    <definedName name="BExVSP8QTS4AC4LXZ1NVOUOFOBPH"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XLMYR87BC04D1ERALPUFVPG" hidden="1">#REF!</definedName>
    <definedName name="BExVUEJ63CBM9VJMNW3RSE919GDN" hidden="1">#REF!</definedName>
    <definedName name="BExVUKZ8B9WB4BOZ2U77BLN0FQMO" hidden="1">#REF!</definedName>
    <definedName name="BExVUL9V3H8ZF6Y72LQBBN639YAA" hidden="1">#REF!</definedName>
    <definedName name="BExVULFDJFCNRI6ITVSJ20MEQ4RF" hidden="1">#REF!</definedName>
    <definedName name="BExVV5T14N2HZIK7HQ4P2KG09U0J" hidden="1">#REF!</definedName>
    <definedName name="BExVV7R410VYLADLX9LNG63ID6H1" hidden="1">#REF!</definedName>
    <definedName name="BExVV7WJSYFYP74SNAXSODTGHMLZ" hidden="1">#REF!</definedName>
    <definedName name="BExVVCEED4JEKF59OV0G3T4XFMFO" hidden="1">#REF!</definedName>
    <definedName name="BExVVNMYEAFCCP9QT0J8H252JWD9" hidden="1">#REF!</definedName>
    <definedName name="BExVVPFO2J7FMSRPD36909HN4BZJ" localSheetId="3" hidden="1">#REF!</definedName>
    <definedName name="BExVVPFO2J7FMSRPD36909HN4BZJ" hidden="1">#REF!</definedName>
    <definedName name="BExVVQ19AQ3VCARJOC38SF7OYE9Y" localSheetId="3" hidden="1">#REF!</definedName>
    <definedName name="BExVVQ19AQ3VCARJOC38SF7OYE9Y" hidden="1">#REF!</definedName>
    <definedName name="BExVVQ19TAECID45CS4HXT1RD3AQ" localSheetId="3" hidden="1">#REF!</definedName>
    <definedName name="BExVVQ19TAECID45CS4HXT1RD3AQ" hidden="1">#REF!</definedName>
    <definedName name="BExVW0Z6US3NTJHJDYWIZB98DPUY" localSheetId="3" hidden="1">#REF!</definedName>
    <definedName name="BExVW0Z6US3NTJHJDYWIZB98DPUY" hidden="1">#REF!</definedName>
    <definedName name="BExVW1Q2P0JOW0VUQZZGZKEGMFKS" localSheetId="3" hidden="1">#REF!</definedName>
    <definedName name="BExVW1Q2P0JOW0VUQZZGZKEGMFKS" hidden="1">#REF!</definedName>
    <definedName name="BExVW3YV5XGIVJ97UUPDJGJ2P15B" localSheetId="3" hidden="1">#REF!</definedName>
    <definedName name="BExVW3YV5XGIVJ97UUPDJGJ2P15B" hidden="1">#REF!</definedName>
    <definedName name="BExVW5X571GEYR5SCU1Z2DHKWM79" localSheetId="3" hidden="1">#REF!</definedName>
    <definedName name="BExVW5X571GEYR5SCU1Z2DHKWM79" hidden="1">#REF!</definedName>
    <definedName name="BExVW6YTKA098AF57M4PHNQ54XMH" hidden="1">#REF!</definedName>
    <definedName name="BExVWINKCH0V0NUWH363SMXAZE62" hidden="1">#REF!</definedName>
    <definedName name="BExVWTG1XJY59HT2TMMJM4S3G1YT" hidden="1">#REF!</definedName>
    <definedName name="BExVWYU8EK669NP172GEIGCTVPPA"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0O69U12CDKBFJOPW4R1P2N" hidden="1">#REF!</definedName>
    <definedName name="BExVXLX2BZ5EF2X6R41BTKRJR1NM" hidden="1">#REF!</definedName>
    <definedName name="BExVXTK9AEYZ4I2G1G36EB5LBSYN" hidden="1">#REF!</definedName>
    <definedName name="BExVY11V7U1SAY4QKYE0PBSPD7LW" hidden="1">#REF!</definedName>
    <definedName name="BExVY1SV37DL5YU59HS4IG3VBCP4" hidden="1">#REF!</definedName>
    <definedName name="BExVY3WFGJKSQA08UF9NCMST928Y" hidden="1">#REF!</definedName>
    <definedName name="BExVY954UOEVQEIC5OFO4NEWVKAQ" hidden="1">#REF!</definedName>
    <definedName name="BExVYDC7HTM8F61S3XN21YNDDND2" hidden="1">#REF!</definedName>
    <definedName name="BExVYFFR4A093PVY6PMSQTBJDM7M" hidden="1">#REF!</definedName>
    <definedName name="BExVYFL875EZ1Y283MJDADGHT55S" hidden="1">#REF!</definedName>
    <definedName name="BExVYHDYIV5397LC02V4FEP8VD6W" localSheetId="3" hidden="1">#REF!</definedName>
    <definedName name="BExVYHDYIV5397LC02V4FEP8VD6W" hidden="1">#REF!</definedName>
    <definedName name="BExVYJXKYUCSEU1BZ19KSB39VXMD" localSheetId="3" hidden="1">#REF!</definedName>
    <definedName name="BExVYJXKYUCSEU1BZ19KSB39VXMD" hidden="1">#REF!</definedName>
    <definedName name="BExVYOVIZDA18YIQ0A30Q052PCAK" localSheetId="3" hidden="1">#REF!</definedName>
    <definedName name="BExVYOVIZDA18YIQ0A30Q052PCAK" hidden="1">#REF!</definedName>
    <definedName name="BExVYQIXPEM6J4JVP78BRHIC05PV" hidden="1">#REF!</definedName>
    <definedName name="BExVYR9UQJ26G3DMTP1TIAG98DRS" hidden="1">#REF!</definedName>
    <definedName name="BExVYVGWN7SONLVDH9WJ2F1JS264" hidden="1">#REF!</definedName>
    <definedName name="BExVZ9EO732IK6MNMG17Y1EFTJQC" hidden="1">#REF!</definedName>
    <definedName name="BExVZB1Y5J4UL2LKK0363EU7GIJ1" hidden="1">#REF!</definedName>
    <definedName name="BExVZJQVO5LQ0BJH5JEN5NOBIAF6" hidden="1">#REF!</definedName>
    <definedName name="BExVZNXWS91RD7NXV5NE2R3C8WW7" hidden="1">#REF!</definedName>
    <definedName name="BExW0386REQRCQCVT9BCX80UPTRY" hidden="1">#REF!</definedName>
    <definedName name="BExW05XB61VWY09SYF60QOK8TPYX" hidden="1">#REF!</definedName>
    <definedName name="BExW06IWPRMJLGPZWY6KNMR28VMQ" hidden="1">#REF!</definedName>
    <definedName name="BExW08MEDLGNM5Z5KYW1HQXCBUR6" localSheetId="3" hidden="1">#REF!</definedName>
    <definedName name="BExW08MEDLGNM5Z5KYW1HQXCBUR6" hidden="1">#REF!</definedName>
    <definedName name="BExW0CIO5SH0TQLZQ1VMKX3JZ7NW" localSheetId="3" hidden="1">#REF!</definedName>
    <definedName name="BExW0CIO5SH0TQLZQ1VMKX3JZ7NW" hidden="1">#REF!</definedName>
    <definedName name="BExW0FYP4WXY71CYUG40SUBG9UWU" localSheetId="3" hidden="1">#REF!</definedName>
    <definedName name="BExW0FYP4WXY71CYUG40SUBG9UWU" hidden="1">#REF!</definedName>
    <definedName name="BExW0RI61B4VV0ARXTFVBAWRA1C5" hidden="1">#REF!</definedName>
    <definedName name="BExW0VZZ6WSKCTPUWLYP7VEYJM10" hidden="1">#REF!</definedName>
    <definedName name="BExW0ZFYUNZUIMD4ETNZWCS9T0CT" hidden="1">#REF!</definedName>
    <definedName name="BExW1BVUYQTKMOR56MW7RVRX4L1L" hidden="1">#REF!</definedName>
    <definedName name="BExW1F1220628FOMTW5UAATHRJHK" hidden="1">#REF!</definedName>
    <definedName name="BExW1K4I0JZH96X4HFQY6YAMIG60" hidden="1">#REF!</definedName>
    <definedName name="BExW1TKA0Z9OP2DTG50GZR5EG8C7" hidden="1">#REF!</definedName>
    <definedName name="BExW1U0JLKQ094DW5MMOI8UHO09V" hidden="1">#REF!</definedName>
    <definedName name="BExW1WUZ349YPJVAKCEJO07L4NFW" hidden="1">#REF!</definedName>
    <definedName name="BExW21T2WD1YDR47I9BWVRGJZMKW" hidden="1">#REF!</definedName>
    <definedName name="BExW24NI0GQA13RVEGFK7ISS512B" localSheetId="3" hidden="1">#REF!</definedName>
    <definedName name="BExW24NI0GQA13RVEGFK7ISS512B" hidden="1">#REF!</definedName>
    <definedName name="BExW283NP9D366XFPXLGSCI5UB0L" localSheetId="3" hidden="1">#REF!</definedName>
    <definedName name="BExW283NP9D366XFPXLGSCI5UB0L" hidden="1">#REF!</definedName>
    <definedName name="BExW2F54PEPPIGMV5I4XLXMKJOTG" localSheetId="3" hidden="1">#REF!</definedName>
    <definedName name="BExW2F54PEPPIGMV5I4XLXMKJOTG" hidden="1">#REF!</definedName>
    <definedName name="BExW2H3C8WJSBW5FGTFKVDVJC4CL" hidden="1">#REF!</definedName>
    <definedName name="BExW2MSCKPGF5K3I7TL4KF5ISUOL" hidden="1">#REF!</definedName>
    <definedName name="BExW2SMO90FU9W8DVVES6Q4E6BZR" hidden="1">#REF!</definedName>
    <definedName name="BExW2V0ZEMESP2BVDJGZFBJOIOIQ" hidden="1">#REF!</definedName>
    <definedName name="BExW36V9N91OHCUMGWJQL3I5P4JK" localSheetId="3" hidden="1">#REF!</definedName>
    <definedName name="BExW36V9N91OHCUMGWJQL3I5P4JK" hidden="1">#REF!</definedName>
    <definedName name="BExW3EIBA1J9Q9NA9VCGZGRS8WV7" localSheetId="3" hidden="1">#REF!</definedName>
    <definedName name="BExW3EIBA1J9Q9NA9VCGZGRS8WV7" hidden="1">#REF!</definedName>
    <definedName name="BExW3FEO8FI8N6AGQKYEG4SQVJWB" localSheetId="3" hidden="1">#REF!</definedName>
    <definedName name="BExW3FEO8FI8N6AGQKYEG4SQVJWB" hidden="1">#REF!</definedName>
    <definedName name="BExW3GB28STOMJUSZEIA7YKYNS4Y"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MPQ2JLA196HW39IPT3Q6JVK" hidden="1">#REF!</definedName>
    <definedName name="BExW4MV5UH4OKNB95Q2AO7LFASBP" hidden="1">#REF!</definedName>
    <definedName name="BExW4QR9FV9MP5K610THBSM51RYO" hidden="1">#REF!</definedName>
    <definedName name="BExW4T5M43NPIJS54VL6SZAENBOE" hidden="1">#REF!</definedName>
    <definedName name="BExW4Z029R9E19ZENN3WEA3VDAD1" hidden="1">#REF!</definedName>
    <definedName name="BExW51EDOYXJBXR5AFJCYTA7JI06" hidden="1">#REF!</definedName>
    <definedName name="BExW5AZNT6IAZGNF2C879ODHY1B8" hidden="1">#REF!</definedName>
    <definedName name="BExW5VTHC5GDYD5M9B4Q0FUY7OBA" hidden="1">#REF!</definedName>
    <definedName name="BExW5W48S3UI5UJMSXULAD20EMCG" hidden="1">#REF!</definedName>
    <definedName name="BExW5WPU27WD4NWZOT0ZEJIDLX5J" hidden="1">#REF!</definedName>
    <definedName name="BExW5YYNT0AJF2AFS43IFCHR7WQQ" hidden="1">#REF!</definedName>
    <definedName name="BExW660AV1TUV2XNUPD65RZR3QOO" localSheetId="3" hidden="1">#REF!</definedName>
    <definedName name="BExW660AV1TUV2XNUPD65RZR3QOO" hidden="1">#REF!</definedName>
    <definedName name="BExW66LVVZK656PQY1257QMHP2AY" localSheetId="3" hidden="1">#REF!</definedName>
    <definedName name="BExW66LVVZK656PQY1257QMHP2AY" hidden="1">#REF!</definedName>
    <definedName name="BExW6EJPHAP1TWT380AZLXNHR22P" localSheetId="3" hidden="1">#REF!</definedName>
    <definedName name="BExW6EJPHAP1TWT380AZLXNHR22P" hidden="1">#REF!</definedName>
    <definedName name="BExW6G1PJ38H10DVLL8WPQ736OEB" hidden="1">#REF!</definedName>
    <definedName name="BExW6TU0OMFLMCB6EWBOQSGHUMX5" hidden="1">#REF!</definedName>
    <definedName name="BExW6VBYODJKTS0FMZ47EQS9FUF2" hidden="1">#REF!</definedName>
    <definedName name="BExW6WZDUEZS3JDTHC8X310LL1OU" hidden="1">#REF!</definedName>
    <definedName name="BExW76F60TD8OIAVEJQE3MX4PLDY" hidden="1">#REF!</definedName>
    <definedName name="BExW782GMQD1F9JJSPQU5QT2TWON" hidden="1">#REF!</definedName>
    <definedName name="BExW794A74Z5F2K8LVQLD6VSKXUE" hidden="1">#REF!</definedName>
    <definedName name="BExW7DBCHP0SWYSW2RKLS8IBPCVS" hidden="1">#REF!</definedName>
    <definedName name="BExW7S00X50K2O0H0GL7P3JROGG6" hidden="1">#REF!</definedName>
    <definedName name="BExW81FSTXQA1A81CD1MVDX6257O" hidden="1">#REF!</definedName>
    <definedName name="BExW82C756R4HC5DTN5Z29F0D3QO" hidden="1">#REF!</definedName>
    <definedName name="BExW87VVJSJLAJQQHUHH974N4MAO" localSheetId="3" hidden="1">#REF!</definedName>
    <definedName name="BExW87VVJSJLAJQQHUHH974N4MAO" hidden="1">#REF!</definedName>
    <definedName name="BExW8COJI4803WMVPHGL8240OBIU" localSheetId="3" hidden="1">#REF!</definedName>
    <definedName name="BExW8COJI4803WMVPHGL8240OBIU" hidden="1">#REF!</definedName>
    <definedName name="BExW8K0SSIPSKBVP06IJ71600HJZ" localSheetId="3" hidden="1">#REF!</definedName>
    <definedName name="BExW8K0SSIPSKBVP06IJ71600HJZ" hidden="1">#REF!</definedName>
    <definedName name="BExW8NM8DJJESE7GF7VGTO2XO6P1" hidden="1">#REF!</definedName>
    <definedName name="BExW8P9O4HQC1Y372I0HCCBVKNTO"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OHD0PA2FFDEECR0C4SFBRVS" hidden="1">#REF!</definedName>
    <definedName name="BExW9POK1KIOI0ALS5MZIKTDIYMA" hidden="1">#REF!</definedName>
    <definedName name="BExW9TVLB7OIHTG98I7I4EXBL61S" hidden="1">#REF!</definedName>
    <definedName name="BExXL0I7INHGEJWJ97OQTEJKJUBR" hidden="1">#REF!</definedName>
    <definedName name="BExXLDE6PN4ESWT3LXJNQCY94NE4"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BOA39T2X6Y5Y5GZ5DDNA1AX" hidden="1">#REF!</definedName>
    <definedName name="BExXNCVFNFROM6X4XZABZ1M55JVL" hidden="1">#REF!</definedName>
    <definedName name="BExXND6872VJ3M2PGT056WQMWBHD" hidden="1">#REF!</definedName>
    <definedName name="BExXNPM24UN2PGVL9D1TUBFRIKR4" hidden="1">#REF!</definedName>
    <definedName name="BExXNWYB165VO9MHARCL5WLCHWS0" hidden="1">#REF!</definedName>
    <definedName name="BExXNYLR0NNRQQBQ09OAWL5SFA2P" hidden="1">#REF!</definedName>
    <definedName name="BExXO278QHQN8JDK5425EJ615ECC" hidden="1">#REF!</definedName>
    <definedName name="BExXO574BHMI9HN803IPJ8B00ZQ1" hidden="1">#REF!</definedName>
    <definedName name="BExXO81JZ0ARONLA93VY8VLBDM3Z" hidden="1">#REF!</definedName>
    <definedName name="BExXOBHOP0WGFHI2Y9AO4L440UVQ" hidden="1">#REF!</definedName>
    <definedName name="BExXOHSAD2NSHOLLMZ2JWA4I3I1R" hidden="1">#REF!</definedName>
    <definedName name="BExXOIDP4V2QCBHG5KQQO9VT0HDH" hidden="1">#REF!</definedName>
    <definedName name="BExXOMQ7TBU2AJ03HNGNVCK9S4VM" hidden="1">#REF!</definedName>
    <definedName name="BExXP49C9Y3U7LWFBFCQSE4WPWHA" hidden="1">#REF!</definedName>
    <definedName name="BExXP80B5FGA00JCM7UXKPI3PB7Y" hidden="1">#REF!</definedName>
    <definedName name="BExXP85M4WXYVN1UVHUTOEKEG5XS" hidden="1">#REF!</definedName>
    <definedName name="BExXPELOTHOAG0OWILLAH94OZV5J" hidden="1">#REF!</definedName>
    <definedName name="BExXPEWH9AJE234H90KL5ICZZ0IS" hidden="1">#REF!</definedName>
    <definedName name="BExXPS31W1VD2NMIE4E37LHVDF0L" hidden="1">#REF!</definedName>
    <definedName name="BExXPZKYEMVF5JOC14HYOOYQK6JK" hidden="1">#REF!</definedName>
    <definedName name="BExXQ12Q21G0KAAP7BK68KNBBDMH" hidden="1">#REF!</definedName>
    <definedName name="BExXQ72J3O85VF3MRWYM7RCY6B7A" hidden="1">#REF!</definedName>
    <definedName name="BExXQ89PA10X79WBWOEP1AJX1OQM" hidden="1">#REF!</definedName>
    <definedName name="BExXQCGQGGYSI0LTRVR73MUO50AW" hidden="1">#REF!</definedName>
    <definedName name="BExXQD2B3434GXJT0U2OVW30R5K6" hidden="1">#REF!</definedName>
    <definedName name="BExXQEEXFHDQ8DSRAJSB5ET6J004" hidden="1">#REF!</definedName>
    <definedName name="BExXQH41O5HZAH8BO6HCFY8YC3TU" hidden="1">#REF!</definedName>
    <definedName name="BExXQIRBLQSLAJTFL7224FCFUTKH" hidden="1">#REF!</definedName>
    <definedName name="BExXQJIEF5R3QQ6D8HO3NGPU0IQC"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IFB4QQ87QIGA9AG0NXP577K" hidden="1">#REF!</definedName>
    <definedName name="BExXRIQ2JF2CVTRDQX2D9SPH7FTN" hidden="1">#REF!</definedName>
    <definedName name="BExXRL4ETKGR5B08IWLV5UKWS07Z" hidden="1">#REF!</definedName>
    <definedName name="BExXRO4A6VUH1F4XV8N1BRJ4896W" hidden="1">#REF!</definedName>
    <definedName name="BExXRO9N1SNJZGKD90P4K7FU1J0P" hidden="1">#REF!</definedName>
    <definedName name="BExXRR9I9RZJSO66K1CB8R2H3ACH"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8HZ90IK9RD5CZ6M2XT64C3R" hidden="1">#REF!</definedName>
    <definedName name="BExXSBSP1TOY051HSPEPM0AEIO2M" hidden="1">#REF!</definedName>
    <definedName name="BExXSC8RFK5D68FJD2HI4K66SA6I" hidden="1">#REF!</definedName>
    <definedName name="BExXSGW487JM8X45CILCD3ELADND" hidden="1">#REF!</definedName>
    <definedName name="BExXSJA8FX6FL775LX7EDM4LQ4ZF" hidden="1">#REF!</definedName>
    <definedName name="BExXSNHC88W4UMXEOIOOATJAIKZO" hidden="1">#REF!</definedName>
    <definedName name="BExXSTBS08WIA9TLALV3UQ2Z3MRG" hidden="1">#REF!</definedName>
    <definedName name="BExXSVQ2WOJJ73YEO8Q2FK60V4G8" hidden="1">#REF!</definedName>
    <definedName name="BExXTHLRNL82GN7KZY3TOLO508N7"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RXWS5WKEYMU65AGIWPW8XMY" hidden="1">#REF!</definedName>
    <definedName name="BExXTYU24I49X78RIN9EOO9PMHSV"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VSXSP8ESN178IHNRRMIMOMT" hidden="1">#REF!</definedName>
    <definedName name="BExXUYND6EJO7CJ5KRICV4O1JNWK" hidden="1">#REF!</definedName>
    <definedName name="BExXV1HYM7PSRL7FDSBCIW13Z2U3" hidden="1">#REF!</definedName>
    <definedName name="BExXV6FWG4H3S2QEUJZYIXILNGJ7" hidden="1">#REF!</definedName>
    <definedName name="BExXVCVYROMZMHARVU6MD514BMTF" hidden="1">#REF!</definedName>
    <definedName name="BExXVGS1T0RO7HBN75IPQXATHZ23" hidden="1">#REF!</definedName>
    <definedName name="BExXVK87BMMO6LHKV0CFDNIQVIBS" hidden="1">#REF!</definedName>
    <definedName name="BExXVKZ9WXPGL6IVY6T61IDD771I" hidden="1">#REF!</definedName>
    <definedName name="BExXVUPU1FDA3CCHMAFE3SPCNSO2"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FP5AYE7EHYTJWBZSQ8PQ0YX" hidden="1">#REF!</definedName>
    <definedName name="BExXWSAAQ4VSVQZI0D2A8NTQ53VH" hidden="1">#REF!</definedName>
    <definedName name="BExXWVFIBQT8OY1O41FRFPFGXQHK" hidden="1">#REF!</definedName>
    <definedName name="BExXWWXHBZHA9J3N8K47F84X0M0L" hidden="1">#REF!</definedName>
    <definedName name="BExXX7V6XV8D71NMUTIG4TUF6DF3" hidden="1">#REF!</definedName>
    <definedName name="BExXX9D3XK7CEZ9SI9UOA6F79ZPL" localSheetId="3" hidden="1">#REF!</definedName>
    <definedName name="BExXX9D3XK7CEZ9SI9UOA6F79ZPL" hidden="1">#REF!</definedName>
    <definedName name="BExXXBBCLDS7K2HB4LLGA6TTTXO3" localSheetId="3" hidden="1">#REF!</definedName>
    <definedName name="BExXXBBCLDS7K2HB4LLGA6TTTXO3" hidden="1">#REF!</definedName>
    <definedName name="BExXXBGNQF0HXLZNUFVN9AGYLRGU" localSheetId="3" hidden="1">#REF!</definedName>
    <definedName name="BExXXBGNQF0HXLZNUFVN9AGYLRGU"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5QFG6QP94SFT3935OBM8Y4K" hidden="1">#REF!</definedName>
    <definedName name="BExXY7TYEBFXRYUYIFHTN65RJ8EW" hidden="1">#REF!</definedName>
    <definedName name="BExXYD85DGL2MUZ4DB0JR3L1UVLF" hidden="1">#REF!</definedName>
    <definedName name="BExXYLBHANUXC5FCTDDTGOVD3GQS" hidden="1">#REF!</definedName>
    <definedName name="BExXYMNYAYH3WA2ZCFAYKZID9ZCI" hidden="1">#REF!</definedName>
    <definedName name="BExXYWEQL36MHLNSDGU1FOTX7M20" hidden="1">#REF!</definedName>
    <definedName name="BExXYWK1Q4ED490YK6LD13PRAMS4" hidden="1">#REF!</definedName>
    <definedName name="BExXYYT12SVN2VDMLVNV4P3ISD8T" hidden="1">#REF!</definedName>
    <definedName name="BExXZEDWUYH25UZMW2QU2RXFILJE" hidden="1">#REF!</definedName>
    <definedName name="BExXZFVV4YB42AZ3H1I40YG3JAPU" hidden="1">#REF!</definedName>
    <definedName name="BExXZH30Y2VXGXW705XP20HU2G86" hidden="1">#REF!</definedName>
    <definedName name="BExXZHJ9T2JELF12CHHGD54J1B0C" hidden="1">#REF!</definedName>
    <definedName name="BExXZNJ2X1TK2LRK5ZY3MX49H5T7" hidden="1">#REF!</definedName>
    <definedName name="BExXZOVPCEP495TQSON6PSRQ8XCY" hidden="1">#REF!</definedName>
    <definedName name="BExXZXKH7NBARQQAZM69Z57IH1MM" hidden="1">#REF!</definedName>
    <definedName name="BExY07WSDH5QEVM7BJXJK2ZRAI1O" hidden="1">#REF!</definedName>
    <definedName name="BExY0C3UBVC4M59JIRXVQ8OWAJC1" hidden="1">#REF!</definedName>
    <definedName name="BExY0G03T6MD304WV4PCS8A8UZOU" hidden="1">#REF!</definedName>
    <definedName name="BExY0JAM6LIEX03Y3CDOQG13XO98" hidden="1">#REF!</definedName>
    <definedName name="BExY0MLAPBIUHZHF3MNQUBZEOPGA"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4VIIZDQ07OMY7WD69P6ZBUX" hidden="1">#REF!</definedName>
    <definedName name="BExY16O8FRFU2AKAB73SDMHTLF36" hidden="1">#REF!</definedName>
    <definedName name="BExY180UKNW5NIAWD6ZUYTFEH8QS" hidden="1">#REF!</definedName>
    <definedName name="BExY1DPTV4LSY9MEOUGXF8X052NA" hidden="1">#REF!</definedName>
    <definedName name="BExY1GK9ELBEKDD7O6HR6DUO8YGO" hidden="1">#REF!</definedName>
    <definedName name="BExY1JK5FLBIKGF4D7K1BMSTT2W7" hidden="1">#REF!</definedName>
    <definedName name="BExY1JUYIFR0O90W747XIO278VF6" localSheetId="3" hidden="1">#REF!</definedName>
    <definedName name="BExY1JUYIFR0O90W747XIO278VF6" hidden="1">#REF!</definedName>
    <definedName name="BExY1NWOXXFV9GGZ3PX444LZ8TVX" localSheetId="3" hidden="1">#REF!</definedName>
    <definedName name="BExY1NWOXXFV9GGZ3PX444LZ8TVX" hidden="1">#REF!</definedName>
    <definedName name="BExY1R7F5GLGAYZT2TMJYZVT5X8X" localSheetId="3" hidden="1">#REF!</definedName>
    <definedName name="BExY1R7F5GLGAYZT2TMJYZVT5X8X" hidden="1">#REF!</definedName>
    <definedName name="BExY1TR13AYI0HGDYRVNRSR1VPOV" hidden="1">#REF!</definedName>
    <definedName name="BExY1UCL0RND63LLSM9X5SFRG117" hidden="1">#REF!</definedName>
    <definedName name="BExY1WAT3937L08HLHIRQHMP2A3H" hidden="1">#REF!</definedName>
    <definedName name="BExY1YEBOSLMID7LURP8QB46AI91" hidden="1">#REF!</definedName>
    <definedName name="BExY29MW53U9H65R6IEGDFI64XHB" hidden="1">#REF!</definedName>
    <definedName name="BExY2FS4LFX9OHOTQT7SJ2PXAC25" hidden="1">#REF!</definedName>
    <definedName name="BExY2GDPCZPVU0IQ6IJIB1YQQRQ6" hidden="1">#REF!</definedName>
    <definedName name="BExY2GTSZ3VA9TXLY7KW1LIAKJ61" hidden="1">#REF!</definedName>
    <definedName name="BExY2H4LV4INLFET24XNE1FUGSXP" hidden="1">#REF!</definedName>
    <definedName name="BExY2IXBR1SGYZH08T7QHKEFS8HA" hidden="1">#REF!</definedName>
    <definedName name="BExY2P7Y7WK5R8PQWMWRW9V4TL58" hidden="1">#REF!</definedName>
    <definedName name="BExY2Q4B5FUDA5VU4VRUHX327QN0" hidden="1">#REF!</definedName>
    <definedName name="BExY2UWXID9H1ZZT216IJ2W3T4R5" hidden="1">#REF!</definedName>
    <definedName name="BExY3BEDJM4RQA202MJY8RJM0FGU" hidden="1">#REF!</definedName>
    <definedName name="BExY3HOSK7YI364K15OX70AVR6F1" hidden="1">#REF!</definedName>
    <definedName name="BExY3T89AUR83SOAZZ3OMDEJDQ39" hidden="1">#REF!</definedName>
    <definedName name="BExY40KOAK8UPA3XIKC6WE4OLQAL" hidden="1">#REF!</definedName>
    <definedName name="BExY4MG771JQ84EMIVB6HQGGHZY7" hidden="1">#REF!</definedName>
    <definedName name="BExY4PWCSFB8P3J3TBQB2MD67263" hidden="1">#REF!</definedName>
    <definedName name="BExY4RZVZXZ35OZVEXTSWVVGE8XF" hidden="1">#REF!</definedName>
    <definedName name="BExY4RZW3KK11JLYBA4DWZ92M6LQ" hidden="1">#REF!</definedName>
    <definedName name="BExY4XOVTTNVZ577RLIEC7NZQFIX" hidden="1">#REF!</definedName>
    <definedName name="BExY50JAF5CG01GTHAUS7I4ZLUDC" hidden="1">#REF!</definedName>
    <definedName name="BExY53J6XUX9MQ87V5K1PHGLA5OZ"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RH59XWU9D7KAUQ3N5FQ6ZQU" hidden="1">#REF!</definedName>
    <definedName name="BExZIYO22G5UXOB42GDLYGVRJ6U7" hidden="1">#REF!</definedName>
    <definedName name="BExZJ7I9T8XU4MZRKJ1VVU76V2LZ" hidden="1">#REF!</definedName>
    <definedName name="BExZJCWI93DAGB0LYD3D3RXA5T1X" hidden="1">#REF!</definedName>
    <definedName name="BExZJG77BNPTTXPHBDO6JVBP267V" hidden="1">#REF!</definedName>
    <definedName name="BExZJMY170JCUU1RWASNZ1HJPRTA" hidden="1">#REF!</definedName>
    <definedName name="BExZJOQR77H0P4SUKVYACDCFBBXO" hidden="1">#REF!</definedName>
    <definedName name="BExZJS6RG34ODDY9HMZ0O34MEMSB" hidden="1">#REF!</definedName>
    <definedName name="BExZJTOQ0YP3Z6MU1Z3EQPWCQJAV" hidden="1">#REF!</definedName>
    <definedName name="BExZJXA66GVI2J3KFTXHYHM2MLFQ" hidden="1">#REF!</definedName>
    <definedName name="BExZK0FLA198EJ94QHWX96XGLB95" hidden="1">#REF!</definedName>
    <definedName name="BExZK28BCCZCJGD4172FUNAGUC1I" hidden="1">#REF!</definedName>
    <definedName name="BExZK34NR4BAD7HJAP7SQ926UQP3" hidden="1">#REF!</definedName>
    <definedName name="BExZK3FGPHH5H771U7D5XY7XBS6E" hidden="1">#REF!</definedName>
    <definedName name="BExZKG5XNKFLT5VIJGTGN1KRY9M1" hidden="1">#REF!</definedName>
    <definedName name="BExZKHYORG3O8C772XPFHM1N8T80" hidden="1">#REF!</definedName>
    <definedName name="BExZKJRF2IRR57DG9CLC7MSHWNNN" hidden="1">#REF!</definedName>
    <definedName name="BExZKV5GYXO0X760SBD9TWTIQHGI" hidden="1">#REF!</definedName>
    <definedName name="BExZKXUJFT2AT6IX3VNR84WD8J6O" hidden="1">#REF!</definedName>
    <definedName name="BExZL6E4YVXRUN7ZGF2BIGIXFR8K" hidden="1">#REF!</definedName>
    <definedName name="BExZLE6HTP4MI0C7JZBPGDRFSQHY" hidden="1">#REF!</definedName>
    <definedName name="BExZLGVLMKTPFXG42QYT0PO81G7F" hidden="1">#REF!</definedName>
    <definedName name="BExZLKMK7LRK14S09WLMH7MXSQXM"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RC0GXPSO9JOPK8FEZBDS80M" hidden="1">#REF!</definedName>
    <definedName name="BExZMVJ0ODX05Q2E8C4IZVAY7RGU" hidden="1">#REF!</definedName>
    <definedName name="BExZMXH39OB0I43XEL3K11U3G9PM" hidden="1">#REF!</definedName>
    <definedName name="BExZMZQ3RBKDHT5GLFNLS52OSJA0" hidden="1">#REF!</definedName>
    <definedName name="BExZN0MHIAUPB6G7US083VNAPOUO" hidden="1">#REF!</definedName>
    <definedName name="BExZN2F7Y2J2L2LN5WZRG949MS4A" hidden="1">#REF!</definedName>
    <definedName name="BExZN4TJVUGCFWL2CS28R36HN7S6" hidden="1">#REF!</definedName>
    <definedName name="BExZN6BHBBUIDVNQ8LMA86ZJ8SBU" hidden="1">#REF!</definedName>
    <definedName name="BExZN847WUWKRYTZWG9TCQZJS3OL" hidden="1">#REF!</definedName>
    <definedName name="BExZNEUW1MNCUTLJ4LWIW18J6TXS" hidden="1">#REF!</definedName>
    <definedName name="BExZNH3VISFF4NQI11BZDP5IQ7VG" hidden="1">#REF!</definedName>
    <definedName name="BExZNILV5N9PBKDZLALQEXXPJ2GZ" hidden="1">#REF!</definedName>
    <definedName name="BExZNJYCFYVMAOI62GB2BABK1ELE" hidden="1">#REF!</definedName>
    <definedName name="BExZNSCGGDV6CW77IZLFGQGTQJ5Q"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TNB1CJ3Y2RKLI1ZK0S8Z6H" hidden="1">#REF!</definedName>
    <definedName name="BExZOF9R1MU69L6PO5PC7TBTE9G9"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Q0XY507N8FJMVPKCTK8HC9H" hidden="1">#REF!</definedName>
    <definedName name="BExZPT0UWFAUYM11ETBX54NBI1PD"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IHTGHK7OOI2Y2PN3JYBY82I" hidden="1">#REF!</definedName>
    <definedName name="BExZQJJMGU5MHQOILGXGJPAQI5XI" hidden="1">#REF!</definedName>
    <definedName name="BExZQNQOI080YO1ADHPJGCG9R63F" hidden="1">#REF!</definedName>
    <definedName name="BExZQXBYEBN28QUH1KOVW6KKA5UM" hidden="1">#REF!</definedName>
    <definedName name="BExZQZKT146WEN8FTVZ7Y5TSB8L5" hidden="1">#REF!</definedName>
    <definedName name="BExZR12Y982N9EKLLP7Z52WQHXXF" hidden="1">#REF!</definedName>
    <definedName name="BExZR485AKBH93YZ08CMUC3WROED" hidden="1">#REF!</definedName>
    <definedName name="BExZR7TL98P2PPUVGIZYR5873DWW" hidden="1">#REF!</definedName>
    <definedName name="BExZRB9M8SJHCJ3R6G6N2FSC8JDL" hidden="1">#REF!</definedName>
    <definedName name="BExZRGD1603X5ACFALUUDKCD7X48" hidden="1">#REF!</definedName>
    <definedName name="BExZRP1X6UVLN1UOLHH5VF4STP1O" hidden="1">#REF!</definedName>
    <definedName name="BExZRQ930U6OCYNV00CH5I0Q4LPE" hidden="1">#REF!</definedName>
    <definedName name="BExZRVSS7LVKUWW3VM61WKHK4M49" hidden="1">#REF!</definedName>
    <definedName name="BExZRW8W514W8OZ72YBONYJ64GXF" hidden="1">#REF!</definedName>
    <definedName name="BExZRWJP2BUVFJPO8U8ATQEP0LZU" hidden="1">#REF!</definedName>
    <definedName name="BExZRXAKDKQ1K9GZ7R5F89HTIP5Y" hidden="1">#REF!</definedName>
    <definedName name="BExZS2OY9JTSSP01ZQ6V2T2LO5R9" localSheetId="3" hidden="1">#REF!</definedName>
    <definedName name="BExZS2OY9JTSSP01ZQ6V2T2LO5R9" hidden="1">#REF!</definedName>
    <definedName name="BExZSI9USDLZAN8LI8M4YYQL24GZ" localSheetId="3" hidden="1">#REF!</definedName>
    <definedName name="BExZSI9USDLZAN8LI8M4YYQL24GZ" hidden="1">#REF!</definedName>
    <definedName name="BExZSM0TL3458X254CZLZZ3GBCNQ" localSheetId="3" hidden="1">#REF!</definedName>
    <definedName name="BExZSM0TL3458X254CZLZZ3GBCNQ" hidden="1">#REF!</definedName>
    <definedName name="BExZSPX0YNISGS8SVTI69D6NC4IM" hidden="1">#REF!</definedName>
    <definedName name="BExZSS0LA2JY4ZLJ1Z5YCMLJJZCH" hidden="1">#REF!</definedName>
    <definedName name="BExZTAQV2QVSZY5Y3VCCWUBSBW9P" hidden="1">#REF!</definedName>
    <definedName name="BExZTBN9GZGBJ8KW4A2BZPUYXU1F" hidden="1">#REF!</definedName>
    <definedName name="BExZTHSI2FX56PWRSNX9H5EWTZFO" hidden="1">#REF!</definedName>
    <definedName name="BExZTI39Q2UFW9SVCC3Q73QVFBU8"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T5496UMBP4LFSLTR1GVEW" hidden="1">#REF!</definedName>
    <definedName name="BExZUT54340I38GVCV79EL116WR0" hidden="1">#REF!</definedName>
    <definedName name="BExZUYDULCX65H9OZ9JHPBNKF3MI" hidden="1">#REF!</definedName>
    <definedName name="BExZV0192UZZ9JSP428VREBB1ZDY" hidden="1">#REF!</definedName>
    <definedName name="BExZV2QD5ZDK3AGDRULLA7JB46C3" hidden="1">#REF!</definedName>
    <definedName name="BExZV5FHALJ3O5Z9X9CYXRUGCC6O" hidden="1">#REF!</definedName>
    <definedName name="BExZVBQ29OM0V8XAL3HL0JIM0MMU"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SMC9T48W74GFGQCIUJ8ZPP3" hidden="1">#REF!</definedName>
    <definedName name="BExZWUF2V4HY3HI8JN9ZVPRWK1H3" hidden="1">#REF!</definedName>
    <definedName name="BExZWX45URTK9KYDJHEXL1OTZ833" hidden="1">#REF!</definedName>
    <definedName name="BExZWYRG26HN53ZPZ5ERJKTS6RJ1" hidden="1">#REF!</definedName>
    <definedName name="BExZX0EWQEZO86WDAD9A4EAEZ012" hidden="1">#REF!</definedName>
    <definedName name="BExZX2T6ZT2DZLYSDJJBPVIT5OK2" hidden="1">#REF!</definedName>
    <definedName name="BExZXD01YCC2UKH6829EC0LCWB3B" hidden="1">#REF!</definedName>
    <definedName name="BExZXK6UA4ZV3XPC2N2NRSI4ZR6H"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Q7U5G08FQGUIGYT14QCBOF" hidden="1">#REF!</definedName>
    <definedName name="BExZY02V77YJBMODJSWZOYCMPS5X" hidden="1">#REF!</definedName>
    <definedName name="BExZY49QRZIR6CA41LFA9LM6EULU" hidden="1">#REF!</definedName>
    <definedName name="BExZYB62GGL1SOZY9U68AATTICHU" hidden="1">#REF!</definedName>
    <definedName name="BExZYBBCV1AW9XEIT73TO2286ETP" hidden="1">#REF!</definedName>
    <definedName name="BExZYF262HRLEVP6L4KINWX6HBYI" hidden="1">#REF!</definedName>
    <definedName name="BExZZ2FQA9A8C7CJKMEFQ9VPSLCE" hidden="1">#REF!</definedName>
    <definedName name="BExZZCHAVHW8C2H649KRGVQ0WVRT" hidden="1">#REF!</definedName>
    <definedName name="BExZZGIVJRHKETRE8HACEQE30128" hidden="1">#REF!</definedName>
    <definedName name="BExZZTK54OTLF2YB68BHGOS27GEN" hidden="1">#REF!</definedName>
    <definedName name="BExZZXB3JQQG4SIZS4MRU6NNW7HI" hidden="1">#REF!</definedName>
    <definedName name="BExZZZEMIIFKMLLV4DJKX5TB9R5V" hidden="1">#REF!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ank" localSheetId="1" hidden="1">{"ARK_JURIS_FUEL",#N/A,FALSE,"Ark_Fuel&amp;Rev"}</definedName>
    <definedName name="Blank" localSheetId="3" hidden="1">{"ARK_JURIS_FUEL",#N/A,FALSE,"Ark_Fuel&amp;Rev"}</definedName>
    <definedName name="Blank" hidden="1">{"ARK_JURIS_FUEL",#N/A,FALSE,"Ark_Fuel&amp;Rev"}</definedName>
    <definedName name="BLDAMNT" localSheetId="3">#REF!</definedName>
    <definedName name="BLDAMNT">#REF!</definedName>
    <definedName name="BLDDMND" localSheetId="3">#REF!</definedName>
    <definedName name="BLDDMND">#REF!</definedName>
    <definedName name="BLDKWH" localSheetId="3">#REF!</definedName>
    <definedName name="BLDKWH">#REF!</definedName>
    <definedName name="BLDOPDMND">#REF!</definedName>
    <definedName name="BLNGKWB4EDR">#REF!</definedName>
    <definedName name="BLNGKWH">#REF!</definedName>
    <definedName name="BLNGKWHTTL">#REF!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localSheetId="3" hidden="1">#REF!</definedName>
    <definedName name="BLPH69" hidden="1">#REF!</definedName>
    <definedName name="BLPH7" localSheetId="3" hidden="1">#REF!</definedName>
    <definedName name="BLPH7" hidden="1">#REF!</definedName>
    <definedName name="BLPH70" localSheetId="3"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37" hidden="1">#REF!</definedName>
    <definedName name="BLPH838" hidden="1">#REF!</definedName>
    <definedName name="BLPH839" hidden="1">#REF!</definedName>
    <definedName name="BLPH84" localSheetId="3" hidden="1">#REF!</definedName>
    <definedName name="BLPH84" hidden="1">#REF!</definedName>
    <definedName name="BLPH840" hidden="1">#REF!</definedName>
    <definedName name="BLPH841" hidden="1">#REF!</definedName>
    <definedName name="BLPH842" hidden="1">#REF!</definedName>
    <definedName name="BLPH843" hidden="1">#REF!</definedName>
    <definedName name="BLPH844" hidden="1">#REF!</definedName>
    <definedName name="BLPH845" hidden="1">#REF!</definedName>
    <definedName name="BLPH846" hidden="1">#REF!</definedName>
    <definedName name="BLPH847" hidden="1">#REF!</definedName>
    <definedName name="BLPH848" hidden="1">#REF!</definedName>
    <definedName name="BLPH849" hidden="1">#REF!</definedName>
    <definedName name="BLPH85" localSheetId="3" hidden="1">#REF!</definedName>
    <definedName name="BLPH85" hidden="1">#REF!</definedName>
    <definedName name="BLPH850" hidden="1">#REF!</definedName>
    <definedName name="BLPH851" hidden="1">#REF!</definedName>
    <definedName name="BLPH852" hidden="1">#REF!</definedName>
    <definedName name="BLPH853" hidden="1">#REF!</definedName>
    <definedName name="BLPH854" hidden="1">#REF!</definedName>
    <definedName name="BLPH855" hidden="1">#REF!</definedName>
    <definedName name="BLPH856" hidden="1">#REF!</definedName>
    <definedName name="BLPH857" hidden="1">#REF!</definedName>
    <definedName name="BLPH858" hidden="1">#REF!</definedName>
    <definedName name="BLPH859" hidden="1">#REF!</definedName>
    <definedName name="BLPH86" localSheetId="3" hidden="1">#REF!</definedName>
    <definedName name="BLPH86" hidden="1">#REF!</definedName>
    <definedName name="BLPH860" hidden="1">#REF!</definedName>
    <definedName name="BLPH861" hidden="1">#REF!</definedName>
    <definedName name="BLPH862" hidden="1">#REF!</definedName>
    <definedName name="BLPH863" hidden="1">#REF!</definedName>
    <definedName name="BLPH864" hidden="1">#REF!</definedName>
    <definedName name="BLPH865" hidden="1">#REF!</definedName>
    <definedName name="BLPH866" hidden="1">#REF!</definedName>
    <definedName name="BLPH867" hidden="1">#REF!</definedName>
    <definedName name="BLPH868" hidden="1">#REF!</definedName>
    <definedName name="BLPH869" hidden="1">#REF!</definedName>
    <definedName name="BLPH87" localSheetId="3" hidden="1">#REF!</definedName>
    <definedName name="BLPH87" hidden="1">#REF!</definedName>
    <definedName name="BLPH870" hidden="1">#REF!</definedName>
    <definedName name="BLPH871" hidden="1">#REF!</definedName>
    <definedName name="BLPH872" hidden="1">#REF!</definedName>
    <definedName name="BLPH873" localSheetId="3" hidden="1">#REF!</definedName>
    <definedName name="BLPH873" hidden="1">#REF!</definedName>
    <definedName name="BLPH874" localSheetId="3" hidden="1">#REF!</definedName>
    <definedName name="BLPH874" hidden="1">#REF!</definedName>
    <definedName name="BLPH875" localSheetId="3" hidden="1">#REF!</definedName>
    <definedName name="BLPH875" hidden="1">#REF!</definedName>
    <definedName name="BLPH876" hidden="1">#REF!</definedName>
    <definedName name="BLPH877" hidden="1">#REF!</definedName>
    <definedName name="BLPH878" hidden="1">#REF!</definedName>
    <definedName name="BLPH879" hidden="1">#REF!</definedName>
    <definedName name="BLPH88" hidden="1">#REF!</definedName>
    <definedName name="BLPH880" hidden="1">#REF!</definedName>
    <definedName name="BLPH881" hidden="1">#REF!</definedName>
    <definedName name="BLPH882" hidden="1">#REF!</definedName>
    <definedName name="BLPH883" hidden="1">#REF!</definedName>
    <definedName name="BLPH884" hidden="1">#REF!</definedName>
    <definedName name="BLPH89" localSheetId="3" hidden="1">#REF!</definedName>
    <definedName name="BLPH89" hidden="1">#REF!</definedName>
    <definedName name="BLPH9" localSheetId="3" hidden="1">#REF!</definedName>
    <definedName name="BLPH9" hidden="1">#REF!</definedName>
    <definedName name="BLPH90" localSheetId="3"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ook_basis">#REF!</definedName>
    <definedName name="Book_Dep">#REF!</definedName>
    <definedName name="Book_dep_yrs">#REF!</definedName>
    <definedName name="BPsFcst">#REF!</definedName>
    <definedName name="brwrn971" localSheetId="1" hidden="1">{#N/A,#N/A,FALSE,"Capas";#N/A,#N/A,FALSE,"BS";#N/A,#N/A,FALSE,"P &amp; L";#N/A,#N/A,FALSE,"DMPL";#N/A,#N/A,FALSE,"Doar";#N/A,#N/A,FALSE,"Translation";#N/A,#N/A,FALSE,"R$";#N/A,#N/A,FALSE,"US$";#N/A,#N/A,FALSE,"Marketable"}</definedName>
    <definedName name="brwrn971" localSheetId="3" hidden="1">{#N/A,#N/A,FALSE,"Capas";#N/A,#N/A,FALSE,"BS";#N/A,#N/A,FALSE,"P &amp; L";#N/A,#N/A,FALSE,"DMPL";#N/A,#N/A,FALSE,"Doar";#N/A,#N/A,FALSE,"Translation";#N/A,#N/A,FALSE,"R$";#N/A,#N/A,FALSE,"US$";#N/A,#N/A,FALSE,"Marketable"}</definedName>
    <definedName name="brwrn971" hidden="1">{#N/A,#N/A,FALSE,"Capas";#N/A,#N/A,FALSE,"BS";#N/A,#N/A,FALSE,"P &amp; L";#N/A,#N/A,FALSE,"DMPL";#N/A,#N/A,FALSE,"Doar";#N/A,#N/A,FALSE,"Translation";#N/A,#N/A,FALSE,"R$";#N/A,#N/A,FALSE,"US$";#N/A,#N/A,FALSE,"Marketable"}</definedName>
    <definedName name="BS_Begin" localSheetId="3">#REF!</definedName>
    <definedName name="BS_Begin">#REF!</definedName>
    <definedName name="BS_Break" localSheetId="3">#REF!</definedName>
    <definedName name="BS_Break">#REF!</definedName>
    <definedName name="BS_End" localSheetId="3">#REF!</definedName>
    <definedName name="BS_End">#REF!</definedName>
    <definedName name="BTTrueUp">#REF!</definedName>
    <definedName name="Budget">#REF!</definedName>
    <definedName name="BUNCCHG" localSheetId="3">#REF!</definedName>
    <definedName name="BUNCCHG">#REF!</definedName>
    <definedName name="BUNDCHG1" localSheetId="3">#REF!</definedName>
    <definedName name="BUNDCHG1">#REF!</definedName>
    <definedName name="BUNDCHG2" localSheetId="3">#REF!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Buyout_amount">#REF!</definedName>
    <definedName name="BVILLEENERGYADJUSTMENT" localSheetId="3">#REF!</definedName>
    <definedName name="BVILLEENERGYADJUSTMENT">#REF!</definedName>
    <definedName name="c.LTMYear" localSheetId="3" hidden="1">#REF!</definedName>
    <definedName name="c.LTMYear" hidden="1">#REF!</definedName>
    <definedName name="C_Begin" localSheetId="3">#REF!</definedName>
    <definedName name="C_Begin">#REF!</definedName>
    <definedName name="C_End">#REF!</definedName>
    <definedName name="CALCPFCC">#REF!</definedName>
    <definedName name="cancel" localSheetId="1" hidden="1">{"PARTNERS CAPITAL STMT",#N/A,FALSE,"Partners Capital"}</definedName>
    <definedName name="cancel" localSheetId="3" hidden="1">{"PARTNERS CAPITAL STMT",#N/A,FALSE,"Partners Capital"}</definedName>
    <definedName name="cancel" hidden="1">{"PARTNERS CAPITAL STMT",#N/A,FALSE,"Partners Capital"}</definedName>
    <definedName name="cancel2" localSheetId="1" hidden="1">{"PNLProjDL",#N/A,FALSE,"PROJCO";"PNLParDL",#N/A,FALSE,"Parent"}</definedName>
    <definedName name="cancel2" localSheetId="3" hidden="1">{"PNLProjDL",#N/A,FALSE,"PROJCO";"PNLParDL",#N/A,FALSE,"Parent"}</definedName>
    <definedName name="cancel2" hidden="1">{"PNLProjDL",#N/A,FALSE,"PROJCO";"PNLParDL",#N/A,FALSE,"Parent"}</definedName>
    <definedName name="cancel3" localSheetId="1" hidden="1">{"Summary",#N/A,FALSE,"MICMULT";"Income Statement",#N/A,FALSE,"MICMULT";"Cash Flows",#N/A,FALSE,"MICMULT"}</definedName>
    <definedName name="cancel3" localSheetId="3" hidden="1">{"Summary",#N/A,FALSE,"MICMULT";"Income Statement",#N/A,FALSE,"MICMULT";"Cash Flows",#N/A,FALSE,"MICMULT"}</definedName>
    <definedName name="cancel3" hidden="1">{"Summary",#N/A,FALSE,"MICMULT";"Income Statement",#N/A,FALSE,"MICMULT";"Cash Flows",#N/A,FALSE,"MICMULT"}</definedName>
    <definedName name="Cap">#REF!</definedName>
    <definedName name="cap_revs">#REF!</definedName>
    <definedName name="CapAlloc" localSheetId="3">#REF!</definedName>
    <definedName name="CapAlloc">#REF!</definedName>
    <definedName name="CAPDEFA" localSheetId="3">#REF!</definedName>
    <definedName name="CAPDEFA">#REF!</definedName>
    <definedName name="CAPRATES" localSheetId="3">#REF!</definedName>
    <definedName name="CAPRATES">#REF!</definedName>
    <definedName name="CaseName" localSheetId="3">#REF!</definedName>
    <definedName name="CaseName">#REF!</definedName>
    <definedName name="cate">#REF!</definedName>
    <definedName name="cb_sChart12595BBC_opts" hidden="1">"1, 1, 1, False, 2, True, False, , 0, False, False, 2, 2"</definedName>
    <definedName name="cb_sChart12595E44_opts" hidden="1">"1, 3, 1, False, 2, True, False, , 0, True, False, 2, 2"</definedName>
    <definedName name="cb_sChart12DCEFA3_opts" hidden="1">"1, 1, 1, False, 2, False, False, , 0, False, False, 1, 1"</definedName>
    <definedName name="cb_sChart134138B2_opts" hidden="1">"1, 1, 1, False, 2, True, False, , 0, False, False, 1, 1"</definedName>
    <definedName name="cb_sChart14EA3833_opts" hidden="1">"1, 9, 1, False, 2, False, False, , 0, False, True, 1, 1"</definedName>
    <definedName name="cb_sChart14EA3A0E_opts" hidden="1">"1, 9, 1, False, 2, False, False, , 0, False, False, 1, 1"</definedName>
    <definedName name="cb_sChart14EA4319_opts" hidden="1">"1, 9, 1, False, 2, False, False, , 0, False, True, 1, 1"</definedName>
    <definedName name="cb_sChart14EA5F15_opts" hidden="1">"1, 9, 1, False, 2, False, False, , 0, False, False, 1, 1"</definedName>
    <definedName name="cb_sChart14EA662E_opts" hidden="1">"1, 9, 1, False, 2, False, False, , 0, False, False, 1, 1"</definedName>
    <definedName name="cb_sChart14EA6A4C_opts" hidden="1">"1, 9, 1, False, 2, False, False, , 0, False, False, 1, 1"</definedName>
    <definedName name="cb_sChart14EA6DE9_opts" hidden="1">"1, 9, 1, False, 2, False, False, , 0, False, False, 1, 1"</definedName>
    <definedName name="cb_sChart14EA7895_opts" hidden="1">"1, 9, 1, False, 2, False, False, , 0, False, True, 1, 1"</definedName>
    <definedName name="cb_sChart14EA86D3_opts" hidden="1">"1, 9, 1, False, 2, False, False, , 0, False, True, 1, 1"</definedName>
    <definedName name="cb_sChart14EA8E77_opts" hidden="1">"1, 9, 1, False, 2, False, False, , 0, False, True, 1, 1"</definedName>
    <definedName name="cb_sChart14EA8F24_opts" hidden="1">"1, 9, 1, False, 2, False, False, , 0, False, True, 1, 1"</definedName>
    <definedName name="cb_sChart14EA980C_opts" hidden="1">"1, 9, 1, False, 2, False, False, , 0, False, True, 1, 1"</definedName>
    <definedName name="cb_sChart14EA9875_opts" hidden="1">"1, 9, 1, False, 2, False, False, , 0, False, True, 1, 1"</definedName>
    <definedName name="cb_sChart14EA9A66_opts" hidden="1">"1, 9, 1, False, 2, False, False, , 0, False, True, 1, 1"</definedName>
    <definedName name="cb_sChart14EACF6F_opts" hidden="1">"1, 9, 1, False, 2, False, False, , 0, False, True, 1, 1"</definedName>
    <definedName name="cb_sChart14EAE615_opts" hidden="1">"1, 9, 1, False, 2, False, False, , 0, False, True, 1, 1"</definedName>
    <definedName name="cb_sChart14F2A546_opts" hidden="1">"1, 9, 1, False, 2, False, False, , 0, False, True, 1, 1"</definedName>
    <definedName name="cb_sChart14F2B05A_opts" hidden="1">"1, 9, 1, False, 2, False, False, , 0, False, False, 1, 1"</definedName>
    <definedName name="cb_sChart14F2C526_opts" hidden="1">"1, 9, 1, False, 2, False, False, , 0, False, True, 1, 1"</definedName>
    <definedName name="cb_sChart14F6C935_opts" hidden="1">"1, 9, 1, False, 2, False, False, , 0, False, False, 1, 1"</definedName>
    <definedName name="cb_sChart14F6C9C0_opts" hidden="1">"1, 9, 1, False, 2, False, False, , 0, False, True, 1, 1"</definedName>
    <definedName name="cb_sChart14F6F63C_opts" hidden="1">"1, 9, 1, False, 2, False, False, , 0, False, False, 1, 1"</definedName>
    <definedName name="cb_sChart14F7F419_opts" hidden="1">"1, 9, 1, False, 2, False, False, , 0, False, True, 1, 1"</definedName>
    <definedName name="cb_sChart14F7F5FF_opts" hidden="1">"1, 9, 1, False, 2, False, False, , 0, False, True, 1, 1"</definedName>
    <definedName name="cb_sChart18009FE8_opts" hidden="1">"1, 1, 1, False, 2, False, False, , 0, False, False, 1, 1"</definedName>
    <definedName name="cb_sChart1801153B_opts" hidden="1">"1, 1, 1, False, 2, False, False, , 0, False, True, 1, 1"</definedName>
    <definedName name="cb_sChart18B33842_opts" hidden="1">"1, 1, 1, False, 2, False, False, , 0, False, False, 1, 1"</definedName>
    <definedName name="cb_sChart18BA2280_opts" hidden="1">"1, 1, 1, False, 2, False, False, , 0, False, False, 1, 1"</definedName>
    <definedName name="cb_sChart18BB2677_opts" hidden="1">"1, 1, 1, False, 2, False, False, , 0, False, False, 1, 1"</definedName>
    <definedName name="cb_sChart18C63501_opts" hidden="1">"1, 1, 1, False, 2, False, False, , 0, False, False, 1,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B9A4AFE_opts" hidden="1">"1, 9, 1, False, 2, False, False, , 0, False, False, 1, 2"</definedName>
    <definedName name="cb_sChart1BA1DC3F_opts" hidden="1">"1, 9, 1, False, 2, False, False, , 0, False, False, 1, 2"</definedName>
    <definedName name="cb_sChart1C1DB169_opts" hidden="1">"1, 3, 1, False, 2, False, False, , 0, False, False, 1, 1"</definedName>
    <definedName name="cb_sChart1C3B75AC_opts" hidden="1">"1, 9, 1, False, 2, False, False, , 0, False, True, 1, 1"</definedName>
    <definedName name="cb_sChart1C3B9A4B_opts" hidden="1">"1, 9, 1, False, 2, False, False, , 0, False, True, 1, 1"</definedName>
    <definedName name="cb_sChart1C3BE924_opts" hidden="1">"1, 9, 1, False, 2, False, False, , 0, False, True, 1, 1"</definedName>
    <definedName name="cb_sChart1C3BEA5C_opts" hidden="1">"1, 9, 1, False, 2, False, False, , 0, False, True, 1, 1"</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_sChart1CC916DC_opts" hidden="1">"1, 10, 1, False, 2, False, False, , 0, False, False, 1, 1"</definedName>
    <definedName name="cb_sChart1D0218BA_opts" hidden="1">"1, 1, 1, False, 2, False, False, , 0, False, False, 1, 1"</definedName>
    <definedName name="cb_sChart1D0219E7_opts" hidden="1">"1, 1, 1, False, 2, False, False, , 0, False, False, 1, 1"</definedName>
    <definedName name="cb_sChart1D022117_opts" hidden="1">"1, 1, 1, False, 2, False, False, , 0, False, False, 1, 1"</definedName>
    <definedName name="cb_sChart1D02CAAE_opts" hidden="1">"1, 10, 1, False, 2, False, False, , 0, False, False, 1, 1"</definedName>
    <definedName name="cb_sChart1D03E238_opts" hidden="1">"1, 1, 1, False, 2, False, False, , 0, False, False, 1, 1"</definedName>
    <definedName name="cb_sChart1D03E90C_opts" hidden="1">"1, 1, 1, False, 2, False, False, , 0, False, False, 1, 1"</definedName>
    <definedName name="cb_sChart1D1405AB_opts" hidden="1">"1, 10, 1, False, 2, False, False, , 0, False, False, 1, 1"</definedName>
    <definedName name="cb_sChart1D1426E6_opts" hidden="1">"1, 10, 1, False, 2, False, False, , 0, False, False, 1, 1"</definedName>
    <definedName name="cb_sChart1D14336C_opts" hidden="1">"1, 10, 1, False, 2, False, False, , 0, False, False, 1, 1"</definedName>
    <definedName name="cb_sChart1D14587E_opts" hidden="1">"1, 10, 1, False, 2, False, False, , 0, False, False, 1, 1"</definedName>
    <definedName name="cb_sChart1D8F6DF6_opts" hidden="1">"1, 1, 1, False, 2, False, False, , 0, False, True, 1, 1"</definedName>
    <definedName name="cb_sChart1D8F6F97_opts" hidden="1">"1, 9, 1, False, 2, False, False, , 0, False, True, 1, 1"</definedName>
    <definedName name="cb_sChart41E9A35_opts" hidden="1">"1, 9, 1, False, 2, False, False, , 0, False, True, 1, 1"</definedName>
    <definedName name="cbc" localSheetId="1" hidden="1">{"value box",#N/A,TRUE,"DPL Inc. Fin Statements";"unlevered free cash flows",#N/A,TRUE,"DPL Inc. Fin Statements"}</definedName>
    <definedName name="cbc" localSheetId="3" hidden="1">{"value box",#N/A,TRUE,"DPL Inc. Fin Statements";"unlevered free cash flows",#N/A,TRUE,"DPL Inc. Fin Statements"}</definedName>
    <definedName name="cbc" hidden="1">{"value box",#N/A,TRUE,"DPL Inc. Fin Statements";"unlevered free cash flows",#N/A,TRUE,"DPL Inc. Fin Statements"}</definedName>
    <definedName name="cbcb" localSheetId="1" hidden="1">{"FCB_ALL",#N/A,FALSE,"FCB"}</definedName>
    <definedName name="cbcb" localSheetId="3" hidden="1">{"FCB_ALL",#N/A,FALSE,"FCB"}</definedName>
    <definedName name="cbcb" hidden="1">{"FCB_ALL",#N/A,FALSE,"FCB"}</definedName>
    <definedName name="cbcbc" localSheetId="1" hidden="1">{#N/A,#N/A,FALSE,"Income Statement";#N/A,#N/A,FALSE,"Balance Sheet";#N/A,#N/A,FALSE,"Cash Flows";#N/A,#N/A,FALSE,"Ratios"}</definedName>
    <definedName name="cbcbc" localSheetId="3" hidden="1">{#N/A,#N/A,FALSE,"Income Statement";#N/A,#N/A,FALSE,"Balance Sheet";#N/A,#N/A,FALSE,"Cash Flows";#N/A,#N/A,FALSE,"Ratios"}</definedName>
    <definedName name="cbcbc" hidden="1">{#N/A,#N/A,FALSE,"Income Statement";#N/A,#N/A,FALSE,"Balance Sheet";#N/A,#N/A,FALSE,"Cash Flows";#N/A,#N/A,FALSE,"Ratios"}</definedName>
    <definedName name="cbcbcbc" localSheetId="1" hidden="1">{"FCB_ALL",#N/A,FALSE,"FCB";"GREY_ALL",#N/A,FALSE,"GREY"}</definedName>
    <definedName name="cbcbcbc" localSheetId="3" hidden="1">{"FCB_ALL",#N/A,FALSE,"FCB";"GREY_ALL",#N/A,FALSE,"GREY"}</definedName>
    <definedName name="cbcbcbc" hidden="1">{"FCB_ALL",#N/A,FALSE,"FCB";"GREY_ALL",#N/A,FALSE,"GREY"}</definedName>
    <definedName name="cbcbcbcbcbcc" localSheetId="1" hidden="1">{"PA1",#N/A,TRUE,"BORDMW";"pa2",#N/A,TRUE,"BORDMW";"PA3",#N/A,TRUE,"BORDMW";"PA4",#N/A,TRUE,"BORDMW"}</definedName>
    <definedName name="cbcbcbcbcbcc" localSheetId="3" hidden="1">{"PA1",#N/A,TRUE,"BORDMW";"pa2",#N/A,TRUE,"BORDMW";"PA3",#N/A,TRUE,"BORDMW";"PA4",#N/A,TRUE,"BORDMW"}</definedName>
    <definedName name="cbcbcbcbcbcc" hidden="1">{"PA1",#N/A,TRUE,"BORDMW";"pa2",#N/A,TRUE,"BORDMW";"PA3",#N/A,TRUE,"BORDMW";"PA4",#N/A,TRUE,"BORDMW"}</definedName>
    <definedName name="CBLKWH" localSheetId="3">#REF!</definedName>
    <definedName name="CBLKWH">#REF!</definedName>
    <definedName name="CBWorkbookPriority" hidden="1">-1818492550</definedName>
    <definedName name="CCF">#REF!</definedName>
    <definedName name="CF_Month" localSheetId="3">#REF!</definedName>
    <definedName name="CF_Month">#REF!</definedName>
    <definedName name="CF_Qtr" localSheetId="3">#REF!</definedName>
    <definedName name="CF_Qtr">#REF!</definedName>
    <definedName name="CF_YTD" localSheetId="3">#REF!</definedName>
    <definedName name="CF_YTD">#REF!</definedName>
    <definedName name="CIQWBGuid" hidden="1">"8ee6adcd-c945-41c5-a362-fc8c76a9e52d"</definedName>
    <definedName name="City">#REF!</definedName>
    <definedName name="CLAF">#REF!</definedName>
    <definedName name="CLAF2">#REF!</definedName>
    <definedName name="CNTRCTDMND">#REF!</definedName>
    <definedName name="CO_Mo">#REF!</definedName>
    <definedName name="CO_Yr">#REF!</definedName>
    <definedName name="CoCode0100" localSheetId="3">#REF!</definedName>
    <definedName name="CoCode0100">#REF!</definedName>
    <definedName name="CoCode0200" localSheetId="3">#REF!</definedName>
    <definedName name="CoCode0200">#REF!</definedName>
    <definedName name="CoCode0400" localSheetId="3">#REF!</definedName>
    <definedName name="CoCode0400">#REF!</definedName>
    <definedName name="CoCode0500">#REF!</definedName>
    <definedName name="COD">#REF!</definedName>
    <definedName name="Codes">#REF!</definedName>
    <definedName name="Collapse_Level" localSheetId="3">#REF!</definedName>
    <definedName name="Collapse_Level">#REF!</definedName>
    <definedName name="COM" localSheetId="3">#REF!</definedName>
    <definedName name="COM">#REF!</definedName>
    <definedName name="CONOCO_FAC" localSheetId="3">#REF!</definedName>
    <definedName name="CONOCO_FAC">#REF!</definedName>
    <definedName name="CoPhoneLine" localSheetId="3">#REF!</definedName>
    <definedName name="CoPhoneLine">#REF!</definedName>
    <definedName name="copy2" localSheetId="3" hidden="1">#REF!</definedName>
    <definedName name="copy2" hidden="1">#REF!</definedName>
    <definedName name="copy3" hidden="1">#REF!</definedName>
    <definedName name="CountsStatuses">#REF!</definedName>
    <definedName name="cp_by_group" localSheetId="3">#REF!</definedName>
    <definedName name="cp_by_group">#REF!</definedName>
    <definedName name="cp_by_serv_level" localSheetId="3">#REF!</definedName>
    <definedName name="cp_by_serv_level">#REF!</definedName>
    <definedName name="cp_input_area" localSheetId="3">#REF!</definedName>
    <definedName name="cp_input_area">#REF!</definedName>
    <definedName name="CreditStats" hidden="1">#REF!</definedName>
    <definedName name="_xlnm.Criteria">#REF!</definedName>
    <definedName name="CRMOINTRPTHRS" localSheetId="3">#REF!</definedName>
    <definedName name="CRMOINTRPTHRS">#REF!</definedName>
    <definedName name="CRNTMOBTKWH" localSheetId="3">#REF!</definedName>
    <definedName name="CRNTMOBTKWH">#REF!</definedName>
    <definedName name="CRNTMOFPKHRS" localSheetId="3">#REF!</definedName>
    <definedName name="CRNTMOFPKHRS">#REF!</definedName>
    <definedName name="CRNTMONPKHRS">#REF!</definedName>
    <definedName name="CRTLBLONPKHRS">#REF!</definedName>
    <definedName name="CRTLBLONPKKWH">#REF!</definedName>
    <definedName name="CSA" localSheetId="1">#REF!</definedName>
    <definedName name="CSA">#REF!</definedName>
    <definedName name="CSO">#REF!</definedName>
    <definedName name="CSTMRCHG">#REF!</definedName>
    <definedName name="CSWE">#REF!</definedName>
    <definedName name="Cum_Int" localSheetId="3">#REF!</definedName>
    <definedName name="Cum_Int">#REF!</definedName>
    <definedName name="CurMoAddr1" localSheetId="3">#REF!</definedName>
    <definedName name="CurMoAddr1">#REF!</definedName>
    <definedName name="CurMoAddr2" localSheetId="3">#REF!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ENT_ASSETS">#REF!</definedName>
    <definedName name="CURRENT_LIABILITIES">#REF!</definedName>
    <definedName name="CurrentRangeName" hidden="1">#REF!</definedName>
    <definedName name="CustAddr1" localSheetId="3">#REF!</definedName>
    <definedName name="CustAddr1">#REF!</definedName>
    <definedName name="CustAddr2" localSheetId="3">#REF!</definedName>
    <definedName name="CustAddr2">#REF!</definedName>
    <definedName name="CustCityStZip" localSheetId="3">#REF!</definedName>
    <definedName name="CustCityStZip">#REF!</definedName>
    <definedName name="CustName">#REF!</definedName>
    <definedName name="CustName2" localSheetId="3">#REF!</definedName>
    <definedName name="CustName2">#REF!</definedName>
    <definedName name="CUSTOMER" localSheetId="3">#REF!</definedName>
    <definedName name="CUSTOMER">#REF!</definedName>
    <definedName name="CustTable" localSheetId="3">#REF!</definedName>
    <definedName name="CustTable">#REF!</definedName>
    <definedName name="CWIP" localSheetId="1"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CWIP" localSheetId="3"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CWIP"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CWIP2" localSheetId="1"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CWIP2" localSheetId="3"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CWI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Cwvu.GREY_ALL." hidden="1">#REF!</definedName>
    <definedName name="CYDR">#REF!</definedName>
    <definedName name="d" localSheetId="3" hidden="1">#REF!</definedName>
    <definedName name="d" hidden="1">#REF!</definedName>
    <definedName name="D1PROD" localSheetId="3">#REF!</definedName>
    <definedName name="D1PROD">#REF!</definedName>
    <definedName name="D2TRAN" localSheetId="3">#REF!</definedName>
    <definedName name="D2TRAN">#REF!</definedName>
    <definedName name="DAT" hidden="1">#REF!</definedName>
    <definedName name="data">#REF!</definedName>
    <definedName name="Data.Dump" hidden="1">OFFSET(#REF!,1,0)</definedName>
    <definedName name="DATA_01" localSheetId="3" hidden="1">#REF!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_xlnm.Data_Form">#REF!</definedName>
    <definedName name="Debt_financed">#REF!</definedName>
    <definedName name="Debt_term">#REF!</definedName>
    <definedName name="Debt_type">#REF!</definedName>
    <definedName name="debttype">#REF!</definedName>
    <definedName name="DECEMBERFACTOR" localSheetId="3">#REF!</definedName>
    <definedName name="DECEMBERFACTOR">#REF!</definedName>
    <definedName name="DECEMBERINTEREST" localSheetId="3">#REF!</definedName>
    <definedName name="DECEMBERINTEREST">#REF!</definedName>
    <definedName name="DECEMBERSURCHARGE" localSheetId="3">#REF!</definedName>
    <definedName name="DECEMBERSURCHARGE">#REF!</definedName>
    <definedName name="Def_Tax_Asset_Basis_Adj">#REF!</definedName>
    <definedName name="default_comments">"Print range changed to landscape. Unhide all rows and columns except 1 and A."</definedName>
    <definedName name="default_directory">"R:\fcm90prd\nvision\rpts\Fin_reports_Other\"</definedName>
    <definedName name="default_name">"Neal Hartley"</definedName>
    <definedName name="deferral_date">#REF!</definedName>
    <definedName name="delete" localSheetId="1" hidden="1">{"STMT OF CASH FLOWS",#N/A,FALSE,"Cash Flows Indirect"}</definedName>
    <definedName name="delete" localSheetId="3" hidden="1">{"STMT OF CASH FLOWS",#N/A,FALSE,"Cash Flows Indirect"}</definedName>
    <definedName name="delete" hidden="1">{"STMT OF CASH FLOWS",#N/A,FALSE,"Cash Flows Indirect"}</definedName>
    <definedName name="delete2" localSheetId="1" hidden="1">{"BALANCE SHEET ACCTS",#N/A,TRUE,"Working Trial Balance";"INCOME STMT ACCTS",#N/A,TRUE,"Working Trial Balance"}</definedName>
    <definedName name="delete2" localSheetId="3" hidden="1">{"BALANCE SHEET ACCTS",#N/A,TRUE,"Working Trial Balance";"INCOME STMT ACCTS",#N/A,TRUE,"Working Trial Balance"}</definedName>
    <definedName name="delete2" hidden="1">{"BALANCE SHEET ACCTS",#N/A,TRUE,"Working Trial Balance";"INCOME STMT ACCTS",#N/A,TRUE,"Working Trial Balance"}</definedName>
    <definedName name="DEMAND" localSheetId="3">#REF!</definedName>
    <definedName name="DEMAND">#REF!</definedName>
    <definedName name="DEMENER" localSheetId="3">#REF!</definedName>
    <definedName name="DEMENER">#REF!</definedName>
    <definedName name="DEMTRAN" localSheetId="3">#REF!</definedName>
    <definedName name="DEMTRAN">#REF!</definedName>
    <definedName name="DEPRECBASE" hidden="1">#REF!</definedName>
    <definedName name="Derate">#REF!</definedName>
    <definedName name="DESCRIPTION1" localSheetId="3">#REF!</definedName>
    <definedName name="DESCRIPTION1">#REF!</definedName>
    <definedName name="Desert">#REF!</definedName>
    <definedName name="DETAIL" localSheetId="3">#REF!</definedName>
    <definedName name="DETAIL">#REF!</definedName>
    <definedName name="DetailTotCbl" localSheetId="3">#REF!</definedName>
    <definedName name="DetailTotCbl">#REF!</definedName>
    <definedName name="DetailTotChg" localSheetId="3">#REF!</definedName>
    <definedName name="DetailTotChg">#REF!</definedName>
    <definedName name="DetailTotKw">#REF!</definedName>
    <definedName name="DetailTotMargin">#REF!</definedName>
    <definedName name="DeveloperRoyaltyAdder" hidden="1">#REF!</definedName>
    <definedName name="DIRPCCHG" localSheetId="3">#REF!</definedName>
    <definedName name="DIRPCCHG">#REF!</definedName>
    <definedName name="DIRPDCHG1" localSheetId="3">#REF!</definedName>
    <definedName name="DIRPDCHG1">#REF!</definedName>
    <definedName name="DIRPDCHG2" localSheetId="3">#REF!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T361">#REF!</definedName>
    <definedName name="DIST362">#REF!</definedName>
    <definedName name="DIST36458">#REF!</definedName>
    <definedName name="DIST36459">#REF!</definedName>
    <definedName name="DIST3648">#REF!</definedName>
    <definedName name="DIST36678">#REF!</definedName>
    <definedName name="DIST36679">#REF!</definedName>
    <definedName name="DIST368">#REF!</definedName>
    <definedName name="DIST369">#REF!</definedName>
    <definedName name="DIST370">#REF!</definedName>
    <definedName name="DIST371">#REF!</definedName>
    <definedName name="DIST373">#REF!</definedName>
    <definedName name="DISTPLT">#REF!</definedName>
    <definedName name="distr" localSheetId="1" hidden="1">{"wp_h4.2",#N/A,FALSE,"WP_H4.2";"wp_h4.3",#N/A,FALSE,"WP_H4.3"}</definedName>
    <definedName name="distr" localSheetId="3" hidden="1">{"wp_h4.2",#N/A,FALSE,"WP_H4.2";"wp_h4.3",#N/A,FALSE,"WP_H4.3"}</definedName>
    <definedName name="distr" hidden="1">{"wp_h4.2",#N/A,FALSE,"WP_H4.2";"wp_h4.3",#N/A,FALSE,"WP_H4.3"}</definedName>
    <definedName name="DisXOfpKvaChg" localSheetId="3">#REF!</definedName>
    <definedName name="DisXOfpKvaChg">#REF!</definedName>
    <definedName name="DisXOfpKwChg" localSheetId="3">#REF!</definedName>
    <definedName name="DisXOfpKwChg">#REF!</definedName>
    <definedName name="Div_Inc_pb" localSheetId="3" hidden="1">#REF!</definedName>
    <definedName name="Div_Inc_pb" hidden="1">#REF!</definedName>
    <definedName name="DivApb" hidden="1">#REF!</definedName>
    <definedName name="DivBpb" hidden="1">#REF!</definedName>
    <definedName name="DivCpb" hidden="1">#REF!</definedName>
    <definedName name="DivDpb" hidden="1">#REF!</definedName>
    <definedName name="DivEpb" hidden="1">#REF!</definedName>
    <definedName name="DivFpb" hidden="1">#REF!</definedName>
    <definedName name="DivGpb" hidden="1">#REF!</definedName>
    <definedName name="DivHpb" hidden="1">#REF!</definedName>
    <definedName name="Divisional_Toggle" hidden="1">#REF!</definedName>
    <definedName name="DOwnside" hidden="1">#REF!</definedName>
    <definedName name="Dr" hidden="1">#REF!</definedName>
    <definedName name="DR_1">#REF!</definedName>
    <definedName name="DR_10">#REF!</definedName>
    <definedName name="DR_2">#REF!</definedName>
    <definedName name="DR_3">#REF!</definedName>
    <definedName name="DR_4">#REF!</definedName>
    <definedName name="DR_5">#REF!</definedName>
    <definedName name="DR_6">#REF!</definedName>
    <definedName name="DR_7">#REF!</definedName>
    <definedName name="DR_8">#REF!</definedName>
    <definedName name="DR_9">#REF!</definedName>
    <definedName name="Drawing_Bar_Range" hidden="1">#REF!</definedName>
    <definedName name="DS_Prod">#REF!</definedName>
    <definedName name="DS_Reserve">#REF!</definedName>
    <definedName name="DSTCCHG" localSheetId="3">#REF!</definedName>
    <definedName name="DSTCCHG">#REF!</definedName>
    <definedName name="DSTDCHG1" localSheetId="3">#REF!</definedName>
    <definedName name="DSTDCHG1">#REF!</definedName>
    <definedName name="DSTDCHG2" localSheetId="3">#REF!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DT" hidden="1">#REF!</definedName>
    <definedName name="DZ.DropZone" hidden="1">#REF!</definedName>
    <definedName name="DZ.DropZoneIS" hidden="1">#REF!</definedName>
    <definedName name="DZ.IndSpec_Left" hidden="1">#REF!</definedName>
    <definedName name="DZ.IndSpec_Right" hidden="1">#REF!</definedName>
    <definedName name="DZ.LTM" hidden="1">#REF!</definedName>
    <definedName name="dz.LTMDate" hidden="1">#REF!</definedName>
    <definedName name="DZ.LTMPlus" hidden="1">#REF!</definedName>
    <definedName name="e_LowLevelBusinessUnit_417">#REF!</definedName>
    <definedName name="e_PlantAccount_3781">#REF!</definedName>
    <definedName name="E1ENERGY">#REF!</definedName>
    <definedName name="E1FUEL">#REF!</definedName>
    <definedName name="East">#REF!</definedName>
    <definedName name="East_Table">#REF!</definedName>
    <definedName name="EastPSC1" localSheetId="3">#REF!</definedName>
    <definedName name="EastPSC1">#REF!</definedName>
    <definedName name="EastPSC2" localSheetId="3">#REF!</definedName>
    <definedName name="EastPSC2">#REF!</definedName>
    <definedName name="EastPSC3" localSheetId="3">#REF!</definedName>
    <definedName name="EastPSC3">#REF!</definedName>
    <definedName name="EastPSC4">#REF!</definedName>
    <definedName name="EastSRPpsc1">#REF!</definedName>
    <definedName name="EastSRPpsc2">#REF!</definedName>
    <definedName name="EastSRPpsc3">#REF!</definedName>
    <definedName name="EastSRPpsc4">#REF!</definedName>
    <definedName name="EastSRPpsc5">#REF!</definedName>
    <definedName name="EBP_Act">#REF!</definedName>
    <definedName name="EBP_Inact">#REF!</definedName>
    <definedName name="EBP_QP">#REF!</definedName>
    <definedName name="EBP_SRP">#REF!</definedName>
    <definedName name="EBP_SRP_ACT" localSheetId="3">#REF!</definedName>
    <definedName name="EBP_SRP_ACT">#REF!</definedName>
    <definedName name="EBP_SRP1">#REF!</definedName>
    <definedName name="EBP_SRP10">#REF!</definedName>
    <definedName name="EBP_SRP2">#REF!</definedName>
    <definedName name="EBP_SRP3">#REF!</definedName>
    <definedName name="EBP_SRP4">#REF!</definedName>
    <definedName name="EBP_SRP5">#REF!</definedName>
    <definedName name="EBP_SRP6">#REF!</definedName>
    <definedName name="EBP_SRP7">#REF!</definedName>
    <definedName name="EBP_SRP8">#REF!</definedName>
    <definedName name="EBP_SRP9">#REF!</definedName>
    <definedName name="ECF">#REF!</definedName>
    <definedName name="ECONOMYPURCHASES" localSheetId="3">#REF!</definedName>
    <definedName name="ECONOMYPURCHASES">#REF!</definedName>
    <definedName name="EDRBASE" localSheetId="3">#REF!</definedName>
    <definedName name="EDRBASE">#REF!</definedName>
    <definedName name="EDRDATE" localSheetId="3">#REF!</definedName>
    <definedName name="EDRDATE">#REF!</definedName>
    <definedName name="EDRDSCNT">#REF!</definedName>
    <definedName name="EDRLVLPCT">#REF!</definedName>
    <definedName name="EDRTYPE">#REF!</definedName>
    <definedName name="EEEE" localSheetId="1"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EEEE" localSheetId="3"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EEEE"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EFC_SUMMARY" localSheetId="3">#REF!</definedName>
    <definedName name="EFC_SUMMARY">#REF!</definedName>
    <definedName name="EFC_YTD_SM" localSheetId="3">#REF!</definedName>
    <definedName name="EFC_YTD_SM">#REF!</definedName>
    <definedName name="EffDate" localSheetId="3">#REF!</definedName>
    <definedName name="EffDate">#REF!</definedName>
    <definedName name="EFS_Expected_Case" hidden="1">#REF!</definedName>
    <definedName name="ELKMCGN1">#REF!</definedName>
    <definedName name="ELKMCGN2">#REF!</definedName>
    <definedName name="End_Bal">#REF!</definedName>
    <definedName name="End_Bal2">#REF!</definedName>
    <definedName name="End_of_Report" localSheetId="5">#REF!</definedName>
    <definedName name="End_of_Report" localSheetId="1">#REF!</definedName>
    <definedName name="End_of_Report" localSheetId="3">#REF!</definedName>
    <definedName name="End_of_Report">#REF!</definedName>
    <definedName name="End_Print1" localSheetId="5">#REF!</definedName>
    <definedName name="End_Print1" localSheetId="1">#REF!</definedName>
    <definedName name="End_Print1" localSheetId="3">#REF!</definedName>
    <definedName name="End_Print1">#REF!</definedName>
    <definedName name="End_Print2" localSheetId="5">#REF!</definedName>
    <definedName name="End_Print2" localSheetId="1">#REF!</definedName>
    <definedName name="End_Print2" localSheetId="3">#REF!</definedName>
    <definedName name="End_Print2">#REF!</definedName>
    <definedName name="ENDDTM" localSheetId="3">#REF!</definedName>
    <definedName name="ENDDTM">#REF!</definedName>
    <definedName name="EndTime">39456.6725694444</definedName>
    <definedName name="Energy_Loss">#REF!</definedName>
    <definedName name="EntityID">#REF!</definedName>
    <definedName name="EntityName">#REF!</definedName>
    <definedName name="EP">#REF!</definedName>
    <definedName name="er" localSheetId="3" hidden="1">#REF!</definedName>
    <definedName name="er" hidden="1">#REF!</definedName>
    <definedName name="Erlbacher1" localSheetId="3">#REF!</definedName>
    <definedName name="Erlbacher1">#REF!</definedName>
    <definedName name="Erlbacher2" localSheetId="3">#REF!</definedName>
    <definedName name="Erlbacher2">#REF!</definedName>
    <definedName name="ES">#REF!</definedName>
    <definedName name="EstExcessAmt" localSheetId="3">#REF!</definedName>
    <definedName name="EstExcessAmt">#REF!</definedName>
    <definedName name="EstGrTaxAmt" localSheetId="3">#REF!</definedName>
    <definedName name="EstGrTaxAmt">#REF!</definedName>
    <definedName name="EstKWHExcess" localSheetId="3">#REF!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tec">#REF!</definedName>
    <definedName name="ev.Calculation" hidden="1">2</definedName>
    <definedName name="ev.Initialized" hidden="1">FALSE</definedName>
    <definedName name="EV__ALLOWSTOPEXPAND__" hidden="1">1</definedName>
    <definedName name="EV__CVPARAMS__" hidden="1">"Trend!$B$17:$C$38;"</definedName>
    <definedName name="EV__DECIMALSYMBOL__" hidden="1">"."</definedName>
    <definedName name="EV__EVCOM_OPTIONS__" hidden="1">10</definedName>
    <definedName name="EV__EXPOPTIONS__" hidden="1">0</definedName>
    <definedName name="EV__LASTREFTIME__" hidden="1">40773.6362847222</definedName>
    <definedName name="EV__LOCKEDCVW__ACTIVITY_SYSTEM" hidden="1">"ALL_MANAGED,ALL_ACTIVITY,ALL_PROJECT,ALL_PROJTYPE,ACTUAL,ALL_SYSTEM,2005.TOTAL,NUC,PERIODIC,"</definedName>
    <definedName name="EV__LOCKEDCVW__BGE_FP" hidden="1">"INCOMESTATEMENT,ACTUAL,ALL_COMPANIES,TOTALADJ,2002.TOTAL,PERIODIC,"</definedName>
    <definedName name="EV__LOCKEDCVW__CAPITAL" hidden="1">"ACTUAL,MAJOR_CATEGORY,FACTORS,TOTAL_PORTFOLIO,2002.TOTAL,PERIODIC,"</definedName>
    <definedName name="EV__LOCKEDCVW__CGG_PLANNING" hidden="1">"ALL_MANAGED,ALL_CONSOLIDATEDCC,1009,ALL_PAEXP,ALL_PROJECT,ACTUAL,ALL_SYSTEM,2006.TOTAL,ALL_UNIT,PERIODIC,"</definedName>
    <definedName name="EV__LOCKEDCVW__CGG_PLANNING_RPT" hidden="1">"ROLLUP_MANAGED15,ALL_BASENONBASE,ALL_CEFUNCTION,ALL_CONSOLIDATEDCC,ALL_OUTNONOUT,1003,ALL_PAEXP,ALL_PROJECT,ALL_PROJSUBTYPE,ACTUAL,ALL_SYSTEM,2006.NOV,ALL_UNIT,PERIODIC,"</definedName>
    <definedName name="EV__LOCKEDCVW__CGGIR" hidden="1">"ALL_MANAGED,ALL_ACTIVITY,ALL_BASENONBASE,ALL_CONSOLIDATEDCC,ALL_FUELTYP,ALL_INTCO,ALL_INTERCOMPANY,ALL_LEGAL,ALL_MARKET,ALL_OUTNONOUT,1003,ALL_PAEXP,ALL_PRODUCTCAT,ALL_PROJECT,ALL_PROJSUBTYPE,ALL_PROJTYPE,ACTUAL,ALL_SYSTEM,2005.TOTAL,ALL_UNIT,PERIODIC,"</definedName>
    <definedName name="EV__LOCKEDCVW__CGGIR_RPT" hidden="1">"ALL_MANAGED,ALL_ACTIVITY,ALL_BASENONBASE,ALL_CEFUNCTION,ALL_CONSOLIDATEDCC,ALL_FUELTYP,ALL_INTERCOMPANY,ALL_LEGAL,ALL_MARKET,ALL_OUTNONOUT,1003,ALL_PAEXP,ALL_PRODUCTCAT,ALL_PROJECT,ALL_PROJSUBTYPE,ACTUAL,ALL_SYSTEM,2005.TOTAL,ALL_UNIT,PERIODIC,"</definedName>
    <definedName name="EV__LOCKEDCVW__CORPFPA_NEW" hidden="1">"1060,05_09STRATPLANV2,TOTALADJ,313,TOTAL_FUNCTION,BUS,2006.TOTAL,PERIODIC,"</definedName>
    <definedName name="EV__LOCKEDCVW__CPA" hidden="1">"O_M,ALL_ACTIVITIES,2005_ORIGBUDGET,ALL_SPENDERS,ALL_EXPTYPES,ALL_PROCESSES,OM_MAJOR_CATEGORY,2005.TOTAL,PERIODIC,"</definedName>
    <definedName name="EV__LOCKEDCVW__ECB" hidden="1">"ALL_COSTCENTER,ALL_EMPLOYEES,AVAILABLEHRS,1003,ALL_PROJECT,ACTUAL,2004.TOTAL,PERIODIC,"</definedName>
    <definedName name="EV__LOCKEDCVW__ETL" hidden="1">"ACTUAL,PYXIS,POSTCLOSE,2005.TOTAL,PERIODIC,"</definedName>
    <definedName name="EV__LOCKEDCVW__FINANCIAL_REPORTING" hidden="1">"CNE,EBITDA,3Q07FCST,USD,PERIODIC,AllActivities,TotalAdj,AllFunctions,AllProducts,All_Projects,Total_Channel,All_Lines,All_Segments,2007.TOTAL,"</definedName>
    <definedName name="EV__LOCKEDCVW__FPA" hidden="1">"BUDGET,TotWithAlloc,FL1_100,514000,All_Interco,LC,2007.TOTAL,PERIODIC,"</definedName>
    <definedName name="EV__LOCKEDCVW__FPA_GROWTH" hidden="1">"ACTUAL,TotWithAlloc,MgmtReporting,BalanceSheet,AllGrowth,All_Interco,LC,BASESCENARIO,2004.TOTAL,PERIODIC,"</definedName>
    <definedName name="EV__LOCKEDCVW__FUEL_MARKET_PRODUCT" hidden="1">"ALL_MANAGED,ALL_BASENONBASE,ALL_CONSOLIDATEDCC,ALL_FUELTYP,ALL_LEGAL,ALL_MARKET,ALL_OUTNONOUT,ALL_PRODUCTCAT,ALL_PROJTYPE,ACTUAL,2005.TOTAL,NUC,PERIODIC,"</definedName>
    <definedName name="EV__LOCKEDCVW__GROSS_MARGIN" hidden="1">"ACTUAL,Total_Channel,TotalAdj,Tot_GMT,AllProducts,E100,All_Lines,LC,All_Segments,TotalStatus,2007.FEB,PERIODIC,"</definedName>
    <definedName name="EV__LOCKEDCVW__GROSSMARGIN" hidden="1">"BUDGET929,Adj,FinancialHedges,SC_Contracts,LC,2008.TOTAL,PERIODIC,"</definedName>
    <definedName name="EV__LOCKEDCVW__KPI_OPS" hidden="1">"ALL_ACCTKPI,ALL_FUELTYP,ALL_MARKET,ALL_PRODUCTCAT,ACTUAL,KPIOPS_FINAL,2005.TOTAL,NUC,PERIODIC,"</definedName>
    <definedName name="EV__LOCKEDCVW__MANAGED" hidden="1">"ALL_MANAGED,ALL_CONSOLIDATEDCC,ALL_LEGAL,1003,ACTUAL,2005.TOTAL,PERIODIC,"</definedName>
    <definedName name="EV__LOCKEDCVW__MANAGED_3RDPARTY" hidden="1">"EQUITYMETHINVEST,ALL_CONSOLIDATEDCC,ALL_LEGAL,1003,ACTUAL,2005.TOTAL,PERIODIC,"</definedName>
    <definedName name="EV__LOCKEDCVW__PLANT" hidden="1">"ALL_MANAGED,ALL_BASENONBASE,ALL_OUTNONOUT,ALL_PROJECT,ALL_PROJSUBTYPE,ALL_PROJTYPE,ACTUAL,NONALLOC,2005.TOTAL,NUC,PERIODIC,"</definedName>
    <definedName name="EV__LOCKEDCVW__PROJECT" hidden="1">"ACTUAL,TotWithAdj,MgmtReporting,150000,AllProjects,AllRFEProjects,LC,2004.TOTAL,PERIODIC,"</definedName>
    <definedName name="EV__LOCKEDCVW__RATE" hidden="1">"ACTUAL,USD,Avg,RateInput,2002.TOTAL,PERIODIC,"</definedName>
    <definedName name="EV__LOCKEDCVW__RESPONSIBILITY" hidden="1">"ROLLUP_MANAGED5,033,1009,16081ZZZ_EXP,ALL_PROJECT,ALL_PROJSUBTYPE,ALL_PROJTYPE,ACTUAL,2006.DEC,PERIODIC,"</definedName>
    <definedName name="EV__LOCKEDCVW__SALES_RATE" hidden="1">"USD,Avg,RateInput,ACTUAL,2005.TOTAL,PERIODIC,"</definedName>
    <definedName name="EV__LOCKEDCVW__SLR" hidden="1">"2005_ORIGBUDGET,ALL_EXPTYPES,STATISTICAL_ACCOUNTS,ALL_COMPANIES,ALL_EMPLOYEES,M10001,2005.TOTAL,PERIODIC,"</definedName>
    <definedName name="EV__LOCKEDCVW__STAFF_PLANNING" hidden="1">"ACTUAL,Total_Channel,TotalAdj,AllEmployment,All_Lines,E100,USD,All_Segments,DATAACCOUNTS,AllFunctions,Total_Location,2002.TOTAL,PERIODIC,"</definedName>
    <definedName name="EV__LOCKEDCVW__WEEKLY_SALES" hidden="1">"All_BDM,Total_Size,Total_Channel,TOTAL_Signings,TotalAdj,Total_LeadSource,All_Lines,USD,Sales_Accounts,ACTUAL,Total_Product,CNI,2005.TOTAL,All_SIC_CODES,Total_Utility,PERIODIC,"</definedName>
    <definedName name="EV__LOCKSTATUS__" hidden="1">1</definedName>
    <definedName name="EV__MAXEXPCOLS__" hidden="1">100</definedName>
    <definedName name="EV__MAXEXPROWS__" hidden="1">1000</definedName>
    <definedName name="EV__MEMORYCVW__" hidden="1">0</definedName>
    <definedName name="EV__WBEVMODE__" hidden="1">1</definedName>
    <definedName name="EV__WBREFOPTIONS__" hidden="1">134217791</definedName>
    <definedName name="EV__WBVERSION__" hidden="1">0</definedName>
    <definedName name="EV__WSINFO__" hidden="1">"cegfpa"</definedName>
    <definedName name="Ex_Frequency">#REF!</definedName>
    <definedName name="Exchange_Rates" localSheetId="3" hidden="1">#REF!</definedName>
    <definedName name="Exchange_Rates" hidden="1">#REF!</definedName>
    <definedName name="EXCSKVACHG" localSheetId="3">#REF!</definedName>
    <definedName name="EXCSKVACHG">#REF!</definedName>
    <definedName name="EXCSKVADMND" localSheetId="3">#REF!</definedName>
    <definedName name="EXCSKVADMND">#REF!</definedName>
    <definedName name="EXCSKVAR">#REF!</definedName>
    <definedName name="EXP5617X">#REF!</definedName>
    <definedName name="EXPPROD">#REF!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ension">#REF!</definedName>
    <definedName name="Extra_Pay">#REF!</definedName>
    <definedName name="_xlnm.Extract" localSheetId="3">#REF!</definedName>
    <definedName name="_xlnm.Extract">#REF!</definedName>
    <definedName name="Extracts_Hide">#REF!</definedName>
    <definedName name="f"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ake" localSheetId="3">#REF!</definedName>
    <definedName name="fake">#REF!</definedName>
    <definedName name="FAS35InfoValYear">#REF!</definedName>
    <definedName name="FAS87INFO2013">#REF!</definedName>
    <definedName name="FAS87InfoValYear">#REF!</definedName>
    <definedName name="FAS87InfoValYearSRP">#REF!</definedName>
    <definedName name="FBULL5" localSheetId="3">#REF!</definedName>
    <definedName name="FBULL5">#REF!</definedName>
    <definedName name="FCF">#REF!</definedName>
    <definedName name="fcst" localSheetId="3">#REF!</definedName>
    <definedName name="fcst">#REF!</definedName>
    <definedName name="FCTCcalcN">"optbox_FCcalcN"</definedName>
    <definedName name="FCTCcalcY">"optbox_FccalcY"</definedName>
    <definedName name="fdsafasdsfdsa" localSheetId="3" hidden="1">#REF!</definedName>
    <definedName name="fdsafasdsfdsa" hidden="1">#REF!</definedName>
    <definedName name="FEB" localSheetId="3">#REF!</definedName>
    <definedName name="FEB">#REF!</definedName>
    <definedName name="FEBRUARYFACTOR" localSheetId="3">#REF!</definedName>
    <definedName name="FEBRUARYFACTOR">#REF!</definedName>
    <definedName name="FEBRUARYINTEREST" localSheetId="3">#REF!</definedName>
    <definedName name="FEBRUARYINTEREST">#REF!</definedName>
    <definedName name="FEBRUARYSURCHARGE" localSheetId="3">#REF!</definedName>
    <definedName name="FEBRUARYSURCHARGE">#REF!</definedName>
    <definedName name="Fed_Bonus_Red">#REF!</definedName>
    <definedName name="Fed_Depr_Adj">#REF!</definedName>
    <definedName name="Fed_Resv_Adj">#REF!</definedName>
    <definedName name="Fed_Tax_Accts">#REF!</definedName>
    <definedName name="Fed_tax_credit">#REF!</definedName>
    <definedName name="Fed_tax_rate">#REF!</definedName>
    <definedName name="FERC_Account" localSheetId="3">#REF!</definedName>
    <definedName name="FERC_Account">#REF!</definedName>
    <definedName name="FERC_LEVEL_2" localSheetId="3">#REF!</definedName>
    <definedName name="FERC_LEVEL_2">#REF!</definedName>
    <definedName name="ff" localSheetId="3">#REF!</definedName>
    <definedName name="ff">#REF!</definedName>
    <definedName name="ffffff"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fff"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fffff"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FIELD">#REF!</definedName>
    <definedName name="field35">#REF!</definedName>
    <definedName name="FieldFund">#REF!</definedName>
    <definedName name="FIRMKWH">#REF!</definedName>
    <definedName name="FIRSTDAY">#REF!</definedName>
    <definedName name="FirstYear" hidden="1">#REF!</definedName>
    <definedName name="Fiscal_Period" localSheetId="3">#REF!</definedName>
    <definedName name="Fiscal_Period">#REF!</definedName>
    <definedName name="Fiscal_Year" localSheetId="3">#REF!</definedName>
    <definedName name="Fiscal_Year">#REF!</definedName>
    <definedName name="FiscalMonth" hidden="1">#REF!</definedName>
    <definedName name="FIX" localSheetId="3">#REF!</definedName>
    <definedName name="FIX">#REF!</definedName>
    <definedName name="Fixed1Adder" hidden="1">#REF!</definedName>
    <definedName name="Fixed1Name" hidden="1">#REF!</definedName>
    <definedName name="Fixed2Name" hidden="1">#REF!</definedName>
    <definedName name="Fixed3Name" hidden="1">#REF!</definedName>
    <definedName name="FLRATE">#REF!</definedName>
    <definedName name="FnOffset">#REF!</definedName>
    <definedName name="ForecastResults">#REF!</definedName>
    <definedName name="FORM" localSheetId="3">#REF!</definedName>
    <definedName name="FORM">#REF!</definedName>
    <definedName name="FOUR" localSheetId="3">#REF!</definedName>
    <definedName name="FOUR">#REF!</definedName>
    <definedName name="FPTD" hidden="1">#REF!</definedName>
    <definedName name="FRMCPCT" localSheetId="3">#REF!</definedName>
    <definedName name="FRMCPCT">#REF!</definedName>
    <definedName name="FSoPacific" localSheetId="1" hidden="1">{"BS",#N/A,FALSE,"USA"}</definedName>
    <definedName name="FSoPacific" localSheetId="3" hidden="1">{"BS",#N/A,FALSE,"USA"}</definedName>
    <definedName name="FSoPacific" hidden="1">{"BS",#N/A,FALSE,"USA"}</definedName>
    <definedName name="FUELBYTYPE">#REF!</definedName>
    <definedName name="FUELCHG">#REF!</definedName>
    <definedName name="fuelco_wrn.test1." localSheetId="1" hidden="1">{"Income Statement",#N/A,FALSE,"CFMODEL";"Balance Sheet",#N/A,FALSE,"CFMODEL"}</definedName>
    <definedName name="fuelco_wrn.test1." localSheetId="3" hidden="1">{"Income Statement",#N/A,FALSE,"CFMODEL";"Balance Sheet",#N/A,FALSE,"CFMODEL"}</definedName>
    <definedName name="fuelco_wrn.test1." hidden="1">{"Income Statement",#N/A,FALSE,"CFMODEL";"Balance Sheet",#N/A,FALSE,"CFMODEL"}</definedName>
    <definedName name="fuelco_wrn.test2." localSheetId="1" hidden="1">{"SourcesUses",#N/A,TRUE,"CFMODEL";"TransOverview",#N/A,TRUE,"CFMODEL"}</definedName>
    <definedName name="fuelco_wrn.test2." localSheetId="3" hidden="1">{"SourcesUses",#N/A,TRUE,"CFMODEL";"TransOverview",#N/A,TRUE,"CFMODEL"}</definedName>
    <definedName name="fuelco_wrn.test2." hidden="1">{"SourcesUses",#N/A,TRUE,"CFMODEL";"TransOverview",#N/A,TRUE,"CFMODEL"}</definedName>
    <definedName name="fuelco_wrn.test3." localSheetId="1" hidden="1">{"SourcesUses",#N/A,TRUE,#N/A;"TransOverview",#N/A,TRUE,"CFMODEL"}</definedName>
    <definedName name="fuelco_wrn.test3." localSheetId="3" hidden="1">{"SourcesUses",#N/A,TRUE,#N/A;"TransOverview",#N/A,TRUE,"CFMODEL"}</definedName>
    <definedName name="fuelco_wrn.test3." hidden="1">{"SourcesUses",#N/A,TRUE,#N/A;"TransOverview",#N/A,TRUE,"CFMODEL"}</definedName>
    <definedName name="fuelco_wrn.test4." localSheetId="1" hidden="1">{"SourcesUses",#N/A,TRUE,"FundsFlow";"TransOverview",#N/A,TRUE,"FundsFlow"}</definedName>
    <definedName name="fuelco_wrn.test4." localSheetId="3" hidden="1">{"SourcesUses",#N/A,TRUE,"FundsFlow";"TransOverview",#N/A,TRUE,"FundsFlow"}</definedName>
    <definedName name="fuelco_wrn.test4." hidden="1">{"SourcesUses",#N/A,TRUE,"FundsFlow";"TransOverview",#N/A,TRUE,"FundsFlow"}</definedName>
    <definedName name="FuelCycle" localSheetId="1" hidden="1">{#N/A,#N/A,FALSE,"AltFuel"}</definedName>
    <definedName name="FuelCycle" localSheetId="3" hidden="1">{#N/A,#N/A,FALSE,"AltFuel"}</definedName>
    <definedName name="FuelCycle" hidden="1">{#N/A,#N/A,FALSE,"AltFuel"}</definedName>
    <definedName name="FUELRATE">#REF!</definedName>
    <definedName name="Full_Print">#REF!</definedName>
    <definedName name="Full_Sample" localSheetId="3">#REF!</definedName>
    <definedName name="Full_Sample">#REF!</definedName>
    <definedName name="FundingInfoValYear">#REF!</definedName>
    <definedName name="future_cost_1">#REF!</definedName>
    <definedName name="future_cost_2">#REF!</definedName>
    <definedName name="future_dep_1">#REF!</definedName>
    <definedName name="future_dep_2">#REF!</definedName>
    <definedName name="future_yr_1">#REF!</definedName>
    <definedName name="future_yr_2">#REF!</definedName>
    <definedName name="g" localSheetId="3" hidden="1">#REF!</definedName>
    <definedName name="g" hidden="1">#REF!</definedName>
    <definedName name="Gas.calc" localSheetId="1" hidden="1">{"ARK_JURIS_FAC",#N/A,FALSE,"Ark_Fuel&amp;Rev"}</definedName>
    <definedName name="Gas.calc" localSheetId="3" hidden="1">{"ARK_JURIS_FAC",#N/A,FALSE,"Ark_Fuel&amp;Rev"}</definedName>
    <definedName name="Gas.calc" hidden="1">{"ARK_JURIS_FAC",#N/A,FALSE,"Ark_Fuel&amp;Rev"}</definedName>
    <definedName name="gdgdag" hidden="1">#REF!</definedName>
    <definedName name="GenBlkKwhChg1" localSheetId="3">#REF!</definedName>
    <definedName name="GenBlkKwhChg1">#REF!</definedName>
    <definedName name="GenBlkKwhChg2" localSheetId="3">#REF!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eral" hidden="1">#REF!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hghjghg" hidden="1">#REF!</definedName>
    <definedName name="gilb.wrn.test2." localSheetId="1" hidden="1">{"SourcesUses",#N/A,TRUE,"CFMODEL";"TransOverview",#N/A,TRUE,"CFMODEL"}</definedName>
    <definedName name="gilb.wrn.test2." localSheetId="3" hidden="1">{"SourcesUses",#N/A,TRUE,"CFMODEL";"TransOverview",#N/A,TRUE,"CFMODEL"}</definedName>
    <definedName name="gilb.wrn.test2." hidden="1">{"SourcesUses",#N/A,TRUE,"CFMODEL";"TransOverview",#N/A,TRUE,"CFMODEL"}</definedName>
    <definedName name="gilb.wrn.test3." localSheetId="1" hidden="1">{"SourcesUses",#N/A,TRUE,#N/A;"TransOverview",#N/A,TRUE,"CFMODEL"}</definedName>
    <definedName name="gilb.wrn.test3." localSheetId="3" hidden="1">{"SourcesUses",#N/A,TRUE,#N/A;"TransOverview",#N/A,TRUE,"CFMODEL"}</definedName>
    <definedName name="gilb.wrn.test3." hidden="1">{"SourcesUses",#N/A,TRUE,#N/A;"TransOverview",#N/A,TRUE,"CFMODEL"}</definedName>
    <definedName name="gilb.wrn.test4." localSheetId="1" hidden="1">{"SourcesUses",#N/A,TRUE,"FundsFlow";"TransOverview",#N/A,TRUE,"FundsFlow"}</definedName>
    <definedName name="gilb.wrn.test4." localSheetId="3" hidden="1">{"SourcesUses",#N/A,TRUE,"FundsFlow";"TransOverview",#N/A,TRUE,"FundsFlow"}</definedName>
    <definedName name="gilb.wrn.test4." hidden="1">{"SourcesUses",#N/A,TRUE,"FundsFlow";"TransOverview",#N/A,TRUE,"FundsFlow"}</definedName>
    <definedName name="gilb_wrn.test1" localSheetId="1" hidden="1">{"Income Statement",#N/A,FALSE,"CFMODEL";"Balance Sheet",#N/A,FALSE,"CFMODEL"}</definedName>
    <definedName name="gilb_wrn.test1" localSheetId="3" hidden="1">{"Income Statement",#N/A,FALSE,"CFMODEL";"Balance Sheet",#N/A,FALSE,"CFMODEL"}</definedName>
    <definedName name="gilb_wrn.test1" hidden="1">{"Income Statement",#N/A,FALSE,"CFMODEL";"Balance Sheet",#N/A,FALSE,"CFMODEL"}</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GOD" localSheetId="1" hidden="1">{#N/A,#N/A,TRUE,"Facility-Input";#N/A,#N/A,TRUE,"Graphs";#N/A,#N/A,TRUE,"TOTAL"}</definedName>
    <definedName name="GOD" localSheetId="3" hidden="1">{#N/A,#N/A,TRUE,"Facility-Input";#N/A,#N/A,TRUE,"Graphs";#N/A,#N/A,TRUE,"TOTAL"}</definedName>
    <definedName name="GOD" hidden="1">{#N/A,#N/A,TRUE,"Facility-Input";#N/A,#N/A,TRUE,"Graphs";#N/A,#N/A,TRUE,"TOTAL"}</definedName>
    <definedName name="golly" localSheetId="1" hidden="1">{#N/A,#N/A,TRUE,"Facility-Input";#N/A,#N/A,TRUE,"Graphs";#N/A,#N/A,TRUE,"TOTAL"}</definedName>
    <definedName name="golly" localSheetId="3" hidden="1">{#N/A,#N/A,TRUE,"Facility-Input";#N/A,#N/A,TRUE,"Graphs";#N/A,#N/A,TRUE,"TOTAL"}</definedName>
    <definedName name="golly" hidden="1">{#N/A,#N/A,TRUE,"Facility-Input";#N/A,#N/A,TRUE,"Graphs";#N/A,#N/A,TRUE,"TOTAL"}</definedName>
    <definedName name="GOODBYE" localSheetId="1" hidden="1">{#N/A,#N/A,TRUE,"Facility-Input";#N/A,#N/A,TRUE,"Graphs";#N/A,#N/A,TRUE,"TOTAL"}</definedName>
    <definedName name="GOODBYE" localSheetId="3" hidden="1">{#N/A,#N/A,TRUE,"Facility-Input";#N/A,#N/A,TRUE,"Graphs";#N/A,#N/A,TRUE,"TOTAL"}</definedName>
    <definedName name="GOODBYE" hidden="1">{#N/A,#N/A,TRUE,"Facility-Input";#N/A,#N/A,TRUE,"Graphs";#N/A,#N/A,TRUE,"TOTAL"}</definedName>
    <definedName name="GPA_Table">#REF!</definedName>
    <definedName name="greenbelt" localSheetId="3">#REF!</definedName>
    <definedName name="greenbelt">#REF!</definedName>
    <definedName name="GreenTagAdder" hidden="1">#REF!</definedName>
    <definedName name="GROSSPLT" localSheetId="3">#REF!</definedName>
    <definedName name="GROSSPLT">#REF!</definedName>
    <definedName name="haha" localSheetId="1" hidden="1">{"OMPA_FAC",#N/A,FALSE,"OMPA FAC"}</definedName>
    <definedName name="haha" localSheetId="3" hidden="1">{"OMPA_FAC",#N/A,FALSE,"OMPA FAC"}</definedName>
    <definedName name="haha" hidden="1">{"OMPA_FAC",#N/A,FALSE,"OMPA FAC"}</definedName>
    <definedName name="HEAD1" localSheetId="3">#REF!</definedName>
    <definedName name="HEAD1">#REF!</definedName>
    <definedName name="HEAD2" localSheetId="3">#REF!</definedName>
    <definedName name="HEAD2">#REF!</definedName>
    <definedName name="HEAD3" localSheetId="3">#REF!</definedName>
    <definedName name="HEAD3">#REF!</definedName>
    <definedName name="HEAD4">#REF!</definedName>
    <definedName name="HEAD5">#REF!</definedName>
    <definedName name="HEAD6">#REF!</definedName>
    <definedName name="HEAD7">#REF!</definedName>
    <definedName name="HEAD8">#REF!</definedName>
    <definedName name="HEADA">#REF!</definedName>
    <definedName name="HEADB">#REF!</definedName>
    <definedName name="HEADC">#REF!</definedName>
    <definedName name="Header_Row">ROW(#REF!)</definedName>
    <definedName name="HeaderI" localSheetId="3">#REF!</definedName>
    <definedName name="HeaderI">#REF!</definedName>
    <definedName name="HEADI" localSheetId="3">#REF!</definedName>
    <definedName name="HEADI">#REF!</definedName>
    <definedName name="Hedges">#REF!</definedName>
    <definedName name="hello" localSheetId="1" hidden="1">{#N/A,#N/A,TRUE,"Facility-Input";#N/A,#N/A,TRUE,"Graphs";#N/A,#N/A,TRUE,"TOTAL"}</definedName>
    <definedName name="hello" localSheetId="3" hidden="1">{#N/A,#N/A,TRUE,"Facility-Input";#N/A,#N/A,TRUE,"Graphs";#N/A,#N/A,TRUE,"TOTAL"}</definedName>
    <definedName name="hello" hidden="1">{#N/A,#N/A,TRUE,"Facility-Input";#N/A,#N/A,TRUE,"Graphs";#N/A,#N/A,TRUE,"TOTAL"}</definedName>
    <definedName name="hi" hidden="1">#REF!</definedName>
    <definedName name="HIPREKW" localSheetId="3">#REF!</definedName>
    <definedName name="HIPREKW">#REF!</definedName>
    <definedName name="Hist3Yr_ASBHrsPerFTE">#REF!</definedName>
    <definedName name="Hist3Yr_CrewProductivity">#REF!</definedName>
    <definedName name="Hist3Yr_DesignAccuracy">#REF!</definedName>
    <definedName name="Hist3Yr_DistLaborCostPerASBHour">#REF!</definedName>
    <definedName name="Hist3Yr_EngineeringProductivity">#REF!</definedName>
    <definedName name="Hist3Yr_IncidentRate">#REF!</definedName>
    <definedName name="Hist3Yr_JobsiteAvailability">#REF!</definedName>
    <definedName name="Hist3Yr_JobsiteEfficiency">#REF!</definedName>
    <definedName name="Hist3Yr_MROCostPerOrder">#REF!</definedName>
    <definedName name="Hist3Yr_MROProductivity">#REF!</definedName>
    <definedName name="Hist3Yr_OTDistLine">#REF!</definedName>
    <definedName name="Hist3Yr_OTEng">#REF!</definedName>
    <definedName name="Hist3Yr_OTMRO">#REF!</definedName>
    <definedName name="Hist3Yr_OverheadContractorLabor">#REF!</definedName>
    <definedName name="Hist3Yr_SeverityRate">#REF!</definedName>
    <definedName name="Hist3Yr_TotalDistCostPerASBHour">#REF!</definedName>
    <definedName name="HMMM" localSheetId="1"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HMMM" localSheetId="3"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HMMM"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Aggregate" hidden="1">#REF!</definedName>
    <definedName name="hn.CompanyInfo" hidden="1">#REF!</definedName>
    <definedName name="hn.CompanyName" hidden="1">#REF!</definedName>
    <definedName name="hn.CompanyUCN" hidden="1">#REF!</definedName>
    <definedName name="hn.ConvertVal1" hidden="1">#REF!</definedName>
    <definedName name="hn.ConvertZero1" localSheetId="3" hidden="1">#REF!,#REF!,#REF!,#REF!,#REF!,#REF!,#REF!,#REF!,#REF!,#REF!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definedName>
    <definedName name="hn.domestic" hidden="1">#REF!</definedName>
    <definedName name="hn.DomesticFlag" hidden="1">#REF!</definedName>
    <definedName name="hn.DZ_MultByFXRates" hidden="1">#REF!,#REF!,#REF!,#REF!</definedName>
    <definedName name="hn.DZdata" hidden="1">#REF!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IssuerID" hidden="1">#REF!</definedName>
    <definedName name="hn.IssuerNameShort"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ObligorGrade" hidden="1">#REF!</definedName>
    <definedName name="hn.ParentName" hidden="1">#REF!</definedName>
    <definedName name="hn.ParentUCN" hidden="1">#REF!</definedName>
    <definedName name="hn.ParityCheck" hidden="1">#REF!</definedName>
    <definedName name="hn.PrivateEndMonth" hidden="1">#REF!</definedName>
    <definedName name="hn.PrivateLTM" hidden="1">#REF!</definedName>
    <definedName name="hn.PrivateLTMYear" hidden="1">#REF!</definedName>
    <definedName name="hn.PrivateQuarter" hidden="1">#REF!</definedName>
    <definedName name="hn.PrivateYear" hidden="1">#REF!</definedName>
    <definedName name="hn.PrivateYearEnd" hidden="1">#REF!</definedName>
    <definedName name="hn.PublicFlag" hidden="1">#REF!</definedName>
    <definedName name="hn.ReviewDescription" hidden="1">#REF!</definedName>
    <definedName name="hn.ReviewID" hidden="1">#REF!</definedName>
    <definedName name="hn.ReviewYear" hidden="1">#REF!</definedName>
    <definedName name="hn.Segment" hidden="1">#REF!</definedName>
    <definedName name="hn.SegmentDesc" hidden="1">#REF!</definedName>
    <definedName name="hn.SegmentID" hidden="1">#REF!</definedName>
    <definedName name="hn.Ticker" hidden="1">#REF!</definedName>
    <definedName name="hn.UserLogin" hidden="1">#REF!</definedName>
    <definedName name="hn.USLast" hidden="1">#REF!</definedName>
    <definedName name="hn.YearLabel" hidden="1">#REF!</definedName>
    <definedName name="HOPEBENTONTEXLARAYBURNKWH">#REF!</definedName>
    <definedName name="HOPEENERGYADJUSTMENT">#REF!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HTML_CodePage" hidden="1">1252</definedName>
    <definedName name="HTML_Control" localSheetId="1" hidden="1">{"'Bellville Acetylene'!$A$1:$L$99"}</definedName>
    <definedName name="HTML_Control" localSheetId="3" hidden="1">{"'Bellville Acetylene'!$A$1:$L$99"}</definedName>
    <definedName name="HTML_Control" hidden="1">{"'Bellville Acetylene'!$A$1:$L$99"}</definedName>
    <definedName name="HTML_Description" hidden="1">""</definedName>
    <definedName name="HTML_Email" hidden="1">"jaymckeown@westernintl.com"</definedName>
    <definedName name="HTML_Header" hidden="1">"Western Summary"</definedName>
    <definedName name="HTML_LastUpdate" hidden="1">"3/13/02"</definedName>
    <definedName name="HTML_LineAfter" hidden="1">FALSE</definedName>
    <definedName name="HTML_LineBefore" hidden="1">FALSE</definedName>
    <definedName name="HTML_Name" hidden="1">"Jay McKeown"</definedName>
    <definedName name="HTML_OBDlg2" hidden="1">TRUE</definedName>
    <definedName name="HTML_OBDlg4" hidden="1">TRUE</definedName>
    <definedName name="HTML_OS" hidden="1">0</definedName>
    <definedName name="HTML_PathFile" hidden="1">"W:\JayM\Excel\Western\Financial Statements\2002\Western Summary.htm"</definedName>
    <definedName name="HTML_PathFileMac" hidden="1">"Senna:shockwave.com:Statistics:Customer support:SWCS_stats.html"</definedName>
    <definedName name="HTML_Title" hidden="1">"February 2002 Department Financial Statement"</definedName>
    <definedName name="HTML1_1" hidden="1">"'[PRODSETL.XLS]Monthly Summary'!$A$4:$K$98"</definedName>
    <definedName name="HTML1_10" hidden="1">""</definedName>
    <definedName name="HTML1_11" hidden="1">1</definedName>
    <definedName name="HTML1_12" hidden="1">"c:\temp\test.html"</definedName>
    <definedName name="HTML1_2" hidden="1">1</definedName>
    <definedName name="HTML1_3" hidden="1">"Product Settlement"</definedName>
    <definedName name="HTML1_4" hidden="1">"Monthly Summary"</definedName>
    <definedName name="HTML1_5" hidden="1">""</definedName>
    <definedName name="HTML1_6" hidden="1">-4146</definedName>
    <definedName name="HTML1_7" hidden="1">1</definedName>
    <definedName name="HTML1_8" hidden="1">"02/11/97"</definedName>
    <definedName name="HTML1_9" hidden="1">"Conoco"</definedName>
    <definedName name="HTML10_1" hidden="1">"'[PRODSETL.XLS]PS&amp;CM OTC Monthly Summary'!$A$4:$K$93"</definedName>
    <definedName name="HTML10_10" hidden="1">""</definedName>
    <definedName name="HTML10_11" hidden="1">1</definedName>
    <definedName name="HTML10_12" hidden="1">"Q:\DNSTREAM\COMMOPS\TRADING\PSOTCMTD.HTM"</definedName>
    <definedName name="HTML10_2" hidden="1">1</definedName>
    <definedName name="HTML10_3" hidden="1">"PS&amp;CM OTC Monthly Summary"</definedName>
    <definedName name="HTML10_4" hidden="1">"PS&amp;CM OTC Monthly Summary"</definedName>
    <definedName name="HTML10_5" hidden="1">""</definedName>
    <definedName name="HTML10_6" hidden="1">-4146</definedName>
    <definedName name="HTML10_7" hidden="1">-4146</definedName>
    <definedName name="HTML10_8" hidden="1">"9/2/97"</definedName>
    <definedName name="HTML10_9" hidden="1">"Jeff Rehlen ETN 639-3012"</definedName>
    <definedName name="HTML11_1" hidden="1">"'[PRODSETL.XLS]PS&amp;CM OTC Monthly Summary'!$A$6:$K$85"</definedName>
    <definedName name="HTML11_10" hidden="1">""</definedName>
    <definedName name="HTML11_11" hidden="1">1</definedName>
    <definedName name="HTML11_12" hidden="1">"Q:\DNSTREAM\COMMOPS\TRADING\PSOTCMTD.HTM"</definedName>
    <definedName name="HTML11_2" hidden="1">1</definedName>
    <definedName name="HTML11_3" hidden="1">"PS&amp;CM OTC Monthly Summary"</definedName>
    <definedName name="HTML11_4" hidden="1">"PS&amp;CM OTC Monthly Summary"</definedName>
    <definedName name="HTML11_5" hidden="1">""</definedName>
    <definedName name="HTML11_6" hidden="1">-4146</definedName>
    <definedName name="HTML11_7" hidden="1">-4146</definedName>
    <definedName name="HTML11_8" hidden="1">"10/1/97"</definedName>
    <definedName name="HTML11_9" hidden="1">"Jeff Rehlen ETN 639-3012"</definedName>
    <definedName name="HTML12_1" hidden="1">"'[PRODSETL.XLS]PS&amp;CM OTC Monthly Summary'!$A$1:$C$4"</definedName>
    <definedName name="HTML12_10" hidden="1">""</definedName>
    <definedName name="HTML12_11" hidden="1">1</definedName>
    <definedName name="HTML12_12" hidden="1">"Q:\DNSTREAM\COMMOPS\TRADING\PSOTCMTD.HTM"</definedName>
    <definedName name="HTML12_2" hidden="1">1</definedName>
    <definedName name="HTML12_3" hidden="1">"PS&amp;CM OTC Monthly Summary"</definedName>
    <definedName name="HTML12_4" hidden="1">"PS&amp;CM OTC Monthly Summary"</definedName>
    <definedName name="HTML12_5" hidden="1">""</definedName>
    <definedName name="HTML12_6" hidden="1">-4146</definedName>
    <definedName name="HTML12_7" hidden="1">-4146</definedName>
    <definedName name="HTML12_8" hidden="1">"11/4/97"</definedName>
    <definedName name="HTML12_9" hidden="1">"Jeff Rehlen ETN 639-3012"</definedName>
    <definedName name="HTML13_1" hidden="1">"'[PRODSETL.XLS]PS&amp;CM OTC Monthly Summary'!$A$1:$K$115"</definedName>
    <definedName name="HTML13_10" hidden="1">""</definedName>
    <definedName name="HTML13_11" hidden="1">1</definedName>
    <definedName name="HTML13_12" hidden="1">"Q:\DNSTREAM\COMMOPS\TRADING\PSOTCMTD.HTM"</definedName>
    <definedName name="HTML13_2" hidden="1">1</definedName>
    <definedName name="HTML13_3" hidden="1">"PS&amp;CM OTC Monthly Summary"</definedName>
    <definedName name="HTML13_4" hidden="1">"PS&amp;CM OTC Monthly Summary"</definedName>
    <definedName name="HTML13_5" hidden="1">""</definedName>
    <definedName name="HTML13_6" hidden="1">-4146</definedName>
    <definedName name="HTML13_7" hidden="1">-4146</definedName>
    <definedName name="HTML13_8" hidden="1">"11/4/97"</definedName>
    <definedName name="HTML13_9" hidden="1">"Jeff Rehlen ETN 639-3012"</definedName>
    <definedName name="HTML14_1" hidden="1">"'[PRODSETL.XLS]PS&amp;CM OTC Monthly Summary'!$A$6:$K$115"</definedName>
    <definedName name="HTML14_10" hidden="1">""</definedName>
    <definedName name="HTML14_11" hidden="1">1</definedName>
    <definedName name="HTML14_12" hidden="1">"Q:\DNSTREAM\COMMOPS\TRADING\PSOTCMTD.HTM"</definedName>
    <definedName name="HTML14_2" hidden="1">1</definedName>
    <definedName name="HTML14_3" hidden="1">"PS&amp;CM OTC Monthly Summary"</definedName>
    <definedName name="HTML14_4" hidden="1">"PS&amp;CM OTC Monthly Summary"</definedName>
    <definedName name="HTML14_5" hidden="1">""</definedName>
    <definedName name="HTML14_6" hidden="1">-4146</definedName>
    <definedName name="HTML14_7" hidden="1">-4146</definedName>
    <definedName name="HTML14_8" hidden="1">"11/4/97"</definedName>
    <definedName name="HTML14_9" hidden="1">"Jeff Rehlen ETN 639-3012"</definedName>
    <definedName name="HTML2_1" hidden="1">"'[PRODSETL.XLS]Y-T-D Summary'!$A$1:$Y$168"</definedName>
    <definedName name="HTML2_10" hidden="1">"For More Information:  Bob De Young"</definedName>
    <definedName name="HTML2_11" hidden="1">1</definedName>
    <definedName name="HTML2_12" hidden="1">"C:\TEMP\TEST.HTM"</definedName>
    <definedName name="HTML2_2" hidden="1">1</definedName>
    <definedName name="HTML2_3" hidden="1">"PS&amp;CM OTC Y-T-D Summary"</definedName>
    <definedName name="HTML2_4" hidden="1">"PS&amp;CM OTC Y-T-D Summary"</definedName>
    <definedName name="HTML2_5" hidden="1">""</definedName>
    <definedName name="HTML2_6" hidden="1">-4146</definedName>
    <definedName name="HTML2_7" hidden="1">1</definedName>
    <definedName name="HTML2_8" hidden="1">"02/13/97"</definedName>
    <definedName name="HTML2_9" hidden="1">"Conoco"</definedName>
    <definedName name="HTML3_1" hidden="1">"'[PRODSETL.XLS]Y-T-D Summary'!$A$4:$Y$168"</definedName>
    <definedName name="HTML3_10" hidden="1">""</definedName>
    <definedName name="HTML3_11" hidden="1">-4146</definedName>
    <definedName name="HTML3_12" hidden="1">"C:\TEMP\test.htm"</definedName>
    <definedName name="HTML3_2" hidden="1">1</definedName>
    <definedName name="HTML3_3" hidden="1">"PRODSETL"</definedName>
    <definedName name="HTML3_4" hidden="1">"Y-T-D Summary"</definedName>
    <definedName name="HTML3_5" hidden="1">""</definedName>
    <definedName name="HTML3_6" hidden="1">-4146</definedName>
    <definedName name="HTML3_7" hidden="1">-4146</definedName>
    <definedName name="HTML3_8" hidden="1">"02/13/97"</definedName>
    <definedName name="HTML3_9" hidden="1">"Conoco"</definedName>
    <definedName name="HTML4_1" hidden="1">"'[PRODSETL.XLS]Y-T-D Summary'!$A$4:$Y$195"</definedName>
    <definedName name="HTML4_10" hidden="1">""</definedName>
    <definedName name="HTML4_11" hidden="1">1</definedName>
    <definedName name="HTML4_12" hidden="1">"Q:\DNSTREAM\COMMOPS\TRADING\PSOTCYTD.HTM"</definedName>
    <definedName name="HTML4_2" hidden="1">1</definedName>
    <definedName name="HTML4_3" hidden="1">"PRODSETL"</definedName>
    <definedName name="HTML4_4" hidden="1">"PS&amp;CM OTC Y-T-D Summary"</definedName>
    <definedName name="HTML4_5" hidden="1">""</definedName>
    <definedName name="HTML4_6" hidden="1">-4146</definedName>
    <definedName name="HTML4_7" hidden="1">-4146</definedName>
    <definedName name="HTML4_8" hidden="1">"4/3/97"</definedName>
    <definedName name="HTML4_9" hidden="1">"Bob De Young ETN 639-4510"</definedName>
    <definedName name="HTML5_1" hidden="1">"'[PRODSETL.XLS]PS&amp;CM OTC Monthly Summary'!$A$6:$K$66"</definedName>
    <definedName name="HTML5_10" hidden="1">""</definedName>
    <definedName name="HTML5_11" hidden="1">1</definedName>
    <definedName name="HTML5_12" hidden="1">"Q:\DNSTREAM\COMMOPS\TRADING\PSOTCMTD.HTM"</definedName>
    <definedName name="HTML5_2" hidden="1">1</definedName>
    <definedName name="HTML5_3" hidden="1">"PS&amp;CM OTC Monthly Summary"</definedName>
    <definedName name="HTML5_4" hidden="1">"PS&amp;CM OTC Monthly Summary"</definedName>
    <definedName name="HTML5_5" hidden="1">""</definedName>
    <definedName name="HTML5_6" hidden="1">-4146</definedName>
    <definedName name="HTML5_7" hidden="1">-4146</definedName>
    <definedName name="HTML5_8" hidden="1">"4/3/97"</definedName>
    <definedName name="HTML5_9" hidden="1">"Bob De Young ETN 639-4510"</definedName>
    <definedName name="HTML6_1" hidden="1">"'[PRODSETL.XLS]PS&amp;CM OTC Monthly Summary'!$A$6:$K$73"</definedName>
    <definedName name="HTML6_10" hidden="1">""</definedName>
    <definedName name="HTML6_11" hidden="1">1</definedName>
    <definedName name="HTML6_12" hidden="1">"Q:\DNSTREAM\COMMOPS\TRADING\PSOTCMTD.HTM"</definedName>
    <definedName name="HTML6_2" hidden="1">1</definedName>
    <definedName name="HTML6_3" hidden="1">"PS&amp;CM OTC Monthly Summary"</definedName>
    <definedName name="HTML6_4" hidden="1">"PS&amp;CM OTC Monthly Summary"</definedName>
    <definedName name="HTML6_5" hidden="1">""</definedName>
    <definedName name="HTML6_6" hidden="1">-4146</definedName>
    <definedName name="HTML6_7" hidden="1">-4146</definedName>
    <definedName name="HTML6_8" hidden="1">"5/1/97"</definedName>
    <definedName name="HTML6_9" hidden="1">"Bob De Young ETN 639-4510"</definedName>
    <definedName name="HTML7_1" hidden="1">"'[PRODSETL.XLS]PS&amp;CM OTC Monthly Summary'!$A$4:$K$74"</definedName>
    <definedName name="HTML7_10" hidden="1">""</definedName>
    <definedName name="HTML7_11" hidden="1">1</definedName>
    <definedName name="HTML7_12" hidden="1">"Q:\DNSTREAM\COMMOPS\TRADING\PSOTCMTD.HTM"</definedName>
    <definedName name="HTML7_2" hidden="1">1</definedName>
    <definedName name="HTML7_3" hidden="1">"PS&amp;CM OTC Monthly Summary"</definedName>
    <definedName name="HTML7_4" hidden="1">"PS&amp;CM OTC Monthly Summary"</definedName>
    <definedName name="HTML7_5" hidden="1">""</definedName>
    <definedName name="HTML7_6" hidden="1">-4146</definedName>
    <definedName name="HTML7_7" hidden="1">-4146</definedName>
    <definedName name="HTML7_8" hidden="1">"6/2/97"</definedName>
    <definedName name="HTML7_9" hidden="1">"Bob De Young ETN 639-4510"</definedName>
    <definedName name="HTML8_1" hidden="1">"'[PRODSETL.XLS]PS&amp;CM OTC Monthly Summary'!$A$6:$K$90"</definedName>
    <definedName name="HTML8_10" hidden="1">""</definedName>
    <definedName name="HTML8_11" hidden="1">1</definedName>
    <definedName name="HTML8_12" hidden="1">"Q:\DNSTREAM\COMMOPS\TRADING\PSOTCMTD.HTM"</definedName>
    <definedName name="HTML8_2" hidden="1">1</definedName>
    <definedName name="HTML8_3" hidden="1">"PS&amp;CM OTC Monthly Summary"</definedName>
    <definedName name="HTML8_4" hidden="1">"PS&amp;CM OTC Monthly Summary"</definedName>
    <definedName name="HTML8_5" hidden="1">""</definedName>
    <definedName name="HTML8_6" hidden="1">-4146</definedName>
    <definedName name="HTML8_7" hidden="1">-4146</definedName>
    <definedName name="HTML8_8" hidden="1">"7/1/97"</definedName>
    <definedName name="HTML8_9" hidden="1">"Bob De Young ETN 639-4510"</definedName>
    <definedName name="HTML9_1" hidden="1">"'[PRODSETL.XLS]PS&amp;CM OTC Monthly Summary'!$A$6:$K$103"</definedName>
    <definedName name="HTML9_10" hidden="1">""</definedName>
    <definedName name="HTML9_11" hidden="1">1</definedName>
    <definedName name="HTML9_12" hidden="1">"Q:\DNSTREAM\COMMOPS\TRADING\PSOTCMTD.HTM"</definedName>
    <definedName name="HTML9_2" hidden="1">1</definedName>
    <definedName name="HTML9_3" hidden="1">"PS&amp;CM OTC Monthly Summary"</definedName>
    <definedName name="HTML9_4" hidden="1">"PS&amp;CM OTC Monthly Summary"</definedName>
    <definedName name="HTML9_5" hidden="1">""</definedName>
    <definedName name="HTML9_6" hidden="1">-4146</definedName>
    <definedName name="HTML9_7" hidden="1">-4146</definedName>
    <definedName name="HTML9_8" hidden="1">"8/1/97"</definedName>
    <definedName name="HTML9_9" hidden="1">"Bob De Young ETN 639-4510"</definedName>
    <definedName name="HTMLCount" hidden="1">14</definedName>
    <definedName name="i8uy" localSheetId="1" hidden="1">{"PA1",#N/A,TRUE,"BORDMW";"pa2",#N/A,TRUE,"BORDMW";"PA3",#N/A,TRUE,"BORDMW";"PA4",#N/A,TRUE,"BORDMW"}</definedName>
    <definedName name="i8uy" localSheetId="3" hidden="1">{"PA1",#N/A,TRUE,"BORDMW";"pa2",#N/A,TRUE,"BORDMW";"PA3",#N/A,TRUE,"BORDMW";"PA4",#N/A,TRUE,"BORDMW"}</definedName>
    <definedName name="i8uy" hidden="1">{"PA1",#N/A,TRUE,"BORDMW";"pa2",#N/A,TRUE,"BORDMW";"PA3",#N/A,TRUE,"BORDMW";"PA4",#N/A,TRUE,"BORDMW"}</definedName>
    <definedName name="ID_sorted">#REF!</definedName>
    <definedName name="IMCO">#REF!</definedName>
    <definedName name="IN_Sample">#REF!</definedName>
    <definedName name="Inc_Excl_Accts">#REF!</definedName>
    <definedName name="IncludeNonRegs">#REF!</definedName>
    <definedName name="INCOME_BEFORE_TAXES">#REF!</definedName>
    <definedName name="IncomeStatement" localSheetId="1" hidden="1">{#N/A,#N/A,FALSE,"FinStateUS"}</definedName>
    <definedName name="IncomeStatement" localSheetId="3" hidden="1">{#N/A,#N/A,FALSE,"FinStateUS"}</definedName>
    <definedName name="IncomeStatement" hidden="1">{#N/A,#N/A,FALSE,"FinStateUS"}</definedName>
    <definedName name="IncomeStatement6Years" localSheetId="1" hidden="1">{"IncStatement 6 years",#N/A,FALSE,"FinStateUS"}</definedName>
    <definedName name="IncomeStatement6Years" localSheetId="3" hidden="1">{"IncStatement 6 years",#N/A,FALSE,"FinStateUS"}</definedName>
    <definedName name="IncomeStatement6Years" hidden="1">{"IncStatement 6 years",#N/A,FALSE,"FinStateUS"}</definedName>
    <definedName name="IncrmntlFctr">#REF!</definedName>
    <definedName name="INFO" localSheetId="3">#REF!</definedName>
    <definedName name="INFO">#REF!</definedName>
    <definedName name="INPUT" localSheetId="3">#REF!</definedName>
    <definedName name="INPUT">#REF!</definedName>
    <definedName name="inputs" localSheetId="1" hidden="1">{"Inputs 1","Base",FALSE,"INPUTS";"Inputs 2","Base",FALSE,"INPUTS";"Inputs 3","Base",FALSE,"INPUTS";"Inputs 4","Base",FALSE,"INPUTS";"Inputs 5","Base",FALSE,"INPUTS"}</definedName>
    <definedName name="inputs" localSheetId="3" hidden="1">{"Inputs 1","Base",FALSE,"INPUTS";"Inputs 2","Base",FALSE,"INPUTS";"Inputs 3","Base",FALSE,"INPUTS";"Inputs 4","Base",FALSE,"INPUTS";"Inputs 5","Base",FALSE,"INPUTS"}</definedName>
    <definedName name="inputs" hidden="1">{"Inputs 1","Base",FALSE,"INPUTS";"Inputs 2","Base",FALSE,"INPUTS";"Inputs 3","Base",FALSE,"INPUTS";"Inputs 4","Base",FALSE,"INPUTS";"Inputs 5","Base",FALSE,"INPUTS"}</definedName>
    <definedName name="Ins_Frequ">#REF!</definedName>
    <definedName name="InsuranceAdder" hidden="1">#REF!</definedName>
    <definedName name="Int">#REF!</definedName>
    <definedName name="Interest_Rate">#REF!</definedName>
    <definedName name="InterruptCapacity" localSheetId="3">#REF!</definedName>
    <definedName name="InterruptCapacity">#REF!</definedName>
    <definedName name="InterruptOfpCapacity" localSheetId="3">#REF!</definedName>
    <definedName name="InterruptOfpCapacity">#REF!</definedName>
    <definedName name="InterruptType" localSheetId="3">#REF!</definedName>
    <definedName name="InterruptType">#REF!</definedName>
    <definedName name="IntroPrintArea" hidden="1">#REF!</definedName>
    <definedName name="INTRPBLCAP">#REF!</definedName>
    <definedName name="Invdetail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SP" hidden="1">"IQ_BONDRATING_SP"</definedName>
    <definedName name="IQ_BOOK_VALUE" hidden="1">"IQ_BOOK_VALUE"</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ACT_OR_EST_REUT" hidden="1">"c5471"</definedName>
    <definedName name="IQ_BV_EST" hidden="1">"c5624"</definedName>
    <definedName name="IQ_BV_EST_REUT" hidden="1">"c5403"</definedName>
    <definedName name="IQ_BV_HIGH_EST" hidden="1">"c5626"</definedName>
    <definedName name="IQ_BV_HIGH_EST_REUT" hidden="1">"c5405"</definedName>
    <definedName name="IQ_BV_LOW_EST" hidden="1">"c5627"</definedName>
    <definedName name="IQ_BV_LOW_EST_REUT" hidden="1">"c5406"</definedName>
    <definedName name="IQ_BV_MEDIAN_EST" hidden="1">"c5625"</definedName>
    <definedName name="IQ_BV_MEDIAN_EST_REUT" hidden="1">"c5404"</definedName>
    <definedName name="IQ_BV_NUM_EST" hidden="1">"c5628"</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GUIDANCE" hidden="1">"c4279"</definedName>
    <definedName name="IQ_DISTRIBUTABLE_CASH_HIGH_EST" hidden="1">"c4280"</definedName>
    <definedName name="IQ_DISTRIBUTABLE_CASH_HIGH_GUIDANCE" hidden="1">"c4198"</definedName>
    <definedName name="IQ_DISTRIBUTABLE_CASH_LOW_EST" hidden="1">"c4281"</definedName>
    <definedName name="IQ_DISTRIBUTABLE_CASH_LOW_GUIDANCE" hidden="1">"c4238"</definedName>
    <definedName name="IQ_DISTRIBUTABLE_CASH_MEDIAN_EST" hidden="1">"c4282"</definedName>
    <definedName name="IQ_DISTRIBUTABLE_CASH_NUM_EST" hidden="1">"c4283"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GUIDANCE" hidden="1">"c4287"</definedName>
    <definedName name="IQ_DISTRIBUTABLE_CASH_SHARE_HIGH_EST" hidden="1">"c4288"</definedName>
    <definedName name="IQ_DISTRIBUTABLE_CASH_SHARE_HIGH_GUIDANCE" hidden="1">"c4199"</definedName>
    <definedName name="IQ_DISTRIBUTABLE_CASH_SHARE_LOW_EST" hidden="1">"c4289"</definedName>
    <definedName name="IQ_DISTRIBUTABLE_CASH_SHARE_LOW_GUIDANCE" hidden="1">"c4239"</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GUIDANCE" hidden="1">"c4317"</definedName>
    <definedName name="IQ_EBIT_SBC_GW_ACT_OR_EST" hidden="1">"c4320"</definedName>
    <definedName name="IQ_EBIT_SBC_GW_ACT_OR_EST_CIQ" hidden="1">"c4845"</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GUIDANCE" hidden="1">"c4351"</definedName>
    <definedName name="IQ_EBT_SBC_GW_ACT_OR_EST" hidden="1">"c4354"</definedName>
    <definedName name="IQ_EBT_SBC_GW_ACT_OR_EST_CIQ" hidden="1">"c4879"</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P" hidden="1">"c8880"</definedName>
    <definedName name="IQ_EPS_AP_ABS" hidden="1">"c8899"</definedName>
    <definedName name="IQ_EPS_EST" hidden="1">"c399"</definedName>
    <definedName name="IQ_EPS_EST_1" hidden="1">"IQ_EPS_EST_1"</definedName>
    <definedName name="IQ_EPS_EST_BOTTOM_UP" hidden="1">"c5489"</definedName>
    <definedName name="IQ_EPS_EST_BOTTOM_UP_REUT" hidden="1">"c5497"</definedName>
    <definedName name="IQ_EPS_EST_CIQ" hidden="1">"c4994"</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GUIDANCE" hidden="1">"c4372"</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GUIDANCE" hidden="1">"c4377"</definedName>
    <definedName name="IQ_EPS_SBC_GW_ACT_OR_EST" hidden="1">"c4380"</definedName>
    <definedName name="IQ_EPS_SBC_GW_ACT_OR_EST_CIQ" hidden="1">"c4905"</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REUT" hidden="1">"c5409"</definedName>
    <definedName name="IQ_EST_ACT_BV_SHARE" hidden="1">"c3549"</definedName>
    <definedName name="IQ_EST_ACT_BV_SHARE_REUT" hidden="1">"c5445"</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FFO_SHARE_SHARE_THOM" hidden="1">"c4005"</definedName>
    <definedName name="IQ_EST_ACT_FFO_THOM" hidden="1">"c4005"</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DIFF_REUT" hidden="1">"c5433"</definedName>
    <definedName name="IQ_EST_BV_SHARE_DIFF" hidden="1">"c4147"</definedName>
    <definedName name="IQ_EST_BV_SHARE_SURPRISE_PERCENT" hidden="1">"c4148"</definedName>
    <definedName name="IQ_EST_BV_SURPRISE_PERCENT_REUT" hidden="1">"c5434"</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LOW" hidden="1">"c1658"</definedName>
    <definedName name="IQ_EST_EPS_GROWTH_5YR_LOW_CIQ" hidden="1">"c4664"</definedName>
    <definedName name="IQ_EST_EPS_GROWTH_5YR_LOW_REUT" hidden="1">"c5323"</definedName>
    <definedName name="IQ_EST_EPS_GROWTH_5YR_MEDIAN" hidden="1">"c1656"</definedName>
    <definedName name="IQ_EST_EPS_GROWTH_5YR_MEDIAN_CIQ" hidden="1">"c5480"</definedName>
    <definedName name="IQ_EST_EPS_GROWTH_5YR_MEDIAN_REUT" hidden="1">"c5321"</definedName>
    <definedName name="IQ_EST_EPS_GROWTH_5YR_NUM" hidden="1">"c1659"</definedName>
    <definedName name="IQ_EST_EPS_GROWTH_5YR_NUM_CIQ" hidden="1">"c4665"</definedName>
    <definedName name="IQ_EST_EPS_GROWTH_5YR_NUM_REUT" hidden="1">"c5324"</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 hidden="1">"c1635"</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HARE_DIFF_THOM" hidden="1">"c5186"</definedName>
    <definedName name="IQ_EST_FFO_SHARE_SHARE_SURPRISE_PERCENT_THOM" hidden="1">"c5187"</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REUT" hidden="1">"c3869"</definedName>
    <definedName name="IQ_EST_NUM_HIGH_REC" hidden="1">"c5649"</definedName>
    <definedName name="IQ_EST_NUM_HIGH_REC_REUT" hidden="1">"c3870"</definedName>
    <definedName name="IQ_EST_NUM_HIGHEST_REC" hidden="1">"c5648"</definedName>
    <definedName name="IQ_EST_NUM_HIGHEST_REC_REUT" hidden="1">"c3869"</definedName>
    <definedName name="IQ_EST_NUM_HOLD" hidden="1">"c1761"</definedName>
    <definedName name="IQ_EST_NUM_HOLD_REUT" hidden="1">"c3871"</definedName>
    <definedName name="IQ_EST_NUM_LOW_REC" hidden="1">"c5651"</definedName>
    <definedName name="IQ_EST_NUM_LOW_REC_REUT" hidden="1">"c3872"</definedName>
    <definedName name="IQ_EST_NUM_LOWEST_REC" hidden="1">"c5652"</definedName>
    <definedName name="IQ_EST_NUM_LOWEST_REC_REUT" hidden="1">"c3873"</definedName>
    <definedName name="IQ_EST_NUM_NEUTRAL_REC" hidden="1">"c5650"</definedName>
    <definedName name="IQ_EST_NUM_NEUTRAL_REC_REUT" hidden="1">"c3871"</definedName>
    <definedName name="IQ_EST_NUM_NO_OPINION" hidden="1">"c1758"</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GUIDANCE" hidden="1">"c4436"</definedName>
    <definedName name="IQ_FFO_ADJ_HIGH_EST" hidden="1">"c4437"</definedName>
    <definedName name="IQ_FFO_ADJ_HIGH_GUIDANCE" hidden="1">"c4202"</definedName>
    <definedName name="IQ_FFO_ADJ_LOW_EST" hidden="1">"c4438"</definedName>
    <definedName name="IQ_FFO_ADJ_LOW_GUIDANCE" hidden="1">"c4242"</definedName>
    <definedName name="IQ_FFO_ADJ_MEDIAN_EST" hidden="1">"c4439"</definedName>
    <definedName name="IQ_FFO_ADJ_NUM_EST" hidden="1">"c4440"</definedName>
    <definedName name="IQ_FFO_ADJ_STDDEV_EST" hidden="1">"c4441"</definedName>
    <definedName name="IQ_FFO_EST" hidden="1">"c418"</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REUT" hidden="1">"c3837"</definedName>
    <definedName name="IQ_FFO_EST_THOM" hidden="1">"c3999"</definedName>
    <definedName name="IQ_FFO_GUIDANCE" hidden="1">"c4443"</definedName>
    <definedName name="IQ_FFO_HIGH_EST" hidden="1">"c419"</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REUT" hidden="1">"c3838"</definedName>
    <definedName name="IQ_FFO_MEDIAN_EST_THOM" hidden="1">"c4000"</definedName>
    <definedName name="IQ_FFO_NUM_EST" hidden="1">"c421"</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HARE_EST_DET_EST" hidden="1">"c12059"</definedName>
    <definedName name="IQ_FFO_SHARE_SHARE_EST_DET_EST_CURRENCY" hidden="1">"c12466"</definedName>
    <definedName name="IQ_FFO_SHARE_SHARE_EST_DET_EST_CURRENCY_THOM" hidden="1">"c12487"</definedName>
    <definedName name="IQ_FFO_SHARE_SHARE_EST_DET_EST_DATE" hidden="1">"c12212"</definedName>
    <definedName name="IQ_FFO_SHARE_SHARE_EST_DET_EST_DATE_THOM" hidden="1">"c12238"</definedName>
    <definedName name="IQ_FFO_SHARE_SHARE_EST_DET_EST_INCL" hidden="1">"c12349"</definedName>
    <definedName name="IQ_FFO_SHARE_SHARE_EST_DET_EST_INCL_THOM" hidden="1">"c12370"</definedName>
    <definedName name="IQ_FFO_SHARE_SHARE_EST_DET_EST_ORIGIN" hidden="1">"c12722"</definedName>
    <definedName name="IQ_FFO_SHARE_SHARE_EST_DET_EST_ORIGIN_THOM" hidden="1">"c12608"</definedName>
    <definedName name="IQ_FFO_SHARE_SHARE_EST_DET_EST_THOM" hidden="1">"c12088"</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HARE_STDDEV_EST" hidden="1">"c4452"</definedName>
    <definedName name="IQ_FFO_STDDEV_EST" hidden="1">"c422"</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"50"</definedName>
    <definedName name="IQ_LATESTQ" hidden="1">500</definedName>
    <definedName name="IQ_LATESTQFR" hidden="1">"100"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40653.521412037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GUIDANCE" hidden="1">"c4475"</definedName>
    <definedName name="IQ_NI_SBC_GW_ACT_OR_EST" hidden="1">"c4478"</definedName>
    <definedName name="IQ_NI_SBC_GW_ACT_OR_EST_CIQ" hidden="1">"c5016"</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"c3966"</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EST" hidden="1">"c1126"</definedName>
    <definedName name="IQ_REVENUE_EST_1" hidden="1">"IQ_REVENUE_EST_1"</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GROWTH_1" hidden="1">"IQ_REVENUE_GROWTH_1"</definedName>
    <definedName name="IQ_REVENUE_GROWTH_2" hidden="1">"IQ_REVENUE_GROWTH_2"</definedName>
    <definedName name="IQ_REVENUE_GUIDANCE" hidden="1">"c4519"</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39482.4991550926</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RRWO4" hidden="1">#REF!</definedName>
    <definedName name="IS_Begin" localSheetId="3">#REF!</definedName>
    <definedName name="IS_Begin">#REF!</definedName>
    <definedName name="IS_END" localSheetId="3">#REF!</definedName>
    <definedName name="IS_END">#REF!</definedName>
    <definedName name="IS_Mo" localSheetId="3">#REF!</definedName>
    <definedName name="IS_Mo">#REF!</definedName>
    <definedName name="IS_Qtr" localSheetId="3">#REF!</definedName>
    <definedName name="IS_Qtr">#REF!</definedName>
    <definedName name="IsColHidden" hidden="1">FALSE</definedName>
    <definedName name="ISFn">#REF!</definedName>
    <definedName name="ISFnDescr">#REF!</definedName>
    <definedName name="IsLTMColHidden" hidden="1">FALSE</definedName>
    <definedName name="ISMo">#REF!</definedName>
    <definedName name="ISYr">#REF!</definedName>
    <definedName name="ITCPTC1" hidden="1">#REF!</definedName>
    <definedName name="ITCPTC10" hidden="1">#REF!</definedName>
    <definedName name="ITCPTC12" hidden="1">#REF!</definedName>
    <definedName name="ITCPTC17" hidden="1">#REF!</definedName>
    <definedName name="iuyhg" localSheetId="1" hidden="1">{"sales",#N/A,FALSE,"Sales";"sales existing",#N/A,FALSE,"Sales";"sales rd1",#N/A,FALSE,"Sales";"sales rd2",#N/A,FALSE,"Sales"}</definedName>
    <definedName name="iuyhg" localSheetId="3" hidden="1">{"sales",#N/A,FALSE,"Sales";"sales existing",#N/A,FALSE,"Sales";"sales rd1",#N/A,FALSE,"Sales";"sales rd2",#N/A,FALSE,"Sales"}</definedName>
    <definedName name="iuyhg" hidden="1">{"sales",#N/A,FALSE,"Sales";"sales existing",#N/A,FALSE,"Sales";"sales rd1",#N/A,FALSE,"Sales";"sales rd2",#N/A,FALSE,"Sales"}</definedName>
    <definedName name="j"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acumba">#REF!</definedName>
    <definedName name="JAF">#REF!</definedName>
    <definedName name="JAN" localSheetId="3">#REF!</definedName>
    <definedName name="JAN">#REF!</definedName>
    <definedName name="janetec" localSheetId="3">#REF!</definedName>
    <definedName name="janetec">#REF!</definedName>
    <definedName name="JANUARYFACTOR" localSheetId="3">#REF!</definedName>
    <definedName name="JANUARYFACTOR">#REF!</definedName>
    <definedName name="JANUARYINTEREST" localSheetId="3">#REF!</definedName>
    <definedName name="JANUARYINTEREST">#REF!</definedName>
    <definedName name="JANUARYSURCHARGE">#REF!</definedName>
    <definedName name="JESUS" localSheetId="1" hidden="1">{#N/A,#N/A,TRUE,"Facility-Input";#N/A,#N/A,TRUE,"Graphs";#N/A,#N/A,TRUE,"TOTAL"}</definedName>
    <definedName name="JESUS" localSheetId="3" hidden="1">{#N/A,#N/A,TRUE,"Facility-Input";#N/A,#N/A,TRUE,"Graphs";#N/A,#N/A,TRUE,"TOTAL"}</definedName>
    <definedName name="JESUS" hidden="1">{#N/A,#N/A,TRUE,"Facility-Input";#N/A,#N/A,TRUE,"Graphs";#N/A,#N/A,TRUE,"TOTAL"}</definedName>
    <definedName name="jfdjk" localSheetId="1" hidden="1">{"Area1",#N/A,FALSE,"OREWACC";"Area2",#N/A,FALSE,"OREWACC"}</definedName>
    <definedName name="jfdjk" localSheetId="3" hidden="1">{"Area1",#N/A,FALSE,"OREWACC";"Area2",#N/A,FALSE,"OREWACC"}</definedName>
    <definedName name="jfdjk" hidden="1">{"Area1",#N/A,FALSE,"OREWACC";"Area2",#N/A,FALSE,"OREWACC"}</definedName>
    <definedName name="jj"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j"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j"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JUL">#REF!</definedName>
    <definedName name="July" localSheetId="3">#REF!</definedName>
    <definedName name="July">#REF!</definedName>
    <definedName name="JULYFACTOR" localSheetId="3">#REF!</definedName>
    <definedName name="JULYFACTOR">#REF!</definedName>
    <definedName name="JULYINTEREST" localSheetId="3">#REF!</definedName>
    <definedName name="JULYINTEREST">#REF!</definedName>
    <definedName name="JULYSURCHARGE">#REF!</definedName>
    <definedName name="JULYSUSRCHARGE">#REF!</definedName>
    <definedName name="JUNEFACTOR">#REF!</definedName>
    <definedName name="JUNEINTEREST">#REF!</definedName>
    <definedName name="JUNESURCHARGE">#REF!</definedName>
    <definedName name="K2_WBEVMODE" hidden="1">-1</definedName>
    <definedName name="Katy" localSheetId="1">#REF!</definedName>
    <definedName name="Katy">#REF!</definedName>
    <definedName name="kijh" localSheetId="1" hidden="1">{"FCB_ALL",#N/A,FALSE,"FCB";"GREY_ALL",#N/A,FALSE,"GREY"}</definedName>
    <definedName name="kijh" localSheetId="3" hidden="1">{"FCB_ALL",#N/A,FALSE,"FCB";"GREY_ALL",#N/A,FALSE,"GREY"}</definedName>
    <definedName name="kijh" hidden="1">{"FCB_ALL",#N/A,FALSE,"FCB";"GREY_ALL",#N/A,FALSE,"GREY"}</definedName>
    <definedName name="kjh" localSheetId="1" hidden="1">{"Area1",#N/A,FALSE,"OREWACC";"Area2",#N/A,FALSE,"OREWACC"}</definedName>
    <definedName name="kjh" localSheetId="3" hidden="1">{"Area1",#N/A,FALSE,"OREWACC";"Area2",#N/A,FALSE,"OREWACC"}</definedName>
    <definedName name="kjh" hidden="1">{"Area1",#N/A,FALSE,"OREWACC";"Area2",#N/A,FALSE,"OREWACC"}</definedName>
    <definedName name="KPCO_408" localSheetId="1">#REF!</definedName>
    <definedName name="KPCO_408" localSheetId="3">#REF!</definedName>
    <definedName name="KPCO_408">#REF!</definedName>
    <definedName name="KWCHG" localSheetId="3">#REF!</definedName>
    <definedName name="KWCHG">#REF!</definedName>
    <definedName name="KWH1NOCMM" localSheetId="3">#REF!</definedName>
    <definedName name="KWH1NOCMM">#REF!</definedName>
    <definedName name="KWH3NOCMM">#REF!</definedName>
    <definedName name="KWHCHG">#REF!</definedName>
    <definedName name="L"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_PlantDetailBook_33987">#REF!</definedName>
    <definedName name="l_PlantDetailTax_4933742">#REF!</definedName>
    <definedName name="l_ScheduleMDefTaxAdj_5691662">#REF!</definedName>
    <definedName name="LABOR">#REF!</definedName>
    <definedName name="LABORXPV">#REF!</definedName>
    <definedName name="LABXAG">#REF!</definedName>
    <definedName name="LABXAGPV">#REF!</definedName>
    <definedName name="LandCost" hidden="1">#REF!</definedName>
    <definedName name="LandRoyaltyAdder" hidden="1">#REF!</definedName>
    <definedName name="LaSch" localSheetId="3">#REF!</definedName>
    <definedName name="LaSch">#REF!</definedName>
    <definedName name="last" localSheetId="3">#REF!</definedName>
    <definedName name="last">#REF!</definedName>
    <definedName name="Last_Row">#N/A</definedName>
    <definedName name="LASTDAY" localSheetId="3">#REF!</definedName>
    <definedName name="LASTDAY">#REF!</definedName>
    <definedName name="LASTFUEL" localSheetId="3">#REF!</definedName>
    <definedName name="LASTFUEL">#REF!</definedName>
    <definedName name="LASTMSRR" localSheetId="3">#REF!</definedName>
    <definedName name="LASTMSRR">#REF!</definedName>
    <definedName name="LASTPFCC">#REF!</definedName>
    <definedName name="LastRangeName" hidden="1">#REF!</definedName>
    <definedName name="late3" localSheetId="3" hidden="1">#REF!</definedName>
    <definedName name="late3" hidden="1">#REF!</definedName>
    <definedName name="LDFCTR" localSheetId="3">#REF!</definedName>
    <definedName name="LDFCTR">#REF!</definedName>
    <definedName name="LEGAL2"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EGAL2"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EGAL2"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Leveraged_NPV_Check_Range" hidden="1">#REF!</definedName>
    <definedName name="LI">#N/A</definedName>
    <definedName name="LIABILITIES" localSheetId="3">#REF!</definedName>
    <definedName name="LIABILITIES">#REF!</definedName>
    <definedName name="LiabOutput">#REF!</definedName>
    <definedName name="lighthouse" localSheetId="3">#REF!</definedName>
    <definedName name="lighthouse">#REF!</definedName>
    <definedName name="limcount" hidden="1">1</definedName>
    <definedName name="Listing2018">#REF!</definedName>
    <definedName name="ListOffset" hidden="1">1</definedName>
    <definedName name="LOAD_ANAL" localSheetId="3">#REF!</definedName>
    <definedName name="LOAD_ANAL">#REF!</definedName>
    <definedName name="LoadPerc2" localSheetId="3">#REF!</definedName>
    <definedName name="LoadPerc2">#REF!</definedName>
    <definedName name="LoadPercent" localSheetId="3">#REF!</definedName>
    <definedName name="LoadPercent">#REF!</definedName>
    <definedName name="Loan_Amount">#REF!</definedName>
    <definedName name="Loan_Start">#REF!</definedName>
    <definedName name="Loan_Years">#REF!</definedName>
    <definedName name="Loc_Rev_Act">#REF!</definedName>
    <definedName name="Loc_Rev_Inact">#REF!</definedName>
    <definedName name="LOC_SRP">#REF!</definedName>
    <definedName name="Locations">#REF!</definedName>
    <definedName name="LocFund" localSheetId="3">#REF!</definedName>
    <definedName name="LocFund">#REF!</definedName>
    <definedName name="LOV_AdditionsDIDetailAssetPagePageDef_AllocateToFullyRsvFlag" hidden="1">#REF!</definedName>
    <definedName name="LOV_AdditionsDIDetailAssetPagePageDef_AmortizeFlag" hidden="1">#REF!</definedName>
    <definedName name="LOV_AdditionsDIDetailAssetPagePageDef_AssetType" hidden="1">#REF!</definedName>
    <definedName name="LOV_AdditionsDIDetailAssetPagePageDef_BonusRule" hidden="1">#REF!</definedName>
    <definedName name="LOV_AdditionsDIDetailAssetPagePageDef_CashGeneratingUnit"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InvoiceLineType"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QueueNam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oracle_apps_financials_assets_retirements_desktopRetirements_di_MassRetirementsPageDef_PostingStatus" hidden="1">#REF!</definedName>
    <definedName name="LOV_oracle_apps_financials_assets_retirements_desktopRetirements_di_MassRetirementsPageDef_RetirementConvention" hidden="1">#REF!</definedName>
    <definedName name="LOV_oracle_apps_financials_assets_retirements_desktopRetirements_di_MassRetirementsPageDef_RetirementTypeCode" hidden="1">#REF!</definedName>
    <definedName name="LOV_oracle_apps_financials_generalLedger_journals_desktopEntry_di_FinGlDesktopBulkEntryPageDef_CurrencyCode" hidden="1">#REF!</definedName>
    <definedName name="LOV_oracle_apps_financials_generalLedger_journals_desktopEntry_di_FinGlDesktopBulkEntryPageDef_LedgerId" hidden="1">#REF!</definedName>
    <definedName name="LOV_oracle_apps_financials_generalLedger_journals_desktopEntry_di_FinGlDesktopBulkEntryPageDef_PeriodName" hidden="1">#REF!</definedName>
    <definedName name="LOV_oracle_apps_financials_generalLedger_journals_desktopEntry_di_FinGlDesktopBulkEntryPageDef_ReversalPeriodName" hidden="1">#REF!</definedName>
    <definedName name="LOV_oracle_apps_financials_generalLedger_journals_desktopEntry_di_FinGlDesktopBulkEntryPageDef_UserCurrencyConversionType" hidden="1">#REF!</definedName>
    <definedName name="LOV_oracle_apps_financials_generalLedger_journals_desktopEntry_di_FinGlDesktopBulkEntryPageDef_UserJeSourceName" hidden="1">#REF!</definedName>
    <definedName name="LOV_oracle_apps_financials_generalLedger_journals_desktopEntry_di_FinGlDesktopMultibatchEntryPageDef_CurrencyCode" hidden="1">#REF!</definedName>
    <definedName name="LOV_oracle_apps_financials_generalLedger_journals_desktopEntry_di_FinGlDesktopMultibatchEntryPageDef_LedgerId" hidden="1">#REF!</definedName>
    <definedName name="LOV_oracle_apps_financials_generalLedger_journals_desktopEntry_di_FinGlDesktopMultibatchEntryPageDef_PeriodName" hidden="1">#REF!</definedName>
    <definedName name="LOV_oracle_apps_financials_generalLedger_journals_desktopEntry_di_FinGlDesktopMultibatchEntryPageDef_ReversalPeriodName" hidden="1">#REF!</definedName>
    <definedName name="LOV_oracle_apps_financials_generalLedger_journals_desktopEntry_di_FinGlDesktopMultibatchEntryPageDef_UserCurrencyConversionType" hidden="1">#REF!</definedName>
    <definedName name="LOV_oracle_apps_financials_generalLedger_journals_desktopEntry_di_FinGlDesktopMultibatchEntryPageDef_UserJeSourceName" hidden="1">#REF!</definedName>
    <definedName name="LRCREDIT" localSheetId="3">#REF!</definedName>
    <definedName name="LRCREDIT">#REF!</definedName>
    <definedName name="ltm_BalanceSheet" localSheetId="3" hidden="1">#REF!</definedName>
    <definedName name="ltm_BalanceSheet" hidden="1">#REF!</definedName>
    <definedName name="ltm_IncomeStatement" localSheetId="3" hidden="1">#REF!</definedName>
    <definedName name="ltm_IncomeStatement" hidden="1">#REF!</definedName>
    <definedName name="M_PlaceofPath" hidden="1">"F:\SPOULIOS\DATA\CHV\chv_vdf.xls"</definedName>
    <definedName name="MACC1" localSheetId="3">#REF!</definedName>
    <definedName name="MACC1">#REF!</definedName>
    <definedName name="MACC2" localSheetId="3">#REF!</definedName>
    <definedName name="MACC2">#REF!</definedName>
    <definedName name="MAIN" localSheetId="3">#REF!</definedName>
    <definedName name="MAIN">#REF!</definedName>
    <definedName name="MAINTHRSCRMO">#REF!</definedName>
    <definedName name="MAINTKWH">#REF!</definedName>
    <definedName name="Manual_Hide">#REF!</definedName>
    <definedName name="MAR" localSheetId="3">#REF!</definedName>
    <definedName name="MAR">#REF!</definedName>
    <definedName name="MARCHFACTOR" localSheetId="3">#REF!</definedName>
    <definedName name="MARCHFACTOR">#REF!</definedName>
    <definedName name="MARCHINTEREST" localSheetId="3">#REF!</definedName>
    <definedName name="MARCHINTEREST">#REF!</definedName>
    <definedName name="MARCHSURCHARGE" localSheetId="3">#REF!</definedName>
    <definedName name="MARCHSURCHARGE">#REF!</definedName>
    <definedName name="Marshall_Rate" localSheetId="1">#REF!</definedName>
    <definedName name="Marshall_Rate">#REF!</definedName>
    <definedName name="mason?" localSheetId="1" hidden="1">{#N/A,#N/A,FALSE,"Data &amp; Key Results";#N/A,#N/A,FALSE,"Summary Template";#N/A,#N/A,FALSE,"Budget";#N/A,#N/A,FALSE,"Present Value Comparison";#N/A,#N/A,FALSE,"Cashflow";#N/A,#N/A,FALSE,"Income";#N/A,#N/A,FALSE,"Inputs"}</definedName>
    <definedName name="mason?" localSheetId="3" hidden="1">{#N/A,#N/A,FALSE,"Data &amp; Key Results";#N/A,#N/A,FALSE,"Summary Template";#N/A,#N/A,FALSE,"Budget";#N/A,#N/A,FALSE,"Present Value Comparison";#N/A,#N/A,FALSE,"Cashflow";#N/A,#N/A,FALSE,"Income";#N/A,#N/A,FALSE,"Inputs"}</definedName>
    <definedName name="mason?" hidden="1">{#N/A,#N/A,FALSE,"Data &amp; Key Results";#N/A,#N/A,FALSE,"Summary Template";#N/A,#N/A,FALSE,"Budget";#N/A,#N/A,FALSE,"Present Value Comparison";#N/A,#N/A,FALSE,"Cashflow";#N/A,#N/A,FALSE,"Income";#N/A,#N/A,FALSE,"Inputs"}</definedName>
    <definedName name="mason2" localSheetId="1" hidden="1">{#N/A,#N/A,FALSE,"Data &amp; Key Results";#N/A,#N/A,FALSE,"Summary Template";#N/A,#N/A,FALSE,"Budget";#N/A,#N/A,FALSE,"Present Value Comparison";#N/A,#N/A,FALSE,"Cashflow";#N/A,#N/A,FALSE,"Income";#N/A,#N/A,FALSE,"Inputs"}</definedName>
    <definedName name="mason2" localSheetId="3" hidden="1">{#N/A,#N/A,FALSE,"Data &amp; Key Results";#N/A,#N/A,FALSE,"Summary Template";#N/A,#N/A,FALSE,"Budget";#N/A,#N/A,FALSE,"Present Value Comparison";#N/A,#N/A,FALSE,"Cashflow";#N/A,#N/A,FALSE,"Income";#N/A,#N/A,FALSE,"Inputs"}</definedName>
    <definedName name="mason2" hidden="1">{#N/A,#N/A,FALSE,"Data &amp; Key Results";#N/A,#N/A,FALSE,"Summary Template";#N/A,#N/A,FALSE,"Budget";#N/A,#N/A,FALSE,"Present Value Comparison";#N/A,#N/A,FALSE,"Cashflow";#N/A,#N/A,FALSE,"Income";#N/A,#N/A,FALSE,"Inputs"}</definedName>
    <definedName name="mason3" localSheetId="1" hidden="1">{#N/A,#N/A,FALSE,"Data &amp; Key Results";#N/A,#N/A,FALSE,"Summary Template";#N/A,#N/A,FALSE,"Budget";#N/A,#N/A,FALSE,"Present Value Comparison";#N/A,#N/A,FALSE,"Cashflow";#N/A,#N/A,FALSE,"Income";#N/A,#N/A,FALSE,"Inputs"}</definedName>
    <definedName name="mason3" localSheetId="3" hidden="1">{#N/A,#N/A,FALSE,"Data &amp; Key Results";#N/A,#N/A,FALSE,"Summary Template";#N/A,#N/A,FALSE,"Budget";#N/A,#N/A,FALSE,"Present Value Comparison";#N/A,#N/A,FALSE,"Cashflow";#N/A,#N/A,FALSE,"Income";#N/A,#N/A,FALSE,"Inputs"}</definedName>
    <definedName name="mason3" hidden="1">{#N/A,#N/A,FALSE,"Data &amp; Key Results";#N/A,#N/A,FALSE,"Summary Template";#N/A,#N/A,FALSE,"Budget";#N/A,#N/A,FALSE,"Present Value Comparison";#N/A,#N/A,FALSE,"Cashflow";#N/A,#N/A,FALSE,"Income";#N/A,#N/A,FALSE,"Inputs"}</definedName>
    <definedName name="mason4" localSheetId="1" hidden="1">{#N/A,#N/A,FALSE,"Data &amp; Key Results";#N/A,#N/A,FALSE,"Summary Template";#N/A,#N/A,FALSE,"Budget";#N/A,#N/A,FALSE,"Present Value Comparison";#N/A,#N/A,FALSE,"Cashflow";#N/A,#N/A,FALSE,"Income";#N/A,#N/A,FALSE,"Inputs"}</definedName>
    <definedName name="mason4" localSheetId="3" hidden="1">{#N/A,#N/A,FALSE,"Data &amp; Key Results";#N/A,#N/A,FALSE,"Summary Template";#N/A,#N/A,FALSE,"Budget";#N/A,#N/A,FALSE,"Present Value Comparison";#N/A,#N/A,FALSE,"Cashflow";#N/A,#N/A,FALSE,"Income";#N/A,#N/A,FALSE,"Inputs"}</definedName>
    <definedName name="mason4" hidden="1">{#N/A,#N/A,FALSE,"Data &amp; Key Results";#N/A,#N/A,FALSE,"Summary Template";#N/A,#N/A,FALSE,"Budget";#N/A,#N/A,FALSE,"Present Value Comparison";#N/A,#N/A,FALSE,"Cashflow";#N/A,#N/A,FALSE,"Income";#N/A,#N/A,FALSE,"Inputs"}</definedName>
    <definedName name="mason5" localSheetId="1" hidden="1">{#N/A,#N/A,FALSE,"Data &amp; Key Results";#N/A,#N/A,FALSE,"Summary Template";#N/A,#N/A,FALSE,"Budget";#N/A,#N/A,FALSE,"Present Value Comparison";#N/A,#N/A,FALSE,"Cashflow";#N/A,#N/A,FALSE,"Income";#N/A,#N/A,FALSE,"Inputs"}</definedName>
    <definedName name="mason5" localSheetId="3" hidden="1">{#N/A,#N/A,FALSE,"Data &amp; Key Results";#N/A,#N/A,FALSE,"Summary Template";#N/A,#N/A,FALSE,"Budget";#N/A,#N/A,FALSE,"Present Value Comparison";#N/A,#N/A,FALSE,"Cashflow";#N/A,#N/A,FALSE,"Income";#N/A,#N/A,FALSE,"Inputs"}</definedName>
    <definedName name="mason5" hidden="1">{#N/A,#N/A,FALSE,"Data &amp; Key Results";#N/A,#N/A,FALSE,"Summary Template";#N/A,#N/A,FALSE,"Budget";#N/A,#N/A,FALSE,"Present Value Comparison";#N/A,#N/A,FALSE,"Cashflow";#N/A,#N/A,FALSE,"Income";#N/A,#N/A,FALSE,"Inputs"}</definedName>
    <definedName name="masonII" localSheetId="1" hidden="1">{#N/A,#N/A,FALSE,"Data &amp; Key Results";#N/A,#N/A,FALSE,"Summary Template";#N/A,#N/A,FALSE,"Budget";#N/A,#N/A,FALSE,"Present Value Comparison";#N/A,#N/A,FALSE,"Cashflow";#N/A,#N/A,FALSE,"Income";#N/A,#N/A,FALSE,"Inputs"}</definedName>
    <definedName name="masonII" localSheetId="3" hidden="1">{#N/A,#N/A,FALSE,"Data &amp; Key Results";#N/A,#N/A,FALSE,"Summary Template";#N/A,#N/A,FALSE,"Budget";#N/A,#N/A,FALSE,"Present Value Comparison";#N/A,#N/A,FALSE,"Cashflow";#N/A,#N/A,FALSE,"Income";#N/A,#N/A,FALSE,"Inputs"}</definedName>
    <definedName name="masonII" hidden="1">{#N/A,#N/A,FALSE,"Data &amp; Key Results";#N/A,#N/A,FALSE,"Summary Template";#N/A,#N/A,FALSE,"Budget";#N/A,#N/A,FALSE,"Present Value Comparison";#N/A,#N/A,FALSE,"Cashflow";#N/A,#N/A,FALSE,"Income";#N/A,#N/A,FALSE,"Inputs"}</definedName>
    <definedName name="MATSUP">#REF!</definedName>
    <definedName name="MAYFACTOR">#REF!</definedName>
    <definedName name="MAYINTEREST">#REF!</definedName>
    <definedName name="MAYSURCHARGE">#REF!</definedName>
    <definedName name="MCLoggedValues1" hidden="1">#REF!</definedName>
    <definedName name="MCLoggedValues2" hidden="1">#REF!</definedName>
    <definedName name="MCLoggedValues3" hidden="1">#REF!</definedName>
    <definedName name="MCLoggedValues4" hidden="1">#REF!</definedName>
    <definedName name="Mdesc">#REF!</definedName>
    <definedName name="mercatus_raw" localSheetId="3">#REF!</definedName>
    <definedName name="mercatus_raw">#REF!</definedName>
    <definedName name="MEWarning" hidden="1">1</definedName>
    <definedName name="mike" hidden="1">#REF!</definedName>
    <definedName name="MinBillDem" localSheetId="3">#REF!</definedName>
    <definedName name="MinBillDem">#REF!</definedName>
    <definedName name="MinBillDem2" localSheetId="3">#REF!</definedName>
    <definedName name="MinBillDem2">#REF!</definedName>
    <definedName name="MinBillDmd" localSheetId="3">#REF!</definedName>
    <definedName name="MinBillDmd">#REF!</definedName>
    <definedName name="MonthlyAdj">#REF!</definedName>
    <definedName name="movelines">"movelines"</definedName>
    <definedName name="MSRRBLD" localSheetId="3">#REF!</definedName>
    <definedName name="MSRRBLD">#REF!</definedName>
    <definedName name="MSRRCHG" localSheetId="3">#REF!</definedName>
    <definedName name="MSRRCHG">#REF!</definedName>
    <definedName name="MTD_EARNINGS">#REF!</definedName>
    <definedName name="MTD_EQUITY_EARNINGS" localSheetId="3">#REF!</definedName>
    <definedName name="MTD_EQUITY_EARNINGS">#REF!</definedName>
    <definedName name="MTD_EXPENSES">#REF!</definedName>
    <definedName name="MTD_GROSS_MARGIN">#REF!</definedName>
    <definedName name="MTD_INCOME_BEFORE">#REF!</definedName>
    <definedName name="MTD_INCOME_TAXES">#REF!</definedName>
    <definedName name="MTD_NET_INCOME">#REF!</definedName>
    <definedName name="MTD_OM">#REF!</definedName>
    <definedName name="MTD_REVENUE">#REF!</definedName>
    <definedName name="MTRMLTPLR1" localSheetId="3">#REF!</definedName>
    <definedName name="MTRMLTPLR1">#REF!</definedName>
    <definedName name="MTRMLTPLR2" localSheetId="3">#REF!</definedName>
    <definedName name="MTRMLTPLR2">#REF!</definedName>
    <definedName name="MUNICOOP" localSheetId="3">#REF!</definedName>
    <definedName name="MUNICOOP">#REF!</definedName>
    <definedName name="name">#REF!</definedName>
    <definedName name="NC11Ref" localSheetId="3">#REF!</definedName>
    <definedName name="NC11Ref">#REF!</definedName>
    <definedName name="NETENERGYFORLOAD" localSheetId="3">#REF!</definedName>
    <definedName name="NETENERGYFORLOAD">#REF!</definedName>
    <definedName name="NETMRGCHG" localSheetId="3">#REF!</definedName>
    <definedName name="NETMRGCHG">#REF!</definedName>
    <definedName name="netntec">#REF!</definedName>
    <definedName name="NETPLANT">#REF!</definedName>
    <definedName name="nettexla">#REF!</definedName>
    <definedName name="new" localSheetId="1" hidden="1">{#N/A,#N/A,FALSE,"Page 1";#N/A,#N/A,FALSE,"Page 2";#N/A,#N/A,FALSE,"Page 3";#N/A,#N/A,FALSE,"Page 4";#N/A,#N/A,FALSE,"Page 5"}</definedName>
    <definedName name="new" localSheetId="3" hidden="1">{#N/A,#N/A,FALSE,"Page 1";#N/A,#N/A,FALSE,"Page 2";#N/A,#N/A,FALSE,"Page 3";#N/A,#N/A,FALSE,"Page 4";#N/A,#N/A,FALSE,"Page 5"}</definedName>
    <definedName name="new" hidden="1">{#N/A,#N/A,FALSE,"Page 1";#N/A,#N/A,FALSE,"Page 2";#N/A,#N/A,FALSE,"Page 3";#N/A,#N/A,FALSE,"Page 4";#N/A,#N/A,FALSE,"Page 5"}</definedName>
    <definedName name="NFREV" localSheetId="3">#REF!</definedName>
    <definedName name="NFREV">#REF!</definedName>
    <definedName name="Nicknames" localSheetId="1" hidden="1">#REF!</definedName>
    <definedName name="Nicknames" hidden="1">#REF!</definedName>
    <definedName name="nk2nk" localSheetId="3" hidden="1">#REF!</definedName>
    <definedName name="nk2nk" hidden="1">#REF!</definedName>
    <definedName name="NMTAX" localSheetId="3">#REF!</definedName>
    <definedName name="NMTAX">#REF!</definedName>
    <definedName name="nn" hidden="1">38343.6211805556</definedName>
    <definedName name="NODAYSINPRD" localSheetId="3">#REF!</definedName>
    <definedName name="NODAYSINPRD">#REF!</definedName>
    <definedName name="NODELPOINTS" localSheetId="3">#REF!</definedName>
    <definedName name="NODELPOINTS">#REF!</definedName>
    <definedName name="NONCURRENT_ASSETS" localSheetId="3">#REF!</definedName>
    <definedName name="NONCURRENT_ASSETS">#REF!</definedName>
    <definedName name="NONCURRENT_LIABILITIES" localSheetId="3">#REF!</definedName>
    <definedName name="NONCURRENT_LIABILITIES">#REF!</definedName>
    <definedName name="NonRegOffset">#REF!</definedName>
    <definedName name="Nonsample_Allocation" localSheetId="3">#REF!</definedName>
    <definedName name="Nonsample_Allocation">#REF!</definedName>
    <definedName name="Nope" localSheetId="1" hidden="1">{"'Bellville Acetylene'!$A$1:$L$99"}</definedName>
    <definedName name="Nope" localSheetId="3" hidden="1">{"'Bellville Acetylene'!$A$1:$L$99"}</definedName>
    <definedName name="Nope" hidden="1">{"'Bellville Acetylene'!$A$1:$L$99"}</definedName>
    <definedName name="NOTBALANCED" localSheetId="1">#REF!</definedName>
    <definedName name="NOTBALANCED">#REF!</definedName>
    <definedName name="nova" localSheetId="1" hidden="1">{#N/A,#N/A,FALSE,"Apar.Telef.";#N/A,#N/A,FALSE,"Software";#N/A,#N/A,FALSE,"Equip.Inform.";#N/A,#N/A,FALSE,"Moveis";#N/A,#N/A,FALSE,"Gravataí"}</definedName>
    <definedName name="nova" localSheetId="3" hidden="1">{#N/A,#N/A,FALSE,"Apar.Telef.";#N/A,#N/A,FALSE,"Software";#N/A,#N/A,FALSE,"Equip.Inform.";#N/A,#N/A,FALSE,"Moveis";#N/A,#N/A,FALSE,"Gravataí"}</definedName>
    <definedName name="nova" hidden="1">{#N/A,#N/A,FALSE,"Apar.Telef.";#N/A,#N/A,FALSE,"Software";#N/A,#N/A,FALSE,"Equip.Inform.";#N/A,#N/A,FALSE,"Moveis";#N/A,#N/A,FALSE,"Gravataí"}</definedName>
    <definedName name="NOVEMBERFACTOR" localSheetId="3">#REF!</definedName>
    <definedName name="NOVEMBERFACTOR">#REF!</definedName>
    <definedName name="NOVEMBERINTEREST" localSheetId="3">#REF!</definedName>
    <definedName name="NOVEMBERINTEREST">#REF!</definedName>
    <definedName name="NOVEMBERSURCHARGE" localSheetId="3">#REF!</definedName>
    <definedName name="NOVEMBERSURCHARGE">#REF!</definedName>
    <definedName name="NPVLev" hidden="1">#REF!</definedName>
    <definedName name="NRange7001" hidden="1">#REF!</definedName>
    <definedName name="NRange7002" hidden="1">#REF!</definedName>
    <definedName name="NRange7003" hidden="1">#REF!</definedName>
    <definedName name="NRange7004" hidden="1">#REF!</definedName>
    <definedName name="NRange7006" hidden="1">#REF!</definedName>
    <definedName name="NRange7007" hidden="1">#REF!</definedName>
    <definedName name="NRange7008" hidden="1">#REF!</definedName>
    <definedName name="NRange7023" hidden="1">#REF!</definedName>
    <definedName name="NRange7024" hidden="1">#REF!</definedName>
    <definedName name="NRange7025" hidden="1">#REF!</definedName>
    <definedName name="NRange7026" hidden="1">#REF!</definedName>
    <definedName name="NRange7027" hidden="1">#REF!</definedName>
    <definedName name="NRange7028" hidden="1">#REF!</definedName>
    <definedName name="NRange7040" hidden="1">#REF!</definedName>
    <definedName name="NRange7042" hidden="1">#REF!</definedName>
    <definedName name="NRange7043" hidden="1">#REF!</definedName>
    <definedName name="NRange7048" hidden="1">#REF!</definedName>
    <definedName name="NRange7119" hidden="1">#REF!</definedName>
    <definedName name="NRange7120" hidden="1">#REF!</definedName>
    <definedName name="NRange7121" hidden="1">#REF!</definedName>
    <definedName name="NRange7122" hidden="1">#REF!</definedName>
    <definedName name="NRange7123" hidden="1">#REF!</definedName>
    <definedName name="NRange7124" hidden="1">#REF!</definedName>
    <definedName name="NRange7125" hidden="1">#REF!</definedName>
    <definedName name="NRange7126" hidden="1">#REF!</definedName>
    <definedName name="NRange7127" hidden="1">#REF!</definedName>
    <definedName name="NRange7132" hidden="1">#REF!</definedName>
    <definedName name="NRange7133" hidden="1">#REF!</definedName>
    <definedName name="NRange7134N" hidden="1">#REF!</definedName>
    <definedName name="NRange7135N" hidden="1">#REF!</definedName>
    <definedName name="NRange7136N" hidden="1">#REF!</definedName>
    <definedName name="NRange7177" hidden="1">#REF!</definedName>
    <definedName name="NRange7189" hidden="1">#REF!</definedName>
    <definedName name="NRange7190" hidden="1">#REF!</definedName>
    <definedName name="NRange7191" hidden="1">#REF!</definedName>
    <definedName name="NRange7192" hidden="1">#REF!</definedName>
    <definedName name="NRange7193" hidden="1">#REF!</definedName>
    <definedName name="NRange7195" hidden="1">#REF!</definedName>
    <definedName name="NRange7196" hidden="1">#REF!</definedName>
    <definedName name="NRange7200" hidden="1">#REF!</definedName>
    <definedName name="NRange7201" hidden="1">#REF!</definedName>
    <definedName name="NRange7202" hidden="1">#REF!</definedName>
    <definedName name="NRange7203" hidden="1">#REF!</definedName>
    <definedName name="NRange7205" hidden="1">#REF!</definedName>
    <definedName name="NRange7223" hidden="1">#REF!</definedName>
    <definedName name="NRange7224" hidden="1">#REF!</definedName>
    <definedName name="NRange7225" hidden="1">#REF!</definedName>
    <definedName name="NRange7228" hidden="1">#REF!</definedName>
    <definedName name="NRange7229" hidden="1">#REF!</definedName>
    <definedName name="NRange7230" hidden="1">#REF!</definedName>
    <definedName name="NRange7232" hidden="1">#REF!</definedName>
    <definedName name="NRange7233" hidden="1">#REF!</definedName>
    <definedName name="NRange7234" hidden="1">#REF!</definedName>
    <definedName name="NRange7235" hidden="1">#REF!</definedName>
    <definedName name="NRange7236" hidden="1">#REF!</definedName>
    <definedName name="NRange7332" hidden="1">#REF!</definedName>
    <definedName name="NRange7333" hidden="1">#REF!</definedName>
    <definedName name="NRange7363" hidden="1">#REF!</definedName>
    <definedName name="NRange7379" hidden="1">#REF!</definedName>
    <definedName name="NRange7418" hidden="1">#REF!</definedName>
    <definedName name="NRange7420" hidden="1">#REF!</definedName>
    <definedName name="NRange7421" hidden="1">#REF!</definedName>
    <definedName name="NRange7422" hidden="1">#REF!</definedName>
    <definedName name="NRange7423" hidden="1">#REF!</definedName>
    <definedName name="NRange7424" hidden="1">#REF!</definedName>
    <definedName name="NRange7426" hidden="1">#REF!</definedName>
    <definedName name="NRange7428" hidden="1">#REF!</definedName>
    <definedName name="NRange7429" hidden="1">#REF!</definedName>
    <definedName name="NRange7431" hidden="1">#REF!</definedName>
    <definedName name="NRange7435" hidden="1">#REF!</definedName>
    <definedName name="NRange8115" hidden="1">#REF!</definedName>
    <definedName name="ntec" localSheetId="3">#REF!</definedName>
    <definedName name="ntec">#REF!</definedName>
    <definedName name="NTPLTXPV" localSheetId="3">#REF!</definedName>
    <definedName name="NTPLTXPV">#REF!</definedName>
    <definedName name="NTurbs" hidden="1">#REF!</definedName>
    <definedName name="Num_Pmt_Per_Year">#REF!</definedName>
    <definedName name="Number_of_Payments" localSheetId="1">MATCH(0.01,End_Bal,-1)+1</definedName>
    <definedName name="Number_of_Payments" localSheetId="3">MATCH(0.01,End_Bal,-1)+1</definedName>
    <definedName name="Number_of_Payments">MATCH(0.01,End_Bal,-1)+1</definedName>
    <definedName name="NvsASD" localSheetId="4">"V2013-03-31"</definedName>
    <definedName name="NvsASD" localSheetId="5">"V2013-03-31"</definedName>
    <definedName name="NvsASD">"V2005-07-31"</definedName>
    <definedName name="NvsAutoDrillOk">"VN"</definedName>
    <definedName name="NvsElapsedTime" localSheetId="4">0.000115740738692693</definedName>
    <definedName name="NvsElapsedTime" localSheetId="5">0.000115740738692693</definedName>
    <definedName name="NvsElapsedTime">0.000104166669188999</definedName>
    <definedName name="NvsEndTime" localSheetId="4">41370.633587963</definedName>
    <definedName name="NvsEndTime" localSheetId="5">41370.633587963</definedName>
    <definedName name="NvsEndTime">38513.5880671296</definedName>
    <definedName name="NvsInstanceHook">"""nvsMacro"""</definedName>
    <definedName name="NvsInstLang">"VENG"</definedName>
    <definedName name="NvsInstSpec" localSheetId="4">"%,FBUSINESS_UNIT,V117"</definedName>
    <definedName name="NvsInstSpec" localSheetId="5">"%,FBUSINESS_UNIT,V117"</definedName>
    <definedName name="NvsInstSpec">"%,FBUSINESS_UNIT,V110"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 localSheetId="4">"%,X,RZF.ACCOUNT.,CNF.."</definedName>
    <definedName name="NvsNplSpec" localSheetId="5">"%,X,RZF.ACCOUNT.,CNF.."</definedName>
    <definedName name="NvsNplSpec">"%,X,RZF..,CZF.."</definedName>
    <definedName name="NvsPanelBusUnit" localSheetId="4">"V100"</definedName>
    <definedName name="NvsPanelBusUnit" localSheetId="5">"V100"</definedName>
    <definedName name="NvsPanelBusUnit">"V"</definedName>
    <definedName name="NvsPanelEffdt" localSheetId="4">"V2099-01-01"</definedName>
    <definedName name="NvsPanelEffdt" localSheetId="5">"V2099-01-01"</definedName>
    <definedName name="NvsPanelEffdt">"V2000-06-01"</definedName>
    <definedName name="NvsPanelSetid">"VAEP"</definedName>
    <definedName name="NvsParentRef">"Sheet1!$$0"</definedName>
    <definedName name="NvsReqBU" localSheetId="4">"VX999"</definedName>
    <definedName name="NvsReqBU" localSheetId="5">"VX999"</definedName>
    <definedName name="NvsReqBU">"V100"</definedName>
    <definedName name="NvsReqBUOnly">"VN"</definedName>
    <definedName name="NvsTransLed">"VN"</definedName>
    <definedName name="NvsTree.GL_PRPT_CONS">"NNNNN"</definedName>
    <definedName name="NvsTreeASD" localSheetId="4">"V2099-01-01"</definedName>
    <definedName name="NvsTreeASD" localSheetId="5">"V2099-01-01"</definedName>
    <definedName name="NvsTreeASD">"V2005-07-31"</definedName>
    <definedName name="NvsValTbl.ACCOUNT">"GL_ACCOUNT_TBL"</definedName>
    <definedName name="NvsValTbl.AEP_COST_COMPONENT">"AEP_COSTC_TBL"</definedName>
    <definedName name="NvsValTbl.BUSINESS_UNIT">"BUS_UNIT_TBL_GL"</definedName>
    <definedName name="NvsValTbl.CURRENCY_CD">"CURRENCY_CD_TBL"</definedName>
    <definedName name="NvsValTbl.DEPTID">"DEPT_TBL"</definedName>
    <definedName name="oct" localSheetId="3">#REF!</definedName>
    <definedName name="oct">#REF!</definedName>
    <definedName name="OCTEXG" localSheetId="3">#REF!</definedName>
    <definedName name="OCTEXG">#REF!</definedName>
    <definedName name="OCTEXH" localSheetId="3">#REF!</definedName>
    <definedName name="OCTEXH">#REF!</definedName>
    <definedName name="OCTEXI">#REF!</definedName>
    <definedName name="OCTOBERFACTOR">#REF!</definedName>
    <definedName name="OCTOBERINTEREST">#REF!</definedName>
    <definedName name="OCTOBERSURCHARGE">#REF!</definedName>
    <definedName name="OFPCBLKW">#REF!</definedName>
    <definedName name="OFPKBILLKWH">#REF!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IRN_RTPVar">#REF!</definedName>
    <definedName name="ompa" localSheetId="3">#REF!</definedName>
    <definedName name="ompa">#REF!</definedName>
    <definedName name="ONPKBILLKWH" localSheetId="3">#REF!</definedName>
    <definedName name="ONPKBILLKWH">#REF!</definedName>
    <definedName name="ONPKCAPB" localSheetId="3">#REF!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nsite">#REF!</definedName>
    <definedName name="OOM_1" hidden="1">#REF!</definedName>
    <definedName name="OOM_2" hidden="1">#REF!</definedName>
    <definedName name="OOM_3" hidden="1">#REF!</definedName>
    <definedName name="OOM_4" hidden="1">#REF!</definedName>
    <definedName name="OPCBLKW" localSheetId="3">#REF!</definedName>
    <definedName name="OPCBLKW">#REF!</definedName>
    <definedName name="OPCO" localSheetId="3">#REF!</definedName>
    <definedName name="OPCO">#REF!</definedName>
    <definedName name="OPR_ID" localSheetId="3">#REF!</definedName>
    <definedName name="OPR_ID">#REF!</definedName>
    <definedName name="OPXCSKW">#REF!</definedName>
    <definedName name="OPXCSKWDT">#REF!</definedName>
    <definedName name="OPXCSKWH">#REF!</definedName>
    <definedName name="OPXCSKWTM">#REF!</definedName>
    <definedName name="OriginalValuationResults">#REF!</definedName>
    <definedName name="other" localSheetId="3" hidden="1">#REF!</definedName>
    <definedName name="other" hidden="1">#REF!</definedName>
    <definedName name="OtherEnergyAdder" hidden="1">#REF!</definedName>
    <definedName name="OtherEnergySalesAdder" hidden="1">#REF!</definedName>
    <definedName name="OtherOMAdder" hidden="1">#REF!</definedName>
    <definedName name="OTHRTRNSKWH" localSheetId="3">#REF!</definedName>
    <definedName name="OTHRTRNSKWH">#REF!</definedName>
    <definedName name="Ownership" hidden="1">OFFSET(#REF!,1,0)</definedName>
    <definedName name="p.Covenants" localSheetId="3" hidden="1">#REF!</definedName>
    <definedName name="p.Covenants" hidden="1">#REF!</definedName>
    <definedName name="p.Covenants_Titles" hidden="1">#REF!</definedName>
    <definedName name="p.CreditStats" hidden="1">#REF!</definedName>
    <definedName name="p.DCF" hidden="1">#REF!</definedName>
    <definedName name="p.DCF_Titles" hidden="1">#REF!</definedName>
    <definedName name="p.DivisionA" hidden="1">#REF!</definedName>
    <definedName name="p.DivisionB" hidden="1">#REF!</definedName>
    <definedName name="p.DivisionC" hidden="1">#REF!</definedName>
    <definedName name="p.DivisionD" hidden="1">#REF!</definedName>
    <definedName name="p.DivisionE" hidden="1">#REF!</definedName>
    <definedName name="p.DivisionF" hidden="1">#REF!</definedName>
    <definedName name="p.DivisionG" hidden="1">#REF!</definedName>
    <definedName name="p.DivisionH" hidden="1">#REF!</definedName>
    <definedName name="p.IRR" hidden="1">#REF!</definedName>
    <definedName name="p.IRR_Titles" hidden="1">#REF!</definedName>
    <definedName name="p.LTM_BS" hidden="1">#REF!</definedName>
    <definedName name="p.LTM_IS" hidden="1">#REF!</definedName>
    <definedName name="p.SP" hidden="1">#REF!</definedName>
    <definedName name="p.Summary" hidden="1">#REF!</definedName>
    <definedName name="p.Summary_Titles" hidden="1">#REF!</definedName>
    <definedName name="P1PENPERC">#REF!</definedName>
    <definedName name="P2PENPERC">#REF!</definedName>
    <definedName name="PA">#REF!</definedName>
    <definedName name="PAGE1" localSheetId="3">#REF!</definedName>
    <definedName name="PAGE1">#REF!</definedName>
    <definedName name="page10" localSheetId="3">#REF!</definedName>
    <definedName name="page10">#REF!</definedName>
    <definedName name="PAGE11" localSheetId="3">#REF!</definedName>
    <definedName name="PAGE11">#REF!</definedName>
    <definedName name="PAGE12">#REF!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2">#REF!</definedName>
    <definedName name="PAGE20">#REF!</definedName>
    <definedName name="PAGE21">#REF!</definedName>
    <definedName name="PAGE22">#REF!</definedName>
    <definedName name="PAGE23">#REF!</definedName>
    <definedName name="PAGE24">#REF!</definedName>
    <definedName name="PAGE25">#REF!</definedName>
    <definedName name="PAGE26">#REF!</definedName>
    <definedName name="PAGE27">#REF!</definedName>
    <definedName name="PAGE28">#REF!</definedName>
    <definedName name="PAGE29">#REF!</definedName>
    <definedName name="PAGE3">#REF!</definedName>
    <definedName name="PAGE30">#REF!</definedName>
    <definedName name="PAGE31">#REF!</definedName>
    <definedName name="PAGE32">#REF!</definedName>
    <definedName name="PAGE33">#REF!</definedName>
    <definedName name="PAGE34">#REF!</definedName>
    <definedName name="PAGE35">#REF!</definedName>
    <definedName name="PAGE36">#REF!</definedName>
    <definedName name="PAGE37">#REF!</definedName>
    <definedName name="PAGE38">#REF!</definedName>
    <definedName name="PAGE39">#REF!</definedName>
    <definedName name="PAGE4">#REF!</definedName>
    <definedName name="PAGE40">#REF!</definedName>
    <definedName name="PAGE41">#REF!</definedName>
    <definedName name="PAGE42">#REF!</definedName>
    <definedName name="PAGE43">#REF!</definedName>
    <definedName name="PAGE44">#REF!</definedName>
    <definedName name="PAGE45">#REF!</definedName>
    <definedName name="PAGE46">#REF!</definedName>
    <definedName name="PAGE47">#REF!</definedName>
    <definedName name="PAGE48">#REF!</definedName>
    <definedName name="PAGE49">#REF!</definedName>
    <definedName name="page5">#REF!</definedName>
    <definedName name="PAGE50">#REF!</definedName>
    <definedName name="PAGE51">#REF!</definedName>
    <definedName name="PAGE52">#REF!</definedName>
    <definedName name="PAGE53">#REF!</definedName>
    <definedName name="PAGE54">#REF!</definedName>
    <definedName name="PAGE55">#REF!</definedName>
    <definedName name="PAGE56">#REF!</definedName>
    <definedName name="PAGE57">#REF!</definedName>
    <definedName name="PAGE6">#REF!</definedName>
    <definedName name="PAGE7">#REF!</definedName>
    <definedName name="page8">#REF!</definedName>
    <definedName name="page9">#REF!</definedName>
    <definedName name="PAGEA">#REF!</definedName>
    <definedName name="PAGEB">#REF!</definedName>
    <definedName name="PAGEC">#REF!</definedName>
    <definedName name="PAGED5">#REF!</definedName>
    <definedName name="PAGED6">#REF!</definedName>
    <definedName name="PAGEE2">#REF!</definedName>
    <definedName name="PAGEE3">#REF!</definedName>
    <definedName name="PAGEE4">#REF!</definedName>
    <definedName name="PAGEE5">#REF!</definedName>
    <definedName name="PAGEG1" localSheetId="3">#REF!</definedName>
    <definedName name="PAGEG1">#REF!</definedName>
    <definedName name="PAGEH1" localSheetId="3">#REF!</definedName>
    <definedName name="PAGEH1">#REF!</definedName>
    <definedName name="PAGEHEADERS" localSheetId="3">#REF!</definedName>
    <definedName name="PAGEHEADERS">#REF!</definedName>
    <definedName name="PAGEI">#REF!</definedName>
    <definedName name="PAGEI1">#REF!</definedName>
    <definedName name="PAGEI2">#REF!</definedName>
    <definedName name="PAGEI3">#REF!</definedName>
    <definedName name="PAGEI4">#REF!</definedName>
    <definedName name="PAGEI5">#REF!</definedName>
    <definedName name="PAGEI6">#REF!</definedName>
    <definedName name="PAGEI7">#REF!</definedName>
    <definedName name="PAGEI8">#REF!</definedName>
    <definedName name="PAGEJ1">#REF!</definedName>
    <definedName name="PAGEK1">#REF!</definedName>
    <definedName name="PAGEL">#REF!</definedName>
    <definedName name="Pal_Workbook_GUID" hidden="1">"4SWFZD7W4XYR3NL7DEQRXHBJ"</definedName>
    <definedName name="panther_wrn.test1." localSheetId="1" hidden="1">{"Income Statement",#N/A,FALSE,"CFMODEL";"Balance Sheet",#N/A,FALSE,"CFMODEL"}</definedName>
    <definedName name="panther_wrn.test1." localSheetId="3" hidden="1">{"Income Statement",#N/A,FALSE,"CFMODEL";"Balance Sheet",#N/A,FALSE,"CFMODEL"}</definedName>
    <definedName name="panther_wrn.test1." hidden="1">{"Income Statement",#N/A,FALSE,"CFMODEL";"Balance Sheet",#N/A,FALSE,"CFMODEL"}</definedName>
    <definedName name="panther_wrn.test2." localSheetId="1" hidden="1">{"SourcesUses",#N/A,TRUE,"CFMODEL";"TransOverview",#N/A,TRUE,"CFMODEL"}</definedName>
    <definedName name="panther_wrn.test2." localSheetId="3" hidden="1">{"SourcesUses",#N/A,TRUE,"CFMODEL";"TransOverview",#N/A,TRUE,"CFMODEL"}</definedName>
    <definedName name="panther_wrn.test2." hidden="1">{"SourcesUses",#N/A,TRUE,"CFMODEL";"TransOverview",#N/A,TRUE,"CFMODEL"}</definedName>
    <definedName name="panther_wrn.test3." localSheetId="1" hidden="1">{"SourcesUses",#N/A,TRUE,#N/A;"TransOverview",#N/A,TRUE,"CFMODEL"}</definedName>
    <definedName name="panther_wrn.test3." localSheetId="3" hidden="1">{"SourcesUses",#N/A,TRUE,#N/A;"TransOverview",#N/A,TRUE,"CFMODEL"}</definedName>
    <definedName name="panther_wrn.test3." hidden="1">{"SourcesUses",#N/A,TRUE,#N/A;"TransOverview",#N/A,TRUE,"CFMODEL"}</definedName>
    <definedName name="panther_wrn.test4." localSheetId="1" hidden="1">{"SourcesUses",#N/A,TRUE,"FundsFlow";"TransOverview",#N/A,TRUE,"FundsFlow"}</definedName>
    <definedName name="panther_wrn.test4." localSheetId="3" hidden="1">{"SourcesUses",#N/A,TRUE,"FundsFlow";"TransOverview",#N/A,TRUE,"FundsFlow"}</definedName>
    <definedName name="panther_wrn.test4." hidden="1">{"SourcesUses",#N/A,TRUE,"FundsFlow";"TransOverview",#N/A,TRUE,"FundsFlow"}</definedName>
    <definedName name="Parameter1Name" hidden="1">#REF!</definedName>
    <definedName name="Parameter2Name" hidden="1">#REF!</definedName>
    <definedName name="Pay_Date" localSheetId="3">#REF!</definedName>
    <definedName name="Pay_Date">#REF!</definedName>
    <definedName name="Pay_Num">#REF!</definedName>
    <definedName name="payable2" localSheetId="3" hidden="1">#REF!</definedName>
    <definedName name="payable2" hidden="1">#REF!</definedName>
    <definedName name="Payment_Date" localSheetId="1">DATE(YEAR(Loan_Start),MONTH(Loan_Start)+Payment_Number,DAY(Loan_Start))</definedName>
    <definedName name="Payment_Date" localSheetId="3">DATE(YEAR(Loan_Start),MONTH(Loan_Start)+Payment_Number,DAY(Loan_Start))</definedName>
    <definedName name="Payment_Date">DATE(YEAR(Loan_Start),MONTH(Loan_Start)+Payment_Number,DAY(Loan_Start))</definedName>
    <definedName name="PBO_SC_SRP">#REF!</definedName>
    <definedName name="PBO_SRP">#REF!</definedName>
    <definedName name="PC_Percent" localSheetId="1">#REF!</definedName>
    <definedName name="PC_Percent">#REF!</definedName>
    <definedName name="pea" localSheetId="1" hidden="1">{#N/A,#N/A,FALSE,"Assumptions";"Model",#N/A,FALSE,"MDU";#N/A,#N/A,FALSE,"Notes"}</definedName>
    <definedName name="pea" localSheetId="3" hidden="1">{#N/A,#N/A,FALSE,"Assumptions";"Model",#N/A,FALSE,"MDU";#N/A,#N/A,FALSE,"Notes"}</definedName>
    <definedName name="pea" hidden="1">{#N/A,#N/A,FALSE,"Assumptions";"Model",#N/A,FALSE,"MDU";#N/A,#N/A,FALSE,"Notes"}</definedName>
    <definedName name="PeakDemandChg" localSheetId="3">#REF!</definedName>
    <definedName name="PeakDemandChg">#REF!</definedName>
    <definedName name="PenaltyDays" localSheetId="3">#REF!</definedName>
    <definedName name="PenaltyDays">#REF!</definedName>
    <definedName name="PenaltyPct" localSheetId="3">#REF!</definedName>
    <definedName name="PenaltyPct">#REF!</definedName>
    <definedName name="PENDAYS">#REF!</definedName>
    <definedName name="PENDAYS2">#REF!</definedName>
    <definedName name="PenDR">#REF!</definedName>
    <definedName name="Percent" localSheetId="3">#REF!</definedName>
    <definedName name="Percent">#REF!</definedName>
    <definedName name="Period">#REF!</definedName>
    <definedName name="Period1AAdder" hidden="1">#REF!</definedName>
    <definedName name="Period1BAdder" hidden="1">#REF!</definedName>
    <definedName name="Period2AAdder" hidden="1">#REF!</definedName>
    <definedName name="perpt" localSheetId="1" hidden="1">{#N/A,#N/A,FALSE,"TD 1";#N/A,#N/A,FALSE,"TD 2";#N/A,#N/A,FALSE,"TD 3";#N/A,#N/A,FALSE,"TD 4";#N/A,#N/A,FALSE,"TD 5A";#N/A,#N/A,FALSE,"TD 5B";#N/A,#N/A,FALSE,"TD 6A";#N/A,#N/A,FALSE,"TD 6B";#N/A,#N/A,FALSE,"TD 7";#N/A,#N/A,FALSE,"TD 8";#N/A,#N/A,FALSE,"TD 9A";#N/A,#N/A,FALSE,"TD 9B";#N/A,#N/A,FALSE,"TD 10";#N/A,#N/A,FALSE,"TD 11";#N/A,#N/A,FALSE,"TD 12";#N/A,#N/A,FALSE,"TD DEC"}</definedName>
    <definedName name="perpt" localSheetId="3" hidden="1">{#N/A,#N/A,FALSE,"TD 1";#N/A,#N/A,FALSE,"TD 2";#N/A,#N/A,FALSE,"TD 3";#N/A,#N/A,FALSE,"TD 4";#N/A,#N/A,FALSE,"TD 5A";#N/A,#N/A,FALSE,"TD 5B";#N/A,#N/A,FALSE,"TD 6A";#N/A,#N/A,FALSE,"TD 6B";#N/A,#N/A,FALSE,"TD 7";#N/A,#N/A,FALSE,"TD 8";#N/A,#N/A,FALSE,"TD 9A";#N/A,#N/A,FALSE,"TD 9B";#N/A,#N/A,FALSE,"TD 10";#N/A,#N/A,FALSE,"TD 11";#N/A,#N/A,FALSE,"TD 12";#N/A,#N/A,FALSE,"TD DEC"}</definedName>
    <definedName name="perpt" hidden="1">{#N/A,#N/A,FALSE,"TD 1";#N/A,#N/A,FALSE,"TD 2";#N/A,#N/A,FALSE,"TD 3";#N/A,#N/A,FALSE,"TD 4";#N/A,#N/A,FALSE,"TD 5A";#N/A,#N/A,FALSE,"TD 5B";#N/A,#N/A,FALSE,"TD 6A";#N/A,#N/A,FALSE,"TD 6B";#N/A,#N/A,FALSE,"TD 7";#N/A,#N/A,FALSE,"TD 8";#N/A,#N/A,FALSE,"TD 9A";#N/A,#N/A,FALSE,"TD 9B";#N/A,#N/A,FALSE,"TD 10";#N/A,#N/A,FALSE,"TD 11";#N/A,#N/A,FALSE,"TD 12";#N/A,#N/A,FALSE,"TD DEC"}</definedName>
    <definedName name="PFADJ">#REF!</definedName>
    <definedName name="PFCC" localSheetId="3">#REF!</definedName>
    <definedName name="PFCC">#REF!</definedName>
    <definedName name="PipelineacctNum" localSheetId="3">#REF!</definedName>
    <definedName name="PipelineacctNum">#REF!</definedName>
    <definedName name="PipelineMwh" localSheetId="3">#REF!</definedName>
    <definedName name="PipelineMwh">#REF!</definedName>
    <definedName name="PKKVAR">#REF!</definedName>
    <definedName name="PKKVARDATE">#REF!</definedName>
    <definedName name="PKKVARTIME">#REF!</definedName>
    <definedName name="PLTXPV3CTR">#REF!</definedName>
    <definedName name="PLTXPVPROD">#REF!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oso_wrn.test1." localSheetId="1" hidden="1">{"Income Statement",#N/A,FALSE,"CFMODEL";"Balance Sheet",#N/A,FALSE,"CFMODEL"}</definedName>
    <definedName name="poso_wrn.test1." localSheetId="3" hidden="1">{"Income Statement",#N/A,FALSE,"CFMODEL";"Balance Sheet",#N/A,FALSE,"CFMODEL"}</definedName>
    <definedName name="poso_wrn.test1." hidden="1">{"Income Statement",#N/A,FALSE,"CFMODEL";"Balance Sheet",#N/A,FALSE,"CFMODEL"}</definedName>
    <definedName name="poso_wrn.test2." localSheetId="1" hidden="1">{"SourcesUses",#N/A,TRUE,"CFMODEL";"TransOverview",#N/A,TRUE,"CFMODEL"}</definedName>
    <definedName name="poso_wrn.test2." localSheetId="3" hidden="1">{"SourcesUses",#N/A,TRUE,"CFMODEL";"TransOverview",#N/A,TRUE,"CFMODEL"}</definedName>
    <definedName name="poso_wrn.test2." hidden="1">{"SourcesUses",#N/A,TRUE,"CFMODEL";"TransOverview",#N/A,TRUE,"CFMODEL"}</definedName>
    <definedName name="poso_wrn.test3." localSheetId="1" hidden="1">{"SourcesUses",#N/A,TRUE,#N/A;"TransOverview",#N/A,TRUE,"CFMODEL"}</definedName>
    <definedName name="poso_wrn.test3." localSheetId="3" hidden="1">{"SourcesUses",#N/A,TRUE,#N/A;"TransOverview",#N/A,TRUE,"CFMODEL"}</definedName>
    <definedName name="poso_wrn.test3." hidden="1">{"SourcesUses",#N/A,TRUE,#N/A;"TransOverview",#N/A,TRUE,"CFMODEL"}</definedName>
    <definedName name="poso_wrn.test4." localSheetId="1" hidden="1">{"SourcesUses",#N/A,TRUE,"FundsFlow";"TransOverview",#N/A,TRUE,"FundsFlow"}</definedName>
    <definedName name="poso_wrn.test4." localSheetId="3" hidden="1">{"SourcesUses",#N/A,TRUE,"FundsFlow";"TransOverview",#N/A,TRUE,"FundsFlow"}</definedName>
    <definedName name="poso_wrn.test4." hidden="1">{"SourcesUses",#N/A,TRUE,"FundsFlow";"TransOverview",#N/A,TRUE,"FundsFlow"}</definedName>
    <definedName name="pp">#REF!</definedName>
    <definedName name="PP_Adj">#REF!</definedName>
    <definedName name="PP_Flip">#REF!</definedName>
    <definedName name="PPASelection" hidden="1">#REF!</definedName>
    <definedName name="PREPAY" localSheetId="3">#REF!</definedName>
    <definedName name="PREPAY">#REF!</definedName>
    <definedName name="PRETAXINC" localSheetId="3">#REF!</definedName>
    <definedName name="PRETAXINC">#REF!</definedName>
    <definedName name="PRICEDESIG" localSheetId="3">#REF!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Princ">#REF!</definedName>
    <definedName name="_xlnm.Print_Area" localSheetId="4">'Sch 4'!$A$1:$I$527</definedName>
    <definedName name="_xlnm.Print_Area" localSheetId="5">'Sch 5'!$A$1:$BF$516</definedName>
    <definedName name="_xlnm.Print_Area" hidden="1">#REF!</definedName>
    <definedName name="Print_Area_0" localSheetId="3">#REF!</definedName>
    <definedName name="Print_Area_0">#REF!</definedName>
    <definedName name="Print_Area_1" localSheetId="1">#REF!</definedName>
    <definedName name="Print_Area_1" localSheetId="3">#REF!</definedName>
    <definedName name="Print_Area_1">#REF!</definedName>
    <definedName name="Print_Area_2">#REF!</definedName>
    <definedName name="Print_Area_3">#REF!</definedName>
    <definedName name="Print_Area_MI">#REF!</definedName>
    <definedName name="Print_Area_Reset" localSheetId="1">OFFSET(Full_Print,0,0,Last_Row)</definedName>
    <definedName name="Print_Area_Reset" localSheetId="3">OFFSET(Full_Print,0,0,Last_Row)</definedName>
    <definedName name="Print_Area_Reset">OFFSET(Full_Print,0,0,Last_Row)</definedName>
    <definedName name="_xlnm.Print_Titles" localSheetId="4">'Sch 4'!$1:$5</definedName>
    <definedName name="_xlnm.Print_Titles" localSheetId="5">'Sch 5'!$A:$B,'Sch 5'!$1:$4</definedName>
    <definedName name="_xlnm.Print_Titles" hidden="1">#REF!,#REF!</definedName>
    <definedName name="Print_Titles_MI" localSheetId="3">#REF!</definedName>
    <definedName name="Print_Titles_MI">#REF!</definedName>
    <definedName name="PRINTJE1" localSheetId="3">#REF!</definedName>
    <definedName name="PRINTJE1">#REF!</definedName>
    <definedName name="PRINTJE2" localSheetId="3">#REF!</definedName>
    <definedName name="PRINTJE2">#REF!</definedName>
    <definedName name="prn.All." localSheetId="1"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prn.All." localSheetId="3"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prn.All."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prn.Arcform3." localSheetId="1" hidden="1">{"Grant",#N/A,FALSE,"Grant";"GP Developer",#N/A,FALSE,"GP &amp; Dev Loans";"Operating Analysis",#N/A,FALSE,"Operations";"Tax Credit",#N/A,FALSE,"Tax Credits";"Tax Credit Analysis",#N/A,FALSE,"TC Analysis"}</definedName>
    <definedName name="prn.Arcform3." localSheetId="3" hidden="1">{"Grant",#N/A,FALSE,"Grant";"GP Developer",#N/A,FALSE,"GP &amp; Dev Loans";"Operating Analysis",#N/A,FALSE,"Operations";"Tax Credit",#N/A,FALSE,"Tax Credits";"Tax Credit Analysis",#N/A,FALSE,"TC Analysis"}</definedName>
    <definedName name="prn.Arcform3." hidden="1">{"Grant",#N/A,FALSE,"Grant";"GP Developer",#N/A,FALSE,"GP &amp; Dev Loans";"Operating Analysis",#N/A,FALSE,"Operations";"Tax Credit",#N/A,FALSE,"Tax Credits";"Tax Credit Analysis",#N/A,FALSE,"TC Analysis"}</definedName>
    <definedName name="prn.rollup." localSheetId="1" hidden="1">{"page1",#N/A,FALSE,"rollup"}</definedName>
    <definedName name="prn.rollup." localSheetId="3" hidden="1">{"page1",#N/A,FALSE,"rollup"}</definedName>
    <definedName name="prn.rollup." hidden="1">{"page1",#N/A,FALSE,"rollup"}</definedName>
    <definedName name="Prod_Factor">#REF!</definedName>
    <definedName name="PROD4CP" localSheetId="3">#REF!</definedName>
    <definedName name="PROD4CP">#REF!</definedName>
    <definedName name="PRODLABOR" localSheetId="3">#REF!</definedName>
    <definedName name="PRODLABOR">#REF!</definedName>
    <definedName name="Production_Summary" localSheetId="3">#REF!</definedName>
    <definedName name="Production_Summary">#REF!</definedName>
    <definedName name="project">#REF!</definedName>
    <definedName name="project1">#REF!</definedName>
    <definedName name="ProjectName" localSheetId="1">{"Client Name or Project Name"}</definedName>
    <definedName name="ProjectName" localSheetId="3">{"Client Name or Project Name"}</definedName>
    <definedName name="ProjectName">{"Client Name or Project Name"}</definedName>
    <definedName name="PROPERTY">#REF!</definedName>
    <definedName name="PropTax">#REF!</definedName>
    <definedName name="PropTaxAdder" hidden="1">#REF!</definedName>
    <definedName name="PROREVXF" localSheetId="3">#REF!</definedName>
    <definedName name="PROREVXF">#REF!</definedName>
    <definedName name="PrRateYr1" hidden="1">#REF!</definedName>
    <definedName name="PRTWORK" localSheetId="3">#REF!</definedName>
    <definedName name="PRTWORK">#REF!</definedName>
    <definedName name="PRVCNT" localSheetId="3">#REF!</definedName>
    <definedName name="PRVCNT">#REF!</definedName>
    <definedName name="PRVDATE" localSheetId="3">#REF!</definedName>
    <definedName name="PRVDATE">#REF!</definedName>
    <definedName name="PRVFUEL">#REF!</definedName>
    <definedName name="PRVKW">#REF!</definedName>
    <definedName name="PRVKWH">#REF!</definedName>
    <definedName name="PRVMSRR">#REF!</definedName>
    <definedName name="PRVPFCC">#REF!</definedName>
    <definedName name="PSCChargeYearlyQP">#REF!</definedName>
    <definedName name="PSCChargeYearlySRP">#REF!</definedName>
    <definedName name="PTC">#REF!</definedName>
    <definedName name="PUB_FileID" hidden="1">"L10004026.xls"</definedName>
    <definedName name="PUB_UserID" hidden="1">"QUARKS"</definedName>
    <definedName name="PVCOMTR" localSheetId="3">#REF!</definedName>
    <definedName name="PVCOMTR">#REF!</definedName>
    <definedName name="PVHIOFPCBL" localSheetId="3">#REF!</definedName>
    <definedName name="PVHIOFPCBL">#REF!</definedName>
    <definedName name="PVHIOPCBL" localSheetId="3">#REF!</definedName>
    <definedName name="PVHIOPCBL">#REF!</definedName>
    <definedName name="PVLABOR">#REF!</definedName>
    <definedName name="PVPRODTR">#REF!</definedName>
    <definedName name="q">#REF!</definedName>
    <definedName name="Q1_Q3_Sample" localSheetId="3">#REF!</definedName>
    <definedName name="Q1_Q3_Sample">#REF!</definedName>
    <definedName name="Q2_Estimate">#REF!</definedName>
    <definedName name="Q3_Estimate">#REF!</definedName>
    <definedName name="Q4_Estimate">#REF!</definedName>
    <definedName name="QP_location">#REF!</definedName>
    <definedName name="QP_pay" localSheetId="3">#REF!</definedName>
    <definedName name="QP_pay">#REF!</definedName>
    <definedName name="QP_Status">#REF!</definedName>
    <definedName name="QP_Vested">#REF!</definedName>
    <definedName name="qqa" localSheetId="1" hidden="1">{"ARK_JURIS_FUEL",#N/A,FALSE,"Ark_Fuel&amp;Rev"}</definedName>
    <definedName name="qqa" localSheetId="3" hidden="1">{"ARK_JURIS_FUEL",#N/A,FALSE,"Ark_Fuel&amp;Rev"}</definedName>
    <definedName name="qqa" hidden="1">{"ARK_JURIS_FUEL",#N/A,FALSE,"Ark_Fuel&amp;Rev"}</definedName>
    <definedName name="qqq">"VN"</definedName>
    <definedName name="Query1" localSheetId="1">#REF!</definedName>
    <definedName name="Query1" localSheetId="3">#REF!</definedName>
    <definedName name="Query1">#REF!</definedName>
    <definedName name="r.BSAssets" localSheetId="3" hidden="1">#REF!</definedName>
    <definedName name="r.BSAssets" hidden="1">#REF!</definedName>
    <definedName name="r.BSEquity" localSheetId="3" hidden="1">#REF!</definedName>
    <definedName name="r.BSEquity" hidden="1">#REF!</definedName>
    <definedName name="r.BSLiabilities" hidden="1">#REF!</definedName>
    <definedName name="r.CashFlow" hidden="1">#REF!</definedName>
    <definedName name="r.ISGrossProfit" hidden="1">#REF!</definedName>
    <definedName name="r.ISInterest" hidden="1">#REF!</definedName>
    <definedName name="r.ISNetIncome" hidden="1">#REF!</definedName>
    <definedName name="r.Leverage" hidden="1">#REF!</definedName>
    <definedName name="r.Liquidity" hidden="1">#REF!</definedName>
    <definedName name="r.LTM" hidden="1">#REF!</definedName>
    <definedName name="r.LTMInterim" hidden="1">#REF!</definedName>
    <definedName name="r.Market" hidden="1">#REF!</definedName>
    <definedName name="r.Miscellaneous" hidden="1">#REF!</definedName>
    <definedName name="r.Profitability" hidden="1">#REF!</definedName>
    <definedName name="r.Summary" hidden="1">#REF!</definedName>
    <definedName name="Range_SFD">#REF!</definedName>
    <definedName name="Range_SFV">#REF!</definedName>
    <definedName name="RatchetFactor">#REF!</definedName>
    <definedName name="RATEBASE">#REF!</definedName>
    <definedName name="RATES">#REF!</definedName>
    <definedName name="RATESALL">#REF!</definedName>
    <definedName name="RCRDRID" localSheetId="3">#REF!</definedName>
    <definedName name="RCRDRID">#REF!</definedName>
    <definedName name="RCTVHRS" localSheetId="3">#REF!</definedName>
    <definedName name="RCTVHRS">#REF!</definedName>
    <definedName name="RDRBLK1C" localSheetId="3">#REF!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reassign">#REF!</definedName>
    <definedName name="reassigntexla">#REF!</definedName>
    <definedName name="RECAP">#REF!</definedName>
    <definedName name="_xlnm.Recorder">#REF!</definedName>
    <definedName name="Refund">#REF!</definedName>
    <definedName name="Renewables">#REF!</definedName>
    <definedName name="Renewables_Consol">#REF!</definedName>
    <definedName name="RES" localSheetId="3">#REF!</definedName>
    <definedName name="RES">#REF!</definedName>
    <definedName name="ResBasic" localSheetId="3">#REF!</definedName>
    <definedName name="ResBasic">#REF!</definedName>
    <definedName name="ResEconomy1" localSheetId="3">#REF!</definedName>
    <definedName name="ResEconomy1">#REF!</definedName>
    <definedName name="ResEconomy2" localSheetId="3">#REF!</definedName>
    <definedName name="ResEconomy2">#REF!</definedName>
    <definedName name="reserve1" hidden="1">#REF!</definedName>
    <definedName name="Reserved_Section" localSheetId="3">#REF!</definedName>
    <definedName name="Reserved_Section">#REF!</definedName>
    <definedName name="ResSummary" localSheetId="3">#REF!</definedName>
    <definedName name="ResSummary">#REF!</definedName>
    <definedName name="ResWaterHeating" localSheetId="3">#REF!</definedName>
    <definedName name="ResWaterHeating">#REF!</definedName>
    <definedName name="Retail">#REF!</definedName>
    <definedName name="Retained_Earnings" localSheetId="3">#REF!</definedName>
    <definedName name="Retained_Earnings">#REF!</definedName>
    <definedName name="Retire">#REF!</definedName>
    <definedName name="Rev_End" localSheetId="1">#REF!</definedName>
    <definedName name="Rev_End" localSheetId="3">#REF!</definedName>
    <definedName name="Rev_End">#REF!</definedName>
    <definedName name="RevExp" localSheetId="3">#REF!</definedName>
    <definedName name="RevExp">#REF!</definedName>
    <definedName name="RIDERS" localSheetId="3">#REF!</definedName>
    <definedName name="RIDERS">#REF!</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KVAHRDNG">#REF!</definedName>
    <definedName name="RLEV1">#REF!</definedName>
    <definedName name="rlev135">#REF!</definedName>
    <definedName name="rngShowNames" hidden="1">#REF!</definedName>
    <definedName name="rngToggles" hidden="1">#REF!</definedName>
    <definedName name="rrrer" localSheetId="1"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rrrer" localSheetId="3"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rrrer"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RTCHTCNTRCTCPCT">#REF!</definedName>
    <definedName name="RTCHTFCTR">#REF!</definedName>
    <definedName name="RTCHTFCTR2">#REF!</definedName>
    <definedName name="RTCHTHIPREVKW">#REF!</definedName>
    <definedName name="RTP">#REF!</definedName>
    <definedName name="RTP_Detail" localSheetId="3">#REF!</definedName>
    <definedName name="RTP_Detail">#REF!</definedName>
    <definedName name="RTPLRKW" localSheetId="3">#REF!</definedName>
    <definedName name="RTPLRKW">#REF!</definedName>
    <definedName name="s" localSheetId="3">#REF!</definedName>
    <definedName name="s">#REF!</definedName>
    <definedName name="S_REC" localSheetId="3">#REF!</definedName>
    <definedName name="S_REC">#REF!</definedName>
    <definedName name="sa" localSheetId="3">#REF!</definedName>
    <definedName name="sa">#REF!</definedName>
    <definedName name="sad" localSheetId="1" hidden="1">{#N/A,#N/A,FALSE,"FY97";#N/A,#N/A,FALSE,"FY98";#N/A,#N/A,FALSE,"FY99";#N/A,#N/A,FALSE,"FY00";#N/A,#N/A,FALSE,"FY01"}</definedName>
    <definedName name="sad" localSheetId="3" hidden="1">{#N/A,#N/A,FALSE,"FY97";#N/A,#N/A,FALSE,"FY98";#N/A,#N/A,FALSE,"FY99";#N/A,#N/A,FALSE,"FY00";#N/A,#N/A,FALSE,"FY01"}</definedName>
    <definedName name="sad" hidden="1">{#N/A,#N/A,FALSE,"FY97";#N/A,#N/A,FALSE,"FY98";#N/A,#N/A,FALSE,"FY99";#N/A,#N/A,FALSE,"FY00";#N/A,#N/A,FALSE,"FY01"}</definedName>
    <definedName name="SALWWHL">#REF!</definedName>
    <definedName name="SALXWHL">#REF!</definedName>
    <definedName name="SAMPLE">#REF!</definedName>
    <definedName name="Sample_Detail">#REF!</definedName>
    <definedName name="SAMPLESIZE">#REF!</definedName>
    <definedName name="SAPBEXdnldView" hidden="1">"52CU5ARR48LAZIK4QCB98K91A"</definedName>
    <definedName name="SAPBEXhrIndnt" hidden="1">"Wide"</definedName>
    <definedName name="SAPBEXsysID" hidden="1">"GP1"</definedName>
    <definedName name="SAPsysID" hidden="1">"708C5W7SBKP804JT78WJ0JNKI"</definedName>
    <definedName name="SAPwbID" hidden="1">"ARS"</definedName>
    <definedName name="SC_Act">#REF!</definedName>
    <definedName name="SC_Inact">#REF!</definedName>
    <definedName name="sch">#REF!</definedName>
    <definedName name="SCH_B1">#REF!</definedName>
    <definedName name="SCH_B3">#REF!</definedName>
    <definedName name="SCH_C2">#REF!</definedName>
    <definedName name="SCH_D2">#REF!</definedName>
    <definedName name="SCH_H2">#REF!</definedName>
    <definedName name="Sched_Pay">#REF!</definedName>
    <definedName name="Scheduled_Extra_Payments">#REF!</definedName>
    <definedName name="Scheduled_Interest_Rate" localSheetId="3">#REF!</definedName>
    <definedName name="Scheduled_Interest_Rate">#REF!</definedName>
    <definedName name="Scheduled_Monthly_Payment">#REF!</definedName>
    <definedName name="SchMdesc">#REF!</definedName>
    <definedName name="SDI" localSheetId="3">#REF!</definedName>
    <definedName name="SDI">#REF!</definedName>
    <definedName name="sds" localSheetId="3" hidden="1">#REF!</definedName>
    <definedName name="sds" hidden="1">#REF!</definedName>
    <definedName name="search_directory_name">"R:\fcm90prd\nvision\rpts\Fin_Reports\"</definedName>
    <definedName name="SECT1" localSheetId="3">#REF!</definedName>
    <definedName name="SECT1">#REF!</definedName>
    <definedName name="SECT10" localSheetId="3">#REF!</definedName>
    <definedName name="SECT10">#REF!</definedName>
    <definedName name="SECT1A" localSheetId="3">#REF!</definedName>
    <definedName name="SECT1A">#REF!</definedName>
    <definedName name="SECT1B">#REF!</definedName>
    <definedName name="SECT2">#REF!</definedName>
    <definedName name="SECT2A">#REF!</definedName>
    <definedName name="SECT2B">#REF!</definedName>
    <definedName name="SECT3">#REF!</definedName>
    <definedName name="SECT4">#REF!</definedName>
    <definedName name="SECT5">#REF!</definedName>
    <definedName name="SECT6">#REF!</definedName>
    <definedName name="SECT7">#REF!</definedName>
    <definedName name="SECT8">#REF!</definedName>
    <definedName name="SECT9">#REF!</definedName>
    <definedName name="SelectedPlot" hidden="1">#REF!</definedName>
    <definedName name="sencount" hidden="1">1</definedName>
    <definedName name="Sens0" hidden="1">#REF!</definedName>
    <definedName name="Sens175" hidden="1">#REF!</definedName>
    <definedName name="SensCheck416" hidden="1">#REF!</definedName>
    <definedName name="SEPTEMBERFACTOR" localSheetId="3">#REF!</definedName>
    <definedName name="SEPTEMBERFACTOR">#REF!</definedName>
    <definedName name="SEPTEMBERINTEREST" localSheetId="3">#REF!</definedName>
    <definedName name="SEPTEMBERINTEREST">#REF!</definedName>
    <definedName name="SEPTEMBERSURCHARGE" localSheetId="3">#REF!</definedName>
    <definedName name="SEPTEMBERSURCHARGE">#REF!</definedName>
    <definedName name="SET_RANGE" localSheetId="3">#REF!</definedName>
    <definedName name="SET_RANGE">#REF!</definedName>
    <definedName name="SHAREHOLDER_EQUITY" localSheetId="3">#REF!</definedName>
    <definedName name="SHAREHOLDER_EQUITY">#REF!</definedName>
    <definedName name="SHLDRPKKW" localSheetId="3">#REF!</definedName>
    <definedName name="SHLDRPKKW">#REF!</definedName>
    <definedName name="SHLDRPKKWDT" localSheetId="3">#REF!</definedName>
    <definedName name="SHLDRPKKWDT">#REF!</definedName>
    <definedName name="SHLDRPKKWTM" localSheetId="3">#REF!</definedName>
    <definedName name="SHLDRPKKWTM">#REF!</definedName>
    <definedName name="SHRDTRNSKWH">#REF!</definedName>
    <definedName name="SI">#REF!</definedName>
    <definedName name="Size_kW">#REF!</definedName>
    <definedName name="Solar">#REF!</definedName>
    <definedName name="solver_adj" localSheetId="3" hidden="1">#REF!</definedName>
    <definedName name="solver_adj" hidden="1">#REF!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opt" hidden="1">#REF!</definedName>
    <definedName name="solver_pre" hidden="1">0.000001</definedName>
    <definedName name="solver_rel1" hidden="1">2</definedName>
    <definedName name="solver_rel5" hidden="1">1</definedName>
    <definedName name="solver_rel6" hidden="1">1</definedName>
    <definedName name="solver_rel7" hidden="1">1</definedName>
    <definedName name="solver_rel8" hidden="1">3</definedName>
    <definedName name="solver_rhs1" hidden="1">17</definedName>
    <definedName name="solver_scl" hidden="1">2</definedName>
    <definedName name="solver_sho" hidden="1">2</definedName>
    <definedName name="solver_tim" hidden="1">100</definedName>
    <definedName name="solver_tmp" hidden="1">0</definedName>
    <definedName name="solver_tol" hidden="1">0.05</definedName>
    <definedName name="solver_typ" hidden="1">1</definedName>
    <definedName name="solver_val" hidden="1">0</definedName>
    <definedName name="SpFor" hidden="1">#REF!</definedName>
    <definedName name="SpFor15" hidden="1">#REF!</definedName>
    <definedName name="SpFor22" hidden="1">#REF!</definedName>
    <definedName name="SPOT0" localSheetId="3">#REF!</definedName>
    <definedName name="SPOT0">#REF!</definedName>
    <definedName name="SPOT10" localSheetId="3">#REF!</definedName>
    <definedName name="SPOT10">#REF!</definedName>
    <definedName name="SPOT11" localSheetId="3">#REF!</definedName>
    <definedName name="SPOT11">#REF!</definedName>
    <definedName name="SPOT12">#REF!</definedName>
    <definedName name="SPOT13">#REF!</definedName>
    <definedName name="SPOT14">#REF!</definedName>
    <definedName name="SPOT15">#REF!</definedName>
    <definedName name="SPOT16">#REF!</definedName>
    <definedName name="SPOT17">#REF!</definedName>
    <definedName name="SPOT18">#REF!</definedName>
    <definedName name="SPOT2">#REF!</definedName>
    <definedName name="SPOT3">#REF!</definedName>
    <definedName name="SPOT4">#REF!</definedName>
    <definedName name="SPOT5">#REF!</definedName>
    <definedName name="SPOT6">#REF!</definedName>
    <definedName name="SPOT7">#REF!</definedName>
    <definedName name="SPOT8">#REF!</definedName>
    <definedName name="SPOT9">#REF!</definedName>
    <definedName name="SPOTALLOC">#REF!</definedName>
    <definedName name="sppfee">#REF!</definedName>
    <definedName name="sppinvoice">#REF!</definedName>
    <definedName name="SREC_Price_1">#REF!</definedName>
    <definedName name="SREC_Price_2">#REF!</definedName>
    <definedName name="SREC_Price_3">#REF!</definedName>
    <definedName name="SREC_Price_4">#REF!</definedName>
    <definedName name="SREC_Term_1">#REF!</definedName>
    <definedName name="SREC_Term_2">#REF!</definedName>
    <definedName name="SREC_Term_3">#REF!</definedName>
    <definedName name="SREC_Term_4">#REF!</definedName>
    <definedName name="SREC_Year">#REF!</definedName>
    <definedName name="srg" localSheetId="1"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srg" localSheetId="3"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srg"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SRPLSKWH" localSheetId="3">#REF!</definedName>
    <definedName name="SRPLSKWH">#REF!</definedName>
    <definedName name="SRPUnrecPSC" localSheetId="3">#REF!</definedName>
    <definedName name="SRPUnrecPSC">#REF!</definedName>
    <definedName name="ss1et" localSheetId="3">#REF!</definedName>
    <definedName name="ss1et">#REF!</definedName>
    <definedName name="ss1gb">#REF!</definedName>
    <definedName name="ss1lh">#REF!</definedName>
    <definedName name="ss1nt">#REF!</definedName>
    <definedName name="ss1op">#REF!</definedName>
    <definedName name="ss1tx">#REF!</definedName>
    <definedName name="ss1wf">#REF!</definedName>
    <definedName name="ss2et">#REF!</definedName>
    <definedName name="ss2gb">#REF!</definedName>
    <definedName name="ss2lh">#REF!</definedName>
    <definedName name="ss2nt">#REF!</definedName>
    <definedName name="ss2op">#REF!</definedName>
    <definedName name="ss2tx">#REF!</definedName>
    <definedName name="ss2wf">#REF!</definedName>
    <definedName name="ss3et">#REF!</definedName>
    <definedName name="ss3gb">#REF!</definedName>
    <definedName name="ss3lh">#REF!</definedName>
    <definedName name="ss3nt">#REF!</definedName>
    <definedName name="ss3op">#REF!</definedName>
    <definedName name="ss3tx">#REF!</definedName>
    <definedName name="ss3wf">#REF!</definedName>
    <definedName name="ss5et">#REF!</definedName>
    <definedName name="ss5gb">#REF!</definedName>
    <definedName name="ss5lh">#REF!</definedName>
    <definedName name="ss5nt">#REF!</definedName>
    <definedName name="ss5op">#REF!</definedName>
    <definedName name="ss5tx">#REF!</definedName>
    <definedName name="ss5wf">#REF!</definedName>
    <definedName name="ss6et">#REF!</definedName>
    <definedName name="ss6gb">#REF!</definedName>
    <definedName name="ss6lh">#REF!</definedName>
    <definedName name="ss6nt">#REF!</definedName>
    <definedName name="ss6op">#REF!</definedName>
    <definedName name="ss6tx">#REF!</definedName>
    <definedName name="ss6wf">#REF!</definedName>
    <definedName name="STARTDTM">#REF!</definedName>
    <definedName name="StartMonth" hidden="1">#REF!</definedName>
    <definedName name="State" localSheetId="3">#REF!</definedName>
    <definedName name="State">#REF!</definedName>
    <definedName name="State_Tax_Accts">#REF!</definedName>
    <definedName name="State_tax_rate">#REF!</definedName>
    <definedName name="StateBR">#REF!</definedName>
    <definedName name="STDKW" localSheetId="3">#REF!</definedName>
    <definedName name="STDKW">#REF!</definedName>
    <definedName name="STDKWDT" localSheetId="3">#REF!</definedName>
    <definedName name="STDKWDT">#REF!</definedName>
    <definedName name="STDKWTM" localSheetId="3">#REF!</definedName>
    <definedName name="STDKWTM">#REF!</definedName>
    <definedName name="STOCK">#REF!</definedName>
    <definedName name="STRTTIME">#REF!</definedName>
    <definedName name="Stuff">#REF!</definedName>
    <definedName name="SubRateYr1" hidden="1">#REF!</definedName>
    <definedName name="SubResult">#REF!</definedName>
    <definedName name="SUMMARY" localSheetId="3">#REF!</definedName>
    <definedName name="SUMMARY">#REF!</definedName>
    <definedName name="SUMSTAT" localSheetId="3">#REF!</definedName>
    <definedName name="SUMSTAT">#REF!</definedName>
    <definedName name="SWEPCO_Exhibits_Print_Area" localSheetId="3" hidden="1">#REF!</definedName>
    <definedName name="SWEPCO_Exhibits_Print_Area" hidden="1">#REF!</definedName>
    <definedName name="SYSPKKW" localSheetId="3">#REF!</definedName>
    <definedName name="SYSPKKW">#REF!</definedName>
    <definedName name="SYSPKKWDT" localSheetId="3">#REF!</definedName>
    <definedName name="SYSPKKWDT">#REF!</definedName>
    <definedName name="SYSPKKWTM">#REF!</definedName>
    <definedName name="T_Prod">#REF!</definedName>
    <definedName name="T1PPA2" hidden="1">#REF!</definedName>
    <definedName name="T1PPA3" hidden="1">#REF!</definedName>
    <definedName name="T1WindEnergyPrice" hidden="1">#REF!</definedName>
    <definedName name="T3_Special" hidden="1">#REF!</definedName>
    <definedName name="Table1Start" hidden="1">#REF!</definedName>
    <definedName name="TARIFF1" localSheetId="3">#REF!</definedName>
    <definedName name="TARIFF1">#REF!</definedName>
    <definedName name="TARIFF2" localSheetId="3">#REF!</definedName>
    <definedName name="TARIFF2">#REF!</definedName>
    <definedName name="TariffCode" localSheetId="3">#REF!</definedName>
    <definedName name="TariffCode">#REF!</definedName>
    <definedName name="TariffLongName">#REF!</definedName>
    <definedName name="TariffShortName">#REF!</definedName>
    <definedName name="Tax_Deferral">#REF!</definedName>
    <definedName name="Tax_Incentive">#REF!</definedName>
    <definedName name="TAXDATE" localSheetId="3">#REF!</definedName>
    <definedName name="TAXDATE">#REF!</definedName>
    <definedName name="TAXES" localSheetId="3">#REF!</definedName>
    <definedName name="TAXES">#REF!</definedName>
    <definedName name="TAXNAME" localSheetId="3">#REF!</definedName>
    <definedName name="TAXNAME">#REF!</definedName>
    <definedName name="TAXRATE">#REF!</definedName>
    <definedName name="TAXRATES">#REF!</definedName>
    <definedName name="TAXTYPE">#REF!</definedName>
    <definedName name="TClos_And_Const" hidden="1">#REF!</definedName>
    <definedName name="TCst" localSheetId="3">#REF!</definedName>
    <definedName name="TCst">#REF!</definedName>
    <definedName name="TCst1" localSheetId="3">#REF!</definedName>
    <definedName name="TCst1">#REF!</definedName>
    <definedName name="TCValues" localSheetId="3">#REF!</definedName>
    <definedName name="TCValues">#REF!</definedName>
    <definedName name="Temp" localSheetId="1" hidden="1">{"ARK_JURIS_FUEL",#N/A,FALSE,"Ark_Fuel&amp;Rev"}</definedName>
    <definedName name="Temp" localSheetId="3" hidden="1">{"ARK_JURIS_FUEL",#N/A,FALSE,"Ark_Fuel&amp;Rev"}</definedName>
    <definedName name="Temp" hidden="1">{"ARK_JURIS_FUEL",#N/A,FALSE,"Ark_Fuel&amp;Rev"}</definedName>
    <definedName name="test" localSheetId="1" hidden="1">{#N/A,#N/A,TRUE,"Facility-Input";#N/A,#N/A,TRUE,"Graphs";#N/A,#N/A,TRUE,"TOTAL"}</definedName>
    <definedName name="test" localSheetId="3" hidden="1">{#N/A,#N/A,TRUE,"Facility-Input";#N/A,#N/A,TRUE,"Graphs";#N/A,#N/A,TRUE,"TOTAL"}</definedName>
    <definedName name="test" hidden="1">{#N/A,#N/A,TRUE,"Facility-Input";#N/A,#N/A,TRUE,"Graphs";#N/A,#N/A,TRUE,"TOTAL"}</definedName>
    <definedName name="test1">#REF!</definedName>
    <definedName name="TESTYEAR" localSheetId="3">#REF!</definedName>
    <definedName name="TESTYEAR">#REF!</definedName>
    <definedName name="texla" localSheetId="3">#REF!</definedName>
    <definedName name="texla">#REF!</definedName>
    <definedName name="TextRefCopyRangeCount" hidden="1">5</definedName>
    <definedName name="ThisYr_ASBHrsPerFTE">#REF!</definedName>
    <definedName name="ThisYr_Backlog">#REF!</definedName>
    <definedName name="ThisYr_CrewProductivity">#REF!</definedName>
    <definedName name="ThisYr_DesignAccuracy">#REF!</definedName>
    <definedName name="ThisYr_DistLaborCostPerASBHour">#REF!</definedName>
    <definedName name="ThisYr_EngineeringProductivity">#REF!</definedName>
    <definedName name="ThisYr_IncidentRate">#REF!</definedName>
    <definedName name="ThisYr_JobsiteAvailability">#REF!</definedName>
    <definedName name="ThisYr_JobsiteEfficiency">#REF!</definedName>
    <definedName name="ThisYr_MROCostPerOrder">#REF!</definedName>
    <definedName name="ThisYr_MROProductivity">#REF!</definedName>
    <definedName name="ThisYr_OTDistLine">#REF!</definedName>
    <definedName name="ThisYr_OTEng">#REF!</definedName>
    <definedName name="ThisYr_OTMRO">#REF!</definedName>
    <definedName name="ThisYr_OverheadContractorLabor">#REF!</definedName>
    <definedName name="ThisYr_SeverityRate">#REF!</definedName>
    <definedName name="ThisYr_TotalDistCostPerASBHour">#REF!</definedName>
    <definedName name="tim" localSheetId="1">#REF!</definedName>
    <definedName name="tim" localSheetId="3">#REF!</definedName>
    <definedName name="tim">#REF!</definedName>
    <definedName name="timr">0.000115740745968651</definedName>
    <definedName name="TIRPCCHG" localSheetId="3">#REF!</definedName>
    <definedName name="TIRPCCHG">#REF!</definedName>
    <definedName name="TIRPDCHG1" localSheetId="3">#REF!</definedName>
    <definedName name="TIRPDCHG1">#REF!</definedName>
    <definedName name="TIRPDCHG2" localSheetId="3">#REF!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IRRLev" hidden="1">#REF!</definedName>
    <definedName name="TIRRUnLev" hidden="1">#REF!</definedName>
    <definedName name="TLsFctr" localSheetId="3">#REF!</definedName>
    <definedName name="TLsFctr">#REF!</definedName>
    <definedName name="TNPVLev" hidden="1">#REF!</definedName>
    <definedName name="TNPVUnlev" hidden="1">#REF!</definedName>
    <definedName name="Total" localSheetId="3">#REF!</definedName>
    <definedName name="Total">#REF!</definedName>
    <definedName name="Total_119">#REF!</definedName>
    <definedName name="Total_166" localSheetId="3">#REF!</definedName>
    <definedName name="Total_166">#REF!</definedName>
    <definedName name="Total_169" localSheetId="3">#REF!</definedName>
    <definedName name="Total_169">#REF!</definedName>
    <definedName name="Total_192">#REF!</definedName>
    <definedName name="Total_211" localSheetId="3">#REF!</definedName>
    <definedName name="Total_211">#REF!</definedName>
    <definedName name="Total_Capital">#REF!</definedName>
    <definedName name="Total_Interest" localSheetId="3">#REF!</definedName>
    <definedName name="Total_Interest">#REF!</definedName>
    <definedName name="Total_Pay">#REF!</definedName>
    <definedName name="Total_Payment" localSheetId="1">Scheduled_Payment+Extra_Payment</definedName>
    <definedName name="Total_Payment" localSheetId="3">Scheduled_Payment+Extra_Payment</definedName>
    <definedName name="Total_Payment">Scheduled_Payment+Extra_Payment</definedName>
    <definedName name="TotProjPct" hidden="1">#REF!</definedName>
    <definedName name="TOTREVXF" localSheetId="3">#REF!</definedName>
    <definedName name="TOTREVXF">#REF!</definedName>
    <definedName name="TP_Footer_User" hidden="1">"Bryan Haslett"</definedName>
    <definedName name="TP_Footer_Version" hidden="1">"v4.00"</definedName>
    <definedName name="tran" localSheetId="1"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tran" localSheetId="3"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tran"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Transmission_Summary" localSheetId="3">#REF!</definedName>
    <definedName name="Transmission_Summary">#REF!</definedName>
    <definedName name="TRCRDKWH" localSheetId="3">#REF!</definedName>
    <definedName name="TRCRDKWH">#REF!</definedName>
    <definedName name="TRCRDKWH2P" localSheetId="3">#REF!</definedName>
    <definedName name="TRCRDKWH2P">#REF!</definedName>
    <definedName name="Trent">#REF!</definedName>
    <definedName name="treretre" localSheetId="1" hidden="1">{#N/A,#N/A,TRUE,"Income Statement";#N/A,#N/A,TRUE,"Balance Sheet";#N/A,#N/A,TRUE,"Cash Flows";#N/A,#N/A,TRUE,"Ratios";#N/A,#N/A,TRUE,"Revenues";#N/A,#N/A,TRUE,"Asset Calcs";#N/A,#N/A,TRUE,"Assumptions";#N/A,#N/A,TRUE,"Valuation"}</definedName>
    <definedName name="treretre" localSheetId="3" hidden="1">{#N/A,#N/A,TRUE,"Income Statement";#N/A,#N/A,TRUE,"Balance Sheet";#N/A,#N/A,TRUE,"Cash Flows";#N/A,#N/A,TRUE,"Ratios";#N/A,#N/A,TRUE,"Revenues";#N/A,#N/A,TRUE,"Asset Calcs";#N/A,#N/A,TRUE,"Assumptions";#N/A,#N/A,TRUE,"Valuation"}</definedName>
    <definedName name="treretre" hidden="1">{#N/A,#N/A,TRUE,"Income Statement";#N/A,#N/A,TRUE,"Balance Sheet";#N/A,#N/A,TRUE,"Cash Flows";#N/A,#N/A,TRUE,"Ratios";#N/A,#N/A,TRUE,"Revenues";#N/A,#N/A,TRUE,"Asset Calcs";#N/A,#N/A,TRUE,"Assumptions";#N/A,#N/A,TRUE,"Valuation"}</definedName>
    <definedName name="TRFDATE1" localSheetId="3">#REF!</definedName>
    <definedName name="TRFDATE1">#REF!</definedName>
    <definedName name="TRFDATE2" localSheetId="3">#REF!</definedName>
    <definedName name="TRFDATE2">#REF!</definedName>
    <definedName name="TRFNAME1" localSheetId="3">#REF!</definedName>
    <definedName name="TRFNAME1">#REF!</definedName>
    <definedName name="TRFNAME2">#REF!</definedName>
    <definedName name="TRFSHORTNM1">#REF!</definedName>
    <definedName name="TRFSHORTNM2">#REF!</definedName>
    <definedName name="Trial_Begin">#REF!</definedName>
    <definedName name="Trial_End">#REF!</definedName>
    <definedName name="TrnBlkKwhChg1" localSheetId="3">#REF!</definedName>
    <definedName name="TrnBlkKwhChg1">#REF!</definedName>
    <definedName name="TrnBlkKwhChg2" localSheetId="3">#REF!</definedName>
    <definedName name="TrnBlkKwhChg2">#REF!</definedName>
    <definedName name="TrnBlkKwhChg3" localSheetId="3">#REF!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RPLT">#REF!</definedName>
    <definedName name="TTLBSRATETTL">#REF!</definedName>
    <definedName name="TTLCOGENKWH">#REF!</definedName>
    <definedName name="ttrttr" localSheetId="1" hidden="1">{#N/A,#N/A,FALSE,"FY97";#N/A,#N/A,FALSE,"FY98";#N/A,#N/A,FALSE,"FY99";#N/A,#N/A,FALSE,"FY00";#N/A,#N/A,FALSE,"FY01"}</definedName>
    <definedName name="ttrttr" localSheetId="3" hidden="1">{#N/A,#N/A,FALSE,"FY97";#N/A,#N/A,FALSE,"FY98";#N/A,#N/A,FALSE,"FY99";#N/A,#N/A,FALSE,"FY00";#N/A,#N/A,FALSE,"FY01"}</definedName>
    <definedName name="ttrttr" hidden="1">{#N/A,#N/A,FALSE,"FY97";#N/A,#N/A,FALSE,"FY98";#N/A,#N/A,FALSE,"FY99";#N/A,#N/A,FALSE,"FY00";#N/A,#N/A,FALSE,"FY01"}</definedName>
    <definedName name="U" hidden="1">#REF!</definedName>
    <definedName name="UI_Entity_Groups">#REF!</definedName>
    <definedName name="UI_Reports">#REF!</definedName>
    <definedName name="UI_Scenarios">#REF!</definedName>
    <definedName name="UNBUNDIND">#REF!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leveraged_NPV_Check_Range" hidden="1">#REF!</definedName>
    <definedName name="UnrecPSCQP">#REF!</definedName>
    <definedName name="UnrecPSCSRP">#REF!</definedName>
    <definedName name="USDollar" localSheetId="3" hidden="1">#REF!</definedName>
    <definedName name="USDollar" hidden="1">#REF!</definedName>
    <definedName name="valgrp35" localSheetId="3">#REF!</definedName>
    <definedName name="valgrp35">#REF!</definedName>
    <definedName name="Valuation_Running" hidden="1">#REF!</definedName>
    <definedName name="ValuationResults">#REF!</definedName>
    <definedName name="VALUE" localSheetId="3">#REF!</definedName>
    <definedName name="VALUE">#REF!</definedName>
    <definedName name="value35" localSheetId="3">#REF!</definedName>
    <definedName name="value35">#REF!</definedName>
    <definedName name="ValueFund" localSheetId="3">#REF!</definedName>
    <definedName name="ValueFund">#REF!</definedName>
    <definedName name="Values_Entered" localSheetId="1">IF(Loan_Amount*Interest_Rate*Loan_Years*Loan_Start&gt;0,1,0)</definedName>
    <definedName name="Values_Entered" localSheetId="3">IF(Loan_Amount*Interest_Rate*Loan_Years*Loan_Start&gt;0,1,0)</definedName>
    <definedName name="Values_Entered">IF(Loan_Amount*Interest_Rate*Loan_Years*Loan_Start&gt;0,1,0)</definedName>
    <definedName name="VALYEAR">#REF!</definedName>
    <definedName name="ValYearByLocInfo">#REF!</definedName>
    <definedName name="VarOM1Adder" hidden="1">#REF!</definedName>
    <definedName name="w" localSheetId="3">#REF!</definedName>
    <definedName name="w">#REF!</definedName>
    <definedName name="Wage1" localSheetId="3">#REF!</definedName>
    <definedName name="Wage1">#REF!</definedName>
    <definedName name="Wage1_1" localSheetId="3">#REF!</definedName>
    <definedName name="Wage1_1">#REF!</definedName>
    <definedName name="WDpkw" hidden="1">#REF!</definedName>
    <definedName name="West">#REF!</definedName>
    <definedName name="WestPSC1" localSheetId="3">#REF!</definedName>
    <definedName name="WestPSC1">#REF!</definedName>
    <definedName name="WestPSC2" localSheetId="3">#REF!</definedName>
    <definedName name="WestPSC2">#REF!</definedName>
    <definedName name="WestPSC3" localSheetId="3">#REF!</definedName>
    <definedName name="WestPSC3">#REF!</definedName>
    <definedName name="WestPSC4">#REF!</definedName>
    <definedName name="WestPSC5">#REF!</definedName>
    <definedName name="WestPSC6">#REF!</definedName>
    <definedName name="WestSRPpsc1">#REF!</definedName>
    <definedName name="WestSRPpsc2">#REF!</definedName>
    <definedName name="WestSRPpsc3">#REF!</definedName>
    <definedName name="WestSRPpsc4">#REF!</definedName>
    <definedName name="what" hidden="1">#REF!</definedName>
    <definedName name="Wind_Dev">#REF!</definedName>
    <definedName name="workorder" localSheetId="3">#REF!</definedName>
    <definedName name="workorder">#REF!</definedName>
    <definedName name="WORKSHEET" localSheetId="3">#REF!</definedName>
    <definedName name="WORKSHEET">#REF!</definedName>
    <definedName name="WP_B9a">#REF!</definedName>
    <definedName name="WP_B9b" localSheetId="3">#REF!</definedName>
    <definedName name="WP_B9b">#REF!</definedName>
    <definedName name="WP_G6">#REF!</definedName>
    <definedName name="wrn.3._.Scenarios." localSheetId="1" hidden="1">{"full model","100% Stock",FALSE,"PROFORMA";"full model","50/50",FALSE,"PROFORMA";"full model","100% Cash",FALSE,"PROFORMA"}</definedName>
    <definedName name="wrn.3._.Scenarios." localSheetId="3" hidden="1">{"full model","100% Stock",FALSE,"PROFORMA";"full model","50/50",FALSE,"PROFORMA";"full model","100% Cash",FALSE,"PROFORMA"}</definedName>
    <definedName name="wrn.3._.Scenarios." hidden="1">{"full model","100% Stock",FALSE,"PROFORMA";"full model","50/50",FALSE,"PROFORMA";"full model","100% Cash",FALSE,"PROFORMA"}</definedName>
    <definedName name="wrn.Aging._.and._.Trend._.Analysis." localSheetId="1"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rrpt." localSheetId="1" hidden="1">{#N/A,#N/A,FALSE,"TD1";#N/A,#N/A,FALSE,"TD2";#N/A,#N/A,FALSE,"TD 3";#N/A,#N/A,FALSE,"TD 4";#N/A,#N/A,FALSE,"TD 5";#N/A,#N/A,FALSE,"TD 6";#N/A,#N/A,FALSE,"TD 7";#N/A,#N/A,FALSE,"TD 8";#N/A,#N/A,FALSE,"TD 9";#N/A,#N/A,FALSE,"TD 10";#N/A,#N/A,FALSE,"TD 11";#N/A,#N/A,FALSE,"TD 12";#N/A,#N/A,FALSE,"TD 13";#N/A,#N/A,FALSE,"TD 14";#N/A,#N/A,FALSE,"TD 15";#N/A,#N/A,FALSE,"TD 16";#N/A,#N/A,FALSE,"TD 16";#N/A,#N/A,FALSE,"TD DEC"}</definedName>
    <definedName name="wrn.airrpt." localSheetId="3" hidden="1">{#N/A,#N/A,FALSE,"TD1";#N/A,#N/A,FALSE,"TD2";#N/A,#N/A,FALSE,"TD 3";#N/A,#N/A,FALSE,"TD 4";#N/A,#N/A,FALSE,"TD 5";#N/A,#N/A,FALSE,"TD 6";#N/A,#N/A,FALSE,"TD 7";#N/A,#N/A,FALSE,"TD 8";#N/A,#N/A,FALSE,"TD 9";#N/A,#N/A,FALSE,"TD 10";#N/A,#N/A,FALSE,"TD 11";#N/A,#N/A,FALSE,"TD 12";#N/A,#N/A,FALSE,"TD 13";#N/A,#N/A,FALSE,"TD 14";#N/A,#N/A,FALSE,"TD 15";#N/A,#N/A,FALSE,"TD 16";#N/A,#N/A,FALSE,"TD 16";#N/A,#N/A,FALSE,"TD DEC"}</definedName>
    <definedName name="wrn.airrpt." hidden="1">{#N/A,#N/A,FALSE,"TD1";#N/A,#N/A,FALSE,"TD2";#N/A,#N/A,FALSE,"TD 3";#N/A,#N/A,FALSE,"TD 4";#N/A,#N/A,FALSE,"TD 5";#N/A,#N/A,FALSE,"TD 6";#N/A,#N/A,FALSE,"TD 7";#N/A,#N/A,FALSE,"TD 8";#N/A,#N/A,FALSE,"TD 9";#N/A,#N/A,FALSE,"TD 10";#N/A,#N/A,FALSE,"TD 11";#N/A,#N/A,FALSE,"TD 12";#N/A,#N/A,FALSE,"TD 13";#N/A,#N/A,FALSE,"TD 14";#N/A,#N/A,FALSE,"TD 15";#N/A,#N/A,FALSE,"TD 16";#N/A,#N/A,FALSE,"TD 16";#N/A,#N/A,FALSE,"TD DEC"}</definedName>
    <definedName name="wrn.All." localSheetId="1" hidden="1">{#N/A,#N/A,TRUE,"Facility-Input";#N/A,#N/A,TRUE,"Graphs";#N/A,#N/A,TRUE,"TOTAL";#N/A,#N/A,TRUE,"Total Pipes";#N/A,#N/A,TRUE,"Segment 1";#N/A,#N/A,TRUE,"Segment 2";#N/A,#N/A,TRUE,"Segment 3";#N/A,#N/A,TRUE,"Segment 4";#N/A,#N/A,TRUE,"Segment 5";#N/A,#N/A,TRUE,"NGL-Input";#N/A,#N/A,TRUE,"Assums."}</definedName>
    <definedName name="wrn.All." localSheetId="3" hidden="1">{#N/A,#N/A,TRUE,"Facility-Input";#N/A,#N/A,TRUE,"Graphs";#N/A,#N/A,TRUE,"TOTAL";#N/A,#N/A,TRUE,"Total Pipes";#N/A,#N/A,TRUE,"Segment 1";#N/A,#N/A,TRUE,"Segment 2";#N/A,#N/A,TRUE,"Segment 3";#N/A,#N/A,TRUE,"Segment 4";#N/A,#N/A,TRUE,"Segment 5";#N/A,#N/A,TRUE,"NGL-Input";#N/A,#N/A,TRUE,"Assums."}</definedName>
    <definedName name="wrn.All." hidden="1">{#N/A,#N/A,TRUE,"Facility-Input";#N/A,#N/A,TRUE,"Graphs";#N/A,#N/A,TRUE,"TOTAL";#N/A,#N/A,TRUE,"Total Pipes";#N/A,#N/A,TRUE,"Segment 1";#N/A,#N/A,TRUE,"Segment 2";#N/A,#N/A,TRUE,"Segment 3";#N/A,#N/A,TRUE,"Segment 4";#N/A,#N/A,TRUE,"Segment 5";#N/A,#N/A,TRUE,"NGL-Input";#N/A,#N/A,TRUE,"Assums."}</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3"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MONTHS." localSheetId="1" hidden="1">{#N/A,#N/A,FALSE,"JAN99";#N/A,#N/A,FALSE,"FEB99";#N/A,#N/A,FALSE,"MARCH99";#N/A,#N/A,FALSE,"APRIL99";#N/A,#N/A,FALSE,"MAY99";#N/A,#N/A,FALSE,"JUNE99";#N/A,#N/A,FALSE,"JULY99";#N/A,#N/A,FALSE,"AUG99";#N/A,#N/A,FALSE,"SEPT99";#N/A,#N/A,FALSE,"OCT99";#N/A,#N/A,FALSE,"NOV99";#N/A,#N/A,FALSE,"DEC99"}</definedName>
    <definedName name="wrn.ALL._.MONTHS." localSheetId="3" hidden="1">{#N/A,#N/A,FALSE,"JAN99";#N/A,#N/A,FALSE,"FEB99";#N/A,#N/A,FALSE,"MARCH99";#N/A,#N/A,FALSE,"APRIL99";#N/A,#N/A,FALSE,"MAY99";#N/A,#N/A,FALSE,"JUNE99";#N/A,#N/A,FALSE,"JULY99";#N/A,#N/A,FALSE,"AUG99";#N/A,#N/A,FALSE,"SEPT99";#N/A,#N/A,FALSE,"OCT99";#N/A,#N/A,FALSE,"NOV99";#N/A,#N/A,FALSE,"DEC99"}</definedName>
    <definedName name="wrn.ALL._.MONTHS." hidden="1">{#N/A,#N/A,FALSE,"JAN99";#N/A,#N/A,FALSE,"FEB99";#N/A,#N/A,FALSE,"MARCH99";#N/A,#N/A,FALSE,"APRIL99";#N/A,#N/A,FALSE,"MAY99";#N/A,#N/A,FALSE,"JUNE99";#N/A,#N/A,FALSE,"JULY99";#N/A,#N/A,FALSE,"AUG99";#N/A,#N/A,FALSE,"SEPT99";#N/A,#N/A,FALSE,"OCT99";#N/A,#N/A,FALSE,"NOV99";#N/A,#N/A,FALSE,"DEC99"}</definedName>
    <definedName name="wrn.ALL._.SHEET." localSheetId="1" hidden="1">{#N/A,#N/A,FALSE,"SUMMARY";#N/A,#N/A,FALSE,"3110";#N/A,#N/A,FALSE,"3190";#N/A,#N/A,FALSE,"3210"}</definedName>
    <definedName name="wrn.ALL._.SHEET." localSheetId="3" hidden="1">{#N/A,#N/A,FALSE,"SUMMARY";#N/A,#N/A,FALSE,"3110";#N/A,#N/A,FALSE,"3190";#N/A,#N/A,FALSE,"3210"}</definedName>
    <definedName name="wrn.ALL._.SHEET." hidden="1">{#N/A,#N/A,FALSE,"SUMMARY";#N/A,#N/A,FALSE,"3110";#N/A,#N/A,FALSE,"3190";#N/A,#N/A,FALSE,"3210"}</definedName>
    <definedName name="wrn.ALL._.SHEETS." localSheetId="1" hidden="1">{#N/A,#N/A,FALSE,"GPR";#N/A,#N/A,FALSE,"Vacancy";#N/A,#N/A,FALSE,"MGTFEE";#N/A,#N/A,FALSE,"Bookkeeping Fees";#N/A,#N/A,FALSE,"Interest Income"}</definedName>
    <definedName name="wrn.ALL._.SHEETS." localSheetId="3" hidden="1">{#N/A,#N/A,FALSE,"GPR";#N/A,#N/A,FALSE,"Vacancy";#N/A,#N/A,FALSE,"MGTFEE";#N/A,#N/A,FALSE,"Bookkeeping Fees";#N/A,#N/A,FALSE,"Interest Income"}</definedName>
    <definedName name="wrn.ALL._.SHEETS." hidden="1">{#N/A,#N/A,FALSE,"GPR";#N/A,#N/A,FALSE,"Vacancy";#N/A,#N/A,FALSE,"MGTFEE";#N/A,#N/A,FALSE,"Bookkeeping Fees";#N/A,#N/A,FALSE,"Interest Income"}</definedName>
    <definedName name="wrn.ALL._.STATEMENTS." localSheetId="1" hidden="1">{"BALANCE SHEET",#N/A,FALSE,"Balance Sheet";"INCOME STATEMENT",#N/A,FALSE,"Income Statement";"STMT OF CASH FLOWS",#N/A,FALSE,"Cash Flows Indirect";"PARTNERS CAPITAL STMT",#N/A,FALSE,"Partners Capital"}</definedName>
    <definedName name="wrn.ALL._.STATEMENTS." localSheetId="3"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ll._.Worksheets."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merican._.risk._.97." localSheetId="1" hidden="1">{#N/A,#N/A,FALSE,"capa";#N/A,#N/A,FALSE,"capa 2";#N/A,#N/A,FALSE,"BS";#N/A,#N/A,FALSE,"P &amp; L";#N/A,#N/A,FALSE,"DMPL";#N/A,#N/A,FALSE,"Doar";#N/A,#N/A,FALSE,"Translation";#N/A,#N/A,FALSE,"R$";#N/A,#N/A,FALSE,"US$"}</definedName>
    <definedName name="wrn.american._.risk._.97." localSheetId="3" hidden="1">{#N/A,#N/A,FALSE,"capa";#N/A,#N/A,FALSE,"capa 2";#N/A,#N/A,FALSE,"BS";#N/A,#N/A,FALSE,"P &amp; L";#N/A,#N/A,FALSE,"DMPL";#N/A,#N/A,FALSE,"Doar";#N/A,#N/A,FALSE,"Translation";#N/A,#N/A,FALSE,"R$";#N/A,#N/A,FALSE,"US$"}</definedName>
    <definedName name="wrn.american._.risk._.97." hidden="1">{#N/A,#N/A,FALSE,"capa";#N/A,#N/A,FALSE,"capa 2";#N/A,#N/A,FALSE,"BS";#N/A,#N/A,FALSE,"P &amp; L";#N/A,#N/A,FALSE,"DMPL";#N/A,#N/A,FALSE,"Doar";#N/A,#N/A,FALSE,"Translation";#N/A,#N/A,FALSE,"R$";#N/A,#N/A,FALSE,"US$"}</definedName>
    <definedName name="wrn.american.risk.971" localSheetId="1" hidden="1">{#N/A,#N/A,FALSE,"capa";#N/A,#N/A,FALSE,"capa 2";#N/A,#N/A,FALSE,"BS";#N/A,#N/A,FALSE,"P &amp; L";#N/A,#N/A,FALSE,"DMPL";#N/A,#N/A,FALSE,"Doar";#N/A,#N/A,FALSE,"Translation";#N/A,#N/A,FALSE,"R$";#N/A,#N/A,FALSE,"US$"}</definedName>
    <definedName name="wrn.american.risk.971" localSheetId="3" hidden="1">{#N/A,#N/A,FALSE,"capa";#N/A,#N/A,FALSE,"capa 2";#N/A,#N/A,FALSE,"BS";#N/A,#N/A,FALSE,"P &amp; L";#N/A,#N/A,FALSE,"DMPL";#N/A,#N/A,FALSE,"Doar";#N/A,#N/A,FALSE,"Translation";#N/A,#N/A,FALSE,"R$";#N/A,#N/A,FALSE,"US$"}</definedName>
    <definedName name="wrn.american.risk.971" hidden="1">{#N/A,#N/A,FALSE,"capa";#N/A,#N/A,FALSE,"capa 2";#N/A,#N/A,FALSE,"BS";#N/A,#N/A,FALSE,"P &amp; L";#N/A,#N/A,FALSE,"DMPL";#N/A,#N/A,FALSE,"Doar";#N/A,#N/A,FALSE,"Translation";#N/A,#N/A,FALSE,"R$";#N/A,#N/A,FALSE,"US$"}</definedName>
    <definedName name="wrn.Annual._.Cashflows." localSheetId="1" hidden="1">{"Revenues",#N/A,FALSE,"MDU";"Depreciation",#N/A,FALSE,"MDU";"Debt",#N/A,FALSE,"MDU";"Financials",#N/A,FALSE,"MDU";"Accounts",#N/A,FALSE,"MDU"}</definedName>
    <definedName name="wrn.Annual._.Cashflows." localSheetId="3" hidden="1">{"Revenues",#N/A,FALSE,"MDU";"Depreciation",#N/A,FALSE,"MDU";"Debt",#N/A,FALSE,"MDU";"Financials",#N/A,FALSE,"MDU";"Accounts",#N/A,FALSE,"MDU"}</definedName>
    <definedName name="wrn.Annual._.Cashflows." hidden="1">{"Revenues",#N/A,FALSE,"MDU";"Depreciation",#N/A,FALSE,"MDU";"Debt",#N/A,FALSE,"MDU";"Financials",#N/A,FALSE,"MDU";"Accounts",#N/A,FALSE,"MDU"}</definedName>
    <definedName name="wrn.Annual._.Cashflows2." localSheetId="1" hidden="1">{"Revenues",#N/A,FALSE,"MDU";"Depreciation",#N/A,FALSE,"MDU";"Debt",#N/A,FALSE,"MDU";"Financials",#N/A,FALSE,"MDU";"Accounts",#N/A,FALSE,"MDU"}</definedName>
    <definedName name="wrn.Annual._.Cashflows2." localSheetId="3" hidden="1">{"Revenues",#N/A,FALSE,"MDU";"Depreciation",#N/A,FALSE,"MDU";"Debt",#N/A,FALSE,"MDU";"Financials",#N/A,FALSE,"MDU";"Accounts",#N/A,FALSE,"MDU"}</definedName>
    <definedName name="wrn.Annual._.Cashflows2." hidden="1">{"Revenues",#N/A,FALSE,"MDU";"Depreciation",#N/A,FALSE,"MDU";"Debt",#N/A,FALSE,"MDU";"Financials",#N/A,FALSE,"MDU";"Accounts",#N/A,FALSE,"MDU"}</definedName>
    <definedName name="wrn.Arcform1." localSheetId="1" hidden="1">{"One",#N/A,FALSE,"Property";"Rent Analysis",#N/A,FALSE,"Rent &amp; Income";"Market",#N/A,FALSE,"Market";"Environmental",#N/A,FALSE,"Environmental"}</definedName>
    <definedName name="wrn.Arcform1." localSheetId="3" hidden="1">{"One",#N/A,FALSE,"Property";"Rent Analysis",#N/A,FALSE,"Rent &amp; Income";"Market",#N/A,FALSE,"Market";"Environmental",#N/A,FALSE,"Environmental"}</definedName>
    <definedName name="wrn.Arcform1." hidden="1">{"One",#N/A,FALSE,"Property";"Rent Analysis",#N/A,FALSE,"Rent &amp; Income";"Market",#N/A,FALSE,"Market";"Environmental",#N/A,FALSE,"Environmental"}</definedName>
    <definedName name="wrn.Arcform2." localSheetId="1" hidden="1">{"Development Team",#N/A,FALSE,"Team";"Environmental",#N/A,FALSE,"Environmental";"Permanent",#N/A,FALSE,"Perm Mtg";"Soft",#N/A,FALSE,"Soft Mtg"}</definedName>
    <definedName name="wrn.Arcform2." localSheetId="3" hidden="1">{"Development Team",#N/A,FALSE,"Team";"Environmental",#N/A,FALSE,"Environmental";"Permanent",#N/A,FALSE,"Perm Mtg";"Soft",#N/A,FALSE,"Soft Mtg"}</definedName>
    <definedName name="wrn.Arcform2." hidden="1">{"Development Team",#N/A,FALSE,"Team";"Environmental",#N/A,FALSE,"Environmental";"Permanent",#N/A,FALSE,"Perm Mtg";"Soft",#N/A,FALSE,"Soft Mtg"}</definedName>
    <definedName name="wrn.Arcform3." localSheetId="1" hidden="1">{"Grant",#N/A,FALSE,"Grant";"GP Developer",#N/A,FALSE,"GP &amp; Dev Loans";"Operating Analysis",#N/A,FALSE,"Operations";"Tax Credit",#N/A,FALSE,"Tax Credits";"Tax Credit Analysis",#N/A,FALSE,"TC Analysis"}</definedName>
    <definedName name="wrn.Arcform3." localSheetId="3" hidden="1">{"Grant",#N/A,FALSE,"Grant";"GP Developer",#N/A,FALSE,"GP &amp; Dev Loans";"Operating Analysis",#N/A,FALSE,"Operations";"Tax Credit",#N/A,FALSE,"Tax Credits";"Tax Credit Analysis",#N/A,FALSE,"TC Analysis"}</definedName>
    <definedName name="wrn.Arcform3." hidden="1">{"Grant",#N/A,FALSE,"Grant";"GP Developer",#N/A,FALSE,"GP &amp; Dev Loans";"Operating Analysis",#N/A,FALSE,"Operations";"Tax Credit",#N/A,FALSE,"Tax Credits";"Tax Credit Analysis",#N/A,FALSE,"TC Analysis"}</definedName>
    <definedName name="wrn.Arcform4." localSheetId="1" hidden="1">{"Construction Analysis",#N/A,FALSE,"Constr Analysis";"Construction Financing",#N/A,FALSE,"Constr Finan";"Guarantees and Reserves",#N/A,FALSE,"Guar &amp; Reserves"}</definedName>
    <definedName name="wrn.Arcform4." localSheetId="3" hidden="1">{"Construction Analysis",#N/A,FALSE,"Constr Analysis";"Construction Financing",#N/A,FALSE,"Constr Finan";"Guarantees and Reserves",#N/A,FALSE,"Guar &amp; Reserves"}</definedName>
    <definedName name="wrn.Arcform4." hidden="1">{"Construction Analysis",#N/A,FALSE,"Constr Analysis";"Construction Financing",#N/A,FALSE,"Constr Finan";"Guarantees and Reserves",#N/A,FALSE,"Guar &amp; Reserves"}</definedName>
    <definedName name="wrn.ARK._.JURIS._.FAC._.CALC." localSheetId="1" hidden="1">{"ARK_JURIS_FAC",#N/A,FALSE,"Ark_Fuel&amp;Rev"}</definedName>
    <definedName name="wrn.ARK._.JURIS._.FAC._.CALC." localSheetId="3" hidden="1">{"ARK_JURIS_FAC",#N/A,FALSE,"Ark_Fuel&amp;Rev"}</definedName>
    <definedName name="wrn.ARK._.JURIS._.FAC._.CALC." hidden="1">{"ARK_JURIS_FAC",#N/A,FALSE,"Ark_Fuel&amp;Rev"}</definedName>
    <definedName name="wrn.ARK._.JURIS._.FUEL._.COST." localSheetId="1" hidden="1">{"ARK_JURIS_FUEL",#N/A,FALSE,"Ark_Fuel&amp;Rev"}</definedName>
    <definedName name="wrn.ARK._.JURIS._.FUEL._.COST." localSheetId="3" hidden="1">{"ARK_JURIS_FUEL",#N/A,FALSE,"Ark_Fuel&amp;Rev"}</definedName>
    <definedName name="wrn.ARK._.JURIS._.FUEL._.COST." hidden="1">{"ARK_JURIS_FUEL",#N/A,FALSE,"Ark_Fuel&amp;Rev"}</definedName>
    <definedName name="wrn.ATOKA._.FAC._.CALC." localSheetId="1" hidden="1">{"ATOKA_FAC",#N/A,FALSE,"Atoka"}</definedName>
    <definedName name="wrn.ATOKA._.FAC._.CALC." localSheetId="3" hidden="1">{"ATOKA_FAC",#N/A,FALSE,"Atoka"}</definedName>
    <definedName name="wrn.ATOKA._.FAC._.CALC." hidden="1">{"ATOKA_FAC",#N/A,FALSE,"Atoka"}</definedName>
    <definedName name="wrn.Auto._.Comp." localSheetId="1" hidden="1">{#N/A,#N/A,FALSE,"Sheet1"}</definedName>
    <definedName name="wrn.Auto._.Comp." localSheetId="3" hidden="1">{#N/A,#N/A,FALSE,"Sheet1"}</definedName>
    <definedName name="wrn.Auto._.Comp." hidden="1">{#N/A,#N/A,FALSE,"Sheet1"}</definedName>
    <definedName name="wrn.BALANCE._.SHEET." localSheetId="1" hidden="1">{"BALANCE SHEET",#N/A,FALSE,"Balance Sheet"}</definedName>
    <definedName name="wrn.BALANCE._.SHEET." localSheetId="3" hidden="1">{"BALANCE SHEET",#N/A,FALSE,"Balance Sheet"}</definedName>
    <definedName name="wrn.BALANCE._.SHEET." hidden="1">{"BALANCE SHEET",#N/A,FALSE,"Balance Sheet"}</definedName>
    <definedName name="wrn.bargeform." localSheetId="1" hidden="1">{#N/A,#N/A,FALSE,"TD1";#N/A,#N/A,FALSE,"TD2";#N/A,#N/A,FALSE,"TD 3";#N/A,#N/A,FALSE,"TD  4";#N/A,#N/A,FALSE,"TD 5";#N/A,#N/A,FALSE,"TD 6";#N/A,#N/A,FALSE,"TD 7";#N/A,#N/A,FALSE,"TD DEC"}</definedName>
    <definedName name="wrn.bargeform." localSheetId="3" hidden="1">{#N/A,#N/A,FALSE,"TD1";#N/A,#N/A,FALSE,"TD2";#N/A,#N/A,FALSE,"TD 3";#N/A,#N/A,FALSE,"TD  4";#N/A,#N/A,FALSE,"TD 5";#N/A,#N/A,FALSE,"TD 6";#N/A,#N/A,FALSE,"TD 7";#N/A,#N/A,FALSE,"TD DEC"}</definedName>
    <definedName name="wrn.bargeform." hidden="1">{#N/A,#N/A,FALSE,"TD1";#N/A,#N/A,FALSE,"TD2";#N/A,#N/A,FALSE,"TD 3";#N/A,#N/A,FALSE,"TD  4";#N/A,#N/A,FALSE,"TD 5";#N/A,#N/A,FALSE,"TD 6";#N/A,#N/A,FALSE,"TD 7";#N/A,#N/A,FALSE,"TD DEC"}</definedName>
    <definedName name="wrn.BidCo." localSheetId="1" hidden="1">{#N/A,#N/A,FALSE,"BidCo Assumptions";#N/A,#N/A,FALSE,"Credit Stats";#N/A,#N/A,FALSE,"Bidco Summary";#N/A,#N/A,FALSE,"BIDCO Consolidated"}</definedName>
    <definedName name="wrn.BidCo." localSheetId="3" hidden="1">{#N/A,#N/A,FALSE,"BidCo Assumptions";#N/A,#N/A,FALSE,"Credit Stats";#N/A,#N/A,FALSE,"Bidco Summary";#N/A,#N/A,FALSE,"BIDCO Consolidated"}</definedName>
    <definedName name="wrn.BidCo." hidden="1">{#N/A,#N/A,FALSE,"BidCo Assumptions";#N/A,#N/A,FALSE,"Credit Stats";#N/A,#N/A,FALSE,"Bidco Summary";#N/A,#N/A,FALSE,"BIDCO Consolidated"}</definedName>
    <definedName name="wrn.Brafs97." localSheetId="1" hidden="1">{#N/A,#N/A,FALSE,"Capas";#N/A,#N/A,FALSE,"BS";#N/A,#N/A,FALSE,"P &amp; L";#N/A,#N/A,FALSE,"DMPL";#N/A,#N/A,FALSE,"Doar";#N/A,#N/A,FALSE,"Translation";#N/A,#N/A,FALSE,"R$";#N/A,#N/A,FALSE,"US$";#N/A,#N/A,FALSE,"Marketable"}</definedName>
    <definedName name="wrn.Brafs97." localSheetId="3" hidden="1">{#N/A,#N/A,FALSE,"Capas";#N/A,#N/A,FALSE,"BS";#N/A,#N/A,FALSE,"P &amp; L";#N/A,#N/A,FALSE,"DMPL";#N/A,#N/A,FALSE,"Doar";#N/A,#N/A,FALSE,"Translation";#N/A,#N/A,FALSE,"R$";#N/A,#N/A,FALSE,"US$";#N/A,#N/A,FALSE,"Marketable"}</definedName>
    <definedName name="wrn.Brafs97." hidden="1">{#N/A,#N/A,FALSE,"Capas";#N/A,#N/A,FALSE,"BS";#N/A,#N/A,FALSE,"P &amp; L";#N/A,#N/A,FALSE,"DMPL";#N/A,#N/A,FALSE,"Doar";#N/A,#N/A,FALSE,"Translation";#N/A,#N/A,FALSE,"R$";#N/A,#N/A,FALSE,"US$";#N/A,#N/A,FALSE,"Marketable"}</definedName>
    <definedName name="wrn.Bridge." localSheetId="1"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localSheetId="3"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Budget._.Section._.III." localSheetId="1" hidden="1">{#N/A,#N/A,FALSE,"Chemicals&amp;Reagents";#N/A,#N/A,FALSE,"Professional Technical";#N/A,#N/A,FALSE,"ENVTEST";#N/A,#N/A,FALSE,"COMMRELAT";#N/A,#N/A,FALSE,"Contrib Hist";#N/A,#N/A,FALSE,"OTHOPER";#N/A,#N/A,FALSE,"OTHADMIN"}</definedName>
    <definedName name="wrn.Budget._.Section._.III." localSheetId="3" hidden="1">{#N/A,#N/A,FALSE,"Chemicals&amp;Reagents";#N/A,#N/A,FALSE,"Professional Technical";#N/A,#N/A,FALSE,"ENVTEST";#N/A,#N/A,FALSE,"COMMRELAT";#N/A,#N/A,FALSE,"Contrib Hist";#N/A,#N/A,FALSE,"OTHOPER";#N/A,#N/A,FALSE,"OTHADMIN"}</definedName>
    <definedName name="wrn.Budget._.Section._.III." hidden="1">{#N/A,#N/A,FALSE,"Chemicals&amp;Reagents";#N/A,#N/A,FALSE,"Professional Technical";#N/A,#N/A,FALSE,"ENVTEST";#N/A,#N/A,FALSE,"COMMRELAT";#N/A,#N/A,FALSE,"Contrib Hist";#N/A,#N/A,FALSE,"OTHOPER";#N/A,#N/A,FALSE,"OTHADMIN"}</definedName>
    <definedName name="wrn.Budget._.section._.III._.Income._.Statements." localSheetId="1" hidden="1">{#N/A,#N/A,FALSE,"IS comparative";#N/A,#N/A,FALSE,"IS quarterly";#N/A,#N/A,FALSE,"IS PEOPLESOFT"}</definedName>
    <definedName name="wrn.Budget._.section._.III._.Income._.Statements." localSheetId="3" hidden="1">{#N/A,#N/A,FALSE,"IS comparative";#N/A,#N/A,FALSE,"IS quarterly";#N/A,#N/A,FALSE,"IS PEOPLESOFT"}</definedName>
    <definedName name="wrn.Budget._.section._.III._.Income._.Statements." hidden="1">{#N/A,#N/A,FALSE,"IS comparative";#N/A,#N/A,FALSE,"IS quarterly";#N/A,#N/A,FALSE,"IS PEOPLESOFT"}</definedName>
    <definedName name="wrn.Budget._.Section._.IV.._.Personnel." localSheetId="1" hidden="1">{#N/A,#N/A,FALSE,"Manpower Sum";#N/A,#N/A,FALSE,"S&amp;F Sum";#N/A,#N/A,FALSE,"OT Analysis"}</definedName>
    <definedName name="wrn.Budget._.Section._.IV.._.Personnel." localSheetId="3" hidden="1">{#N/A,#N/A,FALSE,"Manpower Sum";#N/A,#N/A,FALSE,"S&amp;F Sum";#N/A,#N/A,FALSE,"OT Analysis"}</definedName>
    <definedName name="wrn.Budget._.Section._.IV.._.Personnel." hidden="1">{#N/A,#N/A,FALSE,"Manpower Sum";#N/A,#N/A,FALSE,"S&amp;F Sum";#N/A,#N/A,FALSE,"OT Analysis"}</definedName>
    <definedName name="wrn.Budget._.sections._.I.._.part._.III.._.part._.IX." localSheetId="1" hidden="1">{#N/A,#N/A,FALSE,"Op Stats Comparative";#N/A,#N/A,FALSE,"Pressure Part Failures";#N/A,#N/A,FALSE,"Op Stats Historical";#N/A,#N/A,FALSE,"OPSTATCALC";#N/A,#N/A,FALSE,"TG Conversion Rate"}</definedName>
    <definedName name="wrn.Budget._.sections._.I.._.part._.III.._.part._.IX." localSheetId="3" hidden="1">{#N/A,#N/A,FALSE,"Op Stats Comparative";#N/A,#N/A,FALSE,"Pressure Part Failures";#N/A,#N/A,FALSE,"Op Stats Historical";#N/A,#N/A,FALSE,"OPSTATCALC";#N/A,#N/A,FALSE,"TG Conversion Rate"}</definedName>
    <definedName name="wrn.Budget._.sections._.I.._.part._.III.._.part._.IX." hidden="1">{#N/A,#N/A,FALSE,"Op Stats Comparative";#N/A,#N/A,FALSE,"Pressure Part Failures";#N/A,#N/A,FALSE,"Op Stats Historical";#N/A,#N/A,FALSE,"OPSTATCALC";#N/A,#N/A,FALSE,"TG Conversion Rate"}</definedName>
    <definedName name="wrn.Budget._.X.._.Supplemental._.Schedules." localSheetId="1" hidden="1">{#N/A,#N/A,FALSE,"INSURANCE";#N/A,#N/A,FALSE,"Insurance Comparative";#N/A,#N/A,FALSE,"INTERESTEXP";#N/A,#N/A,FALSE,"INTERESTINC";#N/A,#N/A,FALSE,"DEPRECIATION";#N/A,#N/A,FALSE,"MGMTALLOC";#N/A,#N/A,FALSE,"INCTAXES";#N/A,#N/A,FALSE,"IRGdetail";#N/A,#N/A,FALSE,"TRIAL BAL"}</definedName>
    <definedName name="wrn.Budget._.X.._.Supplemental._.Schedules." localSheetId="3" hidden="1">{#N/A,#N/A,FALSE,"INSURANCE";#N/A,#N/A,FALSE,"Insurance Comparative";#N/A,#N/A,FALSE,"INTERESTEXP";#N/A,#N/A,FALSE,"INTERESTINC";#N/A,#N/A,FALSE,"DEPRECIATION";#N/A,#N/A,FALSE,"MGMTALLOC";#N/A,#N/A,FALSE,"INCTAXES";#N/A,#N/A,FALSE,"IRGdetail";#N/A,#N/A,FALSE,"TRIAL BAL"}</definedName>
    <definedName name="wrn.Budget._.X.._.Supplemental._.Schedules." hidden="1">{#N/A,#N/A,FALSE,"INSURANCE";#N/A,#N/A,FALSE,"Insurance Comparative";#N/A,#N/A,FALSE,"INTERESTEXP";#N/A,#N/A,FALSE,"INTERESTINC";#N/A,#N/A,FALSE,"DEPRECIATION";#N/A,#N/A,FALSE,"MGMTALLOC";#N/A,#N/A,FALSE,"INCTAXES";#N/A,#N/A,FALSE,"IRGdetail";#N/A,#N/A,FALSE,"TRIAL BAL"}</definedName>
    <definedName name="wrn.calc_all." localSheetId="1"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localSheetId="3"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sh._.Flow._.Statement." localSheetId="1" hidden="1">{"CashPrintArea",#N/A,FALSE,"Cash (c)"}</definedName>
    <definedName name="wrn.Cash._.Flow._.Statement." localSheetId="3" hidden="1">{"CashPrintArea",#N/A,FALSE,"Cash (c)"}</definedName>
    <definedName name="wrn.Cash._.Flow._.Statement." hidden="1">{"CashPrintArea",#N/A,FALSE,"Cash (c)"}</definedName>
    <definedName name="wrn.CC._.Summary." localSheetId="1" hidden="1">{#N/A,#N/A,FALSE,"CC SUMMARY.XLS";#N/A,#N/A,FALSE,"COSTINP.XLS";#N/A,#N/A,FALSE,"CCMAINT.XLS";#N/A,#N/A,FALSE,"MAT_LAB.XLS";#N/A,#N/A,FALSE,"14000LMH.XLS";#N/A,#N/A,FALSE,"20500LMH.XLS";#N/A,#N/A,FALSE,"36000LMH.XLS"}</definedName>
    <definedName name="wrn.CC._.Summary." localSheetId="3" hidden="1">{#N/A,#N/A,FALSE,"CC SUMMARY.XLS";#N/A,#N/A,FALSE,"COSTINP.XLS";#N/A,#N/A,FALSE,"CCMAINT.XLS";#N/A,#N/A,FALSE,"MAT_LAB.XLS";#N/A,#N/A,FALSE,"14000LMH.XLS";#N/A,#N/A,FALSE,"20500LMH.XLS";#N/A,#N/A,FALSE,"36000LMH.XLS"}</definedName>
    <definedName name="wrn.CC._.Summary." hidden="1">{#N/A,#N/A,FALSE,"CC SUMMARY.XLS";#N/A,#N/A,FALSE,"COSTINP.XLS";#N/A,#N/A,FALSE,"CCMAINT.XLS";#N/A,#N/A,FALSE,"MAT_LAB.XLS";#N/A,#N/A,FALSE,"14000LMH.XLS";#N/A,#N/A,FALSE,"20500LMH.XLS";#N/A,#N/A,FALSE,"36000LMH.XLS"}</definedName>
    <definedName name="wrn.cellform." localSheetId="1" hidden="1">{#N/A,#N/A,FALSE,"TD 1";#N/A,#N/A,FALSE,"TD 2";#N/A,#N/A,FALSE,"TD 3";#N/A,#N/A,FALSE,"TD 4";#N/A,#N/A,FALSE,"TD 5";#N/A,#N/A,FALSE,"TD 6";#N/A,#N/A,FALSE,"TD 7";#N/A,#N/A,FALSE,"TD 8";#N/A,#N/A,FALSE,"TD 9";#N/A,#N/A,FALSE,"TD 10A";#N/A,#N/A,FALSE,"TD 10B";#N/A,#N/A,FALSE,"TD 11";#N/A,#N/A,FALSE,"TD 13";#N/A,#N/A,FALSE,"TD 12";#N/A,#N/A,FALSE,"TD DEC"}</definedName>
    <definedName name="wrn.cellform." localSheetId="3" hidden="1">{#N/A,#N/A,FALSE,"TD 1";#N/A,#N/A,FALSE,"TD 2";#N/A,#N/A,FALSE,"TD 3";#N/A,#N/A,FALSE,"TD 4";#N/A,#N/A,FALSE,"TD 5";#N/A,#N/A,FALSE,"TD 6";#N/A,#N/A,FALSE,"TD 7";#N/A,#N/A,FALSE,"TD 8";#N/A,#N/A,FALSE,"TD 9";#N/A,#N/A,FALSE,"TD 10A";#N/A,#N/A,FALSE,"TD 10B";#N/A,#N/A,FALSE,"TD 11";#N/A,#N/A,FALSE,"TD 13";#N/A,#N/A,FALSE,"TD 12";#N/A,#N/A,FALSE,"TD DEC"}</definedName>
    <definedName name="wrn.cellform." hidden="1">{#N/A,#N/A,FALSE,"TD 1";#N/A,#N/A,FALSE,"TD 2";#N/A,#N/A,FALSE,"TD 3";#N/A,#N/A,FALSE,"TD 4";#N/A,#N/A,FALSE,"TD 5";#N/A,#N/A,FALSE,"TD 6";#N/A,#N/A,FALSE,"TD 7";#N/A,#N/A,FALSE,"TD 8";#N/A,#N/A,FALSE,"TD 9";#N/A,#N/A,FALSE,"TD 10A";#N/A,#N/A,FALSE,"TD 10B";#N/A,#N/A,FALSE,"TD 11";#N/A,#N/A,FALSE,"TD 13";#N/A,#N/A,FALSE,"TD 12";#N/A,#N/A,FALSE,"TD DEC"}</definedName>
    <definedName name="wrn.CF._.Statement." localSheetId="1" hidden="1">{"CashPrintArea",#N/A,FALSE,"Cash (c)"}</definedName>
    <definedName name="wrn.CF._.Statement." localSheetId="3" hidden="1">{"CashPrintArea",#N/A,FALSE,"Cash (c)"}</definedName>
    <definedName name="wrn.CF._.Statement." hidden="1">{"CashPrintArea",#N/A,FALSE,"Cash (c)"}</definedName>
    <definedName name="wrn.CF._.Statement._.Base._.Case." localSheetId="1" hidden="1">{"CashPrintArea",#N/A,FALSE,"Cash (c)"}</definedName>
    <definedName name="wrn.CF._.Statement._.Base._.Case." localSheetId="3" hidden="1">{"CashPrintArea",#N/A,FALSE,"Cash (c)"}</definedName>
    <definedName name="wrn.CF._.Statement._.Base._.Case." hidden="1">{"CashPrintArea",#N/A,FALSE,"Cash (c)"}</definedName>
    <definedName name="wrn.CONOCO._.FAC." localSheetId="1" hidden="1">{"CONOCO_FAC",#N/A,FALSE,"Conoco FAC"}</definedName>
    <definedName name="wrn.CONOCO._.FAC." localSheetId="3" hidden="1">{"CONOCO_FAC",#N/A,FALSE,"Conoco FAC"}</definedName>
    <definedName name="wrn.CONOCO._.FAC." hidden="1">{"CONOCO_FAC",#N/A,FALSE,"Conoco FAC"}</definedName>
    <definedName name="wrn.DATABASE." localSheetId="1" hidden="1">{"DBINPUT1",#N/A,FALSE,"Database";"DBINPUT2",#N/A,FALSE,"Database"}</definedName>
    <definedName name="wrn.DATABASE." localSheetId="3" hidden="1">{"DBINPUT1",#N/A,FALSE,"Database";"DBINPUT2",#N/A,FALSE,"Database"}</definedName>
    <definedName name="wrn.DATABASE." hidden="1">{"DBINPUT1",#N/A,FALSE,"Database";"DBINPUT2",#N/A,FALSE,"Database"}</definedName>
    <definedName name="wrn.dcf." localSheetId="1" hidden="1">{"mgmt forecast",#N/A,FALSE,"Mgmt Forecast";"dcf table",#N/A,FALSE,"Mgmt Forecast";"sensitivity",#N/A,FALSE,"Mgmt Forecast";"table inputs",#N/A,FALSE,"Mgmt Forecast";"calculations",#N/A,FALSE,"Mgmt Forecast"}</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CF._.Valuation." localSheetId="1" hidden="1">{"value box",#N/A,TRUE,"DPL Inc. Fin Statements";"unlevered free cash flows",#N/A,TRUE,"DPL Inc. Fin Statements"}</definedName>
    <definedName name="wrn.DCF._.Valuation." localSheetId="3" hidden="1">{"value box",#N/A,TRUE,"DPL Inc. Fin Statements";"unlevered free cash flows",#N/A,TRUE,"DPL Inc. Fin Statements"}</definedName>
    <definedName name="wrn.DCF._.Valuation." hidden="1">{"value box",#N/A,TRUE,"DPL Inc. Fin Statements";"unlevered free cash flows",#N/A,TRUE,"DPL Inc. Fin Statements"}</definedName>
    <definedName name="wrn.Debt." localSheetId="1" hidden="1">{"debt summary",#N/A,FALSE,"Debt";"loan details",#N/A,FALSE,"Debt"}</definedName>
    <definedName name="wrn.Debt." localSheetId="3" hidden="1">{"debt summary",#N/A,FALSE,"Debt";"loan details",#N/A,FALSE,"Debt"}</definedName>
    <definedName name="wrn.Debt." hidden="1">{"debt summary",#N/A,FALSE,"Debt";"loan details",#N/A,FALSE,"Debt"}</definedName>
    <definedName name="wrn.detail." localSheetId="1"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Thru2007." localSheetId="1"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localSheetId="3"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07." hidden="1">{"SummThru2007",#N/A,TRUE,"NetIncome";"DetailThru2007",#N/A,TRUE,"Cashflow";"DetailThru2007",#N/A,TRUE,"Reserves";"PPAThru2007",#N/A,TRUE,"Assumptions";"DowAndOtherThru2007",#N/A,TRUE,"Assumptions";"FuelThru2007",#N/A,TRUE,"Assumptions";"DetailThru2007",#N/A,TRUE,"NetIncome";"DetailThru2007",#N/A,TRUE,"PPARevenue";"RevenueThru2007",#N/A,TRUE,"DowRevenue";"RatesThru2007",#N/A,TRUE,"DowRevenue";"DetailThru2007",#N/A,TRUE,"HeatRate";"DetailThru2007",#N/A,TRUE,"PlantO&amp;M";"DetailThru2007",#N/A,TRUE,"WACOG";"DetailThru2007",#N/A,TRUE,"Transportation";"DetailThru2007",#N/A,TRUE,"GasOptimizer";"Detailthru2007",#N/A,TRUE,"SpareParts";"DetailThru2007",#N/A,TRUE,"Depreciation"}</definedName>
    <definedName name="wrn.DetailThru2015." localSheetId="1"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localSheetId="3"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DetailThru2015." hidden="1">{"PPAThru2015",#N/A,TRUE,"Assumptions";"DowAndOtherThru2015",#N/A,TRUE,"Assumptions";"FuelThru2015",#N/A,TRUE,"Assumptions";"Detailthru2015",#N/A,TRUE,"Cashflow";"DetailThru2015",#N/A,TRUE,"Reserves";"DetailThru2015",#N/A,TRUE,"NetIncome";"PartnerEconThru2015",#N/A,TRUE,"NetIncome";"DetailThru2015",#N/A,TRUE,"PPARevenue";"RevenueThru2015",#N/A,TRUE,"DowRevenue";"RatesThru2015",#N/A,TRUE,"DowRevenue";"DetailThru2015",#N/A,TRUE,"HeatRate";"DetailThru2015",#N/A,TRUE,"PlantO&amp;M";"DetailThru2015",#N/A,TRUE,"Taxes";"DetailThru2015",#N/A,TRUE,"WACOG";"DetailThru2015",#N/A,TRUE,"GasOptimizer";"DetailThru2015",#N/A,TRUE,"SpareParts";"DetailThru2015",#N/A,TRUE,"Depreciation";"DetailThru2015",#N/A,TRUE,"Transportation"}</definedName>
    <definedName name="wrn.eleccoopform." localSheetId="1" hidden="1">{#N/A,#N/A,FALSE,"TD-EC-1";#N/A,#N/A,FALSE,"TD-EC-2";#N/A,#N/A,FALSE,"TD-EC-3";#N/A,#N/A,FALSE,"TD-EC-4";#N/A,#N/A,FALSE,"EC-TD-5";#N/A,#N/A,FALSE,"TD-EC-6";#N/A,#N/A,FALSE,"TD DEC"}</definedName>
    <definedName name="wrn.eleccoopform." localSheetId="3" hidden="1">{#N/A,#N/A,FALSE,"TD-EC-1";#N/A,#N/A,FALSE,"TD-EC-2";#N/A,#N/A,FALSE,"TD-EC-3";#N/A,#N/A,FALSE,"TD-EC-4";#N/A,#N/A,FALSE,"EC-TD-5";#N/A,#N/A,FALSE,"TD-EC-6";#N/A,#N/A,FALSE,"TD DEC"}</definedName>
    <definedName name="wrn.eleccoopform." hidden="1">{#N/A,#N/A,FALSE,"TD-EC-1";#N/A,#N/A,FALSE,"TD-EC-2";#N/A,#N/A,FALSE,"TD-EC-3";#N/A,#N/A,FALSE,"TD-EC-4";#N/A,#N/A,FALSE,"EC-TD-5";#N/A,#N/A,FALSE,"TD-EC-6";#N/A,#N/A,FALSE,"TD DEC"}</definedName>
    <definedName name="wrn.FAC._.SUMMARY." localSheetId="1" hidden="1">{"FAC_SUMMARY",#N/A,FALSE,"Summaries"}</definedName>
    <definedName name="wrn.FAC._.SUMMARY." localSheetId="3" hidden="1">{"FAC_SUMMARY",#N/A,FALSE,"Summaries"}</definedName>
    <definedName name="wrn.FAC._.SUMMARY." hidden="1">{"FAC_SUMMARY",#N/A,FALSE,"Summaries"}</definedName>
    <definedName name="wrn.FCB." localSheetId="1" hidden="1">{"FCB_ALL",#N/A,FALSE,"FCB"}</definedName>
    <definedName name="wrn.FCB." localSheetId="3" hidden="1">{"FCB_ALL",#N/A,FALSE,"FCB"}</definedName>
    <definedName name="wrn.FCB." hidden="1">{"FCB_ALL",#N/A,FALSE,"FCB"}</definedName>
    <definedName name="wrn.fcb2" localSheetId="1" hidden="1">{"FCB_ALL",#N/A,FALSE,"FCB"}</definedName>
    <definedName name="wrn.fcb2" localSheetId="3" hidden="1">{"FCB_ALL",#N/A,FALSE,"FCB"}</definedName>
    <definedName name="wrn.fcb2" hidden="1">{"FCB_ALL",#N/A,FALSE,"FCB"}</definedName>
    <definedName name="wrn.FERC._.FAC._.CALC." localSheetId="1" hidden="1">{"FERC_FAC",#N/A,FALSE,"FERC_Fuel&amp;Rev"}</definedName>
    <definedName name="wrn.FERC._.FAC._.CALC." localSheetId="3" hidden="1">{"FERC_FAC",#N/A,FALSE,"FERC_Fuel&amp;Rev"}</definedName>
    <definedName name="wrn.FERC._.FAC._.CALC." hidden="1">{"FERC_FAC",#N/A,FALSE,"FERC_Fuel&amp;Rev"}</definedName>
    <definedName name="wrn.FERC._.WEATHER._.and._.JURIS._.FUEL." localSheetId="1" hidden="1">{"FERC_WEATHER_AND_FUEL",#N/A,FALSE,"FERC_Fuel&amp;Rev"}</definedName>
    <definedName name="wrn.FERC._.WEATHER._.and._.JURIS._.FUEL." localSheetId="3" hidden="1">{"FERC_WEATHER_AND_FUEL",#N/A,FALSE,"FERC_Fuel&amp;Rev"}</definedName>
    <definedName name="wrn.FERC._.WEATHER._.and._.JURIS._.FUEL." hidden="1">{"FERC_WEATHER_AND_FUEL",#N/A,FALSE,"FERC_Fuel&amp;Rev"}</definedName>
    <definedName name="wrn.Financials." localSheetId="1" hidden="1">{#N/A,#N/A,TRUE,"Income Statement";#N/A,#N/A,TRUE,"Balance Sheet";#N/A,#N/A,TRUE,"Cash Flow"}</definedName>
    <definedName name="wrn.Financials." localSheetId="3" hidden="1">{#N/A,#N/A,TRUE,"Income Statement";#N/A,#N/A,TRUE,"Balance Sheet";#N/A,#N/A,TRUE,"Cash Flow"}</definedName>
    <definedName name="wrn.Financials." hidden="1">{#N/A,#N/A,TRUE,"Income Statement";#N/A,#N/A,TRUE,"Balance Sheet";#N/A,#N/A,TRUE,"Cash Flow"}</definedName>
    <definedName name="wrn.FORECAST._.ONLY." localSheetId="1"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localSheetId="3"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S1198." localSheetId="1" hidden="1">{#N/A,#N/A,FALSE,"COVER";#N/A,#N/A,FALSE,"SHEET";#N/A,#N/A,FALSE,"R$";#N/A,#N/A,FALSE,"US$";#N/A,#N/A,FALSE,"SCQE";#N/A,#N/A,FALSE,"SFP";#N/A,#N/A,FALSE,"G&amp;L";#N/A,#N/A,FALSE,"BS";#N/A,#N/A,FALSE,"US$1";#N/A,#N/A,FALSE,"US$DETAILS"}</definedName>
    <definedName name="wrn.FS1198." localSheetId="3" hidden="1">{#N/A,#N/A,FALSE,"COVER";#N/A,#N/A,FALSE,"SHEET";#N/A,#N/A,FALSE,"R$";#N/A,#N/A,FALSE,"US$";#N/A,#N/A,FALSE,"SCQE";#N/A,#N/A,FALSE,"SFP";#N/A,#N/A,FALSE,"G&amp;L";#N/A,#N/A,FALSE,"BS";#N/A,#N/A,FALSE,"US$1";#N/A,#N/A,FALSE,"US$DETAILS"}</definedName>
    <definedName name="wrn.FS1198." hidden="1">{#N/A,#N/A,FALSE,"COVER";#N/A,#N/A,FALSE,"SHEET";#N/A,#N/A,FALSE,"R$";#N/A,#N/A,FALSE,"US$";#N/A,#N/A,FALSE,"SCQE";#N/A,#N/A,FALSE,"SFP";#N/A,#N/A,FALSE,"G&amp;L";#N/A,#N/A,FALSE,"BS";#N/A,#N/A,FALSE,"US$1";#N/A,#N/A,FALSE,"US$DETAILS"}</definedName>
    <definedName name="wrn.Fuel._.Cycle." localSheetId="1" hidden="1">{#N/A,#N/A,FALSE,"AltFuel"}</definedName>
    <definedName name="wrn.Fuel._.Cycle." localSheetId="3" hidden="1">{#N/A,#N/A,FALSE,"AltFuel"}</definedName>
    <definedName name="wrn.Fuel._.Cycle." hidden="1">{#N/A,#N/A,FALSE,"AltFuel"}</definedName>
    <definedName name="wrn.full._.report." localSheetId="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Fincls." localSheetId="1" hidden="1">{#N/A,#N/A,TRUE,"Income Statement";#N/A,#N/A,TRUE,"Balance Sheet";#N/A,#N/A,TRUE,"Cash Flows";#N/A,#N/A,TRUE,"Ratios";#N/A,#N/A,TRUE,"Revenues";#N/A,#N/A,TRUE,"Asset Calcs";#N/A,#N/A,TRUE,"Value"}</definedName>
    <definedName name="wrn.FullFincls." localSheetId="3" hidden="1">{#N/A,#N/A,TRUE,"Income Statement";#N/A,#N/A,TRUE,"Balance Sheet";#N/A,#N/A,TRUE,"Cash Flows";#N/A,#N/A,TRUE,"Ratios";#N/A,#N/A,TRUE,"Revenues";#N/A,#N/A,TRUE,"Asset Calcs";#N/A,#N/A,TRUE,"Value"}</definedName>
    <definedName name="wrn.FullFincls." hidden="1">{#N/A,#N/A,TRUE,"Income Statement";#N/A,#N/A,TRUE,"Balance Sheet";#N/A,#N/A,TRUE,"Cash Flows";#N/A,#N/A,TRUE,"Ratios";#N/A,#N/A,TRUE,"Revenues";#N/A,#N/A,TRUE,"Asset Calcs";#N/A,#N/A,TRUE,"Value"}</definedName>
    <definedName name="wrn.FY97SBP." localSheetId="1" hidden="1">{#N/A,#N/A,FALSE,"FY97";#N/A,#N/A,FALSE,"FY98";#N/A,#N/A,FALSE,"FY99";#N/A,#N/A,FALSE,"FY00";#N/A,#N/A,FALSE,"FY01"}</definedName>
    <definedName name="wrn.FY97SBP." localSheetId="3" hidden="1">{#N/A,#N/A,FALSE,"FY97";#N/A,#N/A,FALSE,"FY98";#N/A,#N/A,FALSE,"FY99";#N/A,#N/A,FALSE,"FY00";#N/A,#N/A,FALSE,"FY01"}</definedName>
    <definedName name="wrn.FY97SBP." hidden="1">{#N/A,#N/A,FALSE,"FY97";#N/A,#N/A,FALSE,"FY98";#N/A,#N/A,FALSE,"FY99";#N/A,#N/A,FALSE,"FY00";#N/A,#N/A,FALSE,"FY01"}</definedName>
    <definedName name="wrn.gasform." localSheetId="1" hidden="1">{#N/A,#N/A,FALSE,"TD 1";#N/A,#N/A,FALSE,"TD 2";#N/A,#N/A,FALSE,"TD 3";#N/A,#N/A,FALSE,"TD 4";#N/A,#N/A,FALSE,"TD 5A";#N/A,#N/A,FALSE,"TD 5B";#N/A,#N/A,FALSE,"TD 6A";#N/A,#N/A,FALSE,"TD 6B";#N/A,#N/A,FALSE,"TD 7";#N/A,#N/A,FALSE,"TD 8";#N/A,#N/A,FALSE,"TD 9A";#N/A,#N/A,FALSE,"TD 9B";#N/A,#N/A,FALSE,"TD 10";#N/A,#N/A,FALSE,"TD 11";#N/A,#N/A,FALSE,"TD 12";#N/A,#N/A,FALSE,"TD DEC"}</definedName>
    <definedName name="wrn.gasform." localSheetId="3" hidden="1">{#N/A,#N/A,FALSE,"TD 1";#N/A,#N/A,FALSE,"TD 2";#N/A,#N/A,FALSE,"TD 3";#N/A,#N/A,FALSE,"TD 4";#N/A,#N/A,FALSE,"TD 5A";#N/A,#N/A,FALSE,"TD 5B";#N/A,#N/A,FALSE,"TD 6A";#N/A,#N/A,FALSE,"TD 6B";#N/A,#N/A,FALSE,"TD 7";#N/A,#N/A,FALSE,"TD 8";#N/A,#N/A,FALSE,"TD 9A";#N/A,#N/A,FALSE,"TD 9B";#N/A,#N/A,FALSE,"TD 10";#N/A,#N/A,FALSE,"TD 11";#N/A,#N/A,FALSE,"TD 12";#N/A,#N/A,FALSE,"TD DEC"}</definedName>
    <definedName name="wrn.gasform." hidden="1">{#N/A,#N/A,FALSE,"TD 1";#N/A,#N/A,FALSE,"TD 2";#N/A,#N/A,FALSE,"TD 3";#N/A,#N/A,FALSE,"TD 4";#N/A,#N/A,FALSE,"TD 5A";#N/A,#N/A,FALSE,"TD 5B";#N/A,#N/A,FALSE,"TD 6A";#N/A,#N/A,FALSE,"TD 6B";#N/A,#N/A,FALSE,"TD 7";#N/A,#N/A,FALSE,"TD 8";#N/A,#N/A,FALSE,"TD 9A";#N/A,#N/A,FALSE,"TD 9B";#N/A,#N/A,FALSE,"TD 10";#N/A,#N/A,FALSE,"TD 11";#N/A,#N/A,FALSE,"TD 12";#N/A,#N/A,FALSE,"TD DEC"}</definedName>
    <definedName name="wrn.General._.Information." localSheetId="1" hidden="1">{#N/A,#N/A,FALSE,"Input 2 - Sources of Funds"}</definedName>
    <definedName name="wrn.General._.Information." localSheetId="3" hidden="1">{#N/A,#N/A,FALSE,"Input 2 - Sources of Funds"}</definedName>
    <definedName name="wrn.General._.Information." hidden="1">{#N/A,#N/A,FALSE,"Input 2 - Sources of Funds"}</definedName>
    <definedName name="wrn.go." localSheetId="1" hidden="1">{"wp_h4.2",#N/A,FALSE,"WP_H4.2";"wp_h4.3",#N/A,FALSE,"WP_H4.3"}</definedName>
    <definedName name="wrn.go." localSheetId="3" hidden="1">{"wp_h4.2",#N/A,FALSE,"WP_H4.2";"wp_h4.3",#N/A,FALSE,"WP_H4.3"}</definedName>
    <definedName name="wrn.go." hidden="1">{"wp_h4.2",#N/A,FALSE,"WP_H4.2";"wp_h4.3",#N/A,FALSE,"WP_H4.3"}</definedName>
    <definedName name="wrn.Ilijan._.Print."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localSheetId="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2." localSheetId="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2." localSheetId="3"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mobil98." localSheetId="1" hidden="1">{#N/A,#N/A,FALSE,"Apar.Telef.";#N/A,#N/A,FALSE,"Software";#N/A,#N/A,FALSE,"Equip.Inform.";#N/A,#N/A,FALSE,"Moveis";#N/A,#N/A,FALSE,"Gravataí"}</definedName>
    <definedName name="wrn.imobil98." localSheetId="3" hidden="1">{#N/A,#N/A,FALSE,"Apar.Telef.";#N/A,#N/A,FALSE,"Software";#N/A,#N/A,FALSE,"Equip.Inform.";#N/A,#N/A,FALSE,"Moveis";#N/A,#N/A,FALSE,"Gravataí"}</definedName>
    <definedName name="wrn.imobil98." hidden="1">{#N/A,#N/A,FALSE,"Apar.Telef.";#N/A,#N/A,FALSE,"Software";#N/A,#N/A,FALSE,"Equip.Inform.";#N/A,#N/A,FALSE,"Moveis";#N/A,#N/A,FALSE,"Gravataí"}</definedName>
    <definedName name="wrn.INCOME._.STATEMENT." localSheetId="1" hidden="1">{"INCOME STATEMENT",#N/A,FALSE,"Income Statement"}</definedName>
    <definedName name="wrn.INCOME._.STATEMENT." localSheetId="3" hidden="1">{"INCOME STATEMENT",#N/A,FALSE,"Income Statement"}</definedName>
    <definedName name="wrn.INCOME._.STATEMENT." hidden="1">{"INCOME STATEMENT",#N/A,FALSE,"Income Statement"}</definedName>
    <definedName name="wrn.Incr.._.CF._.Statement." localSheetId="1" hidden="1">{"IncrCashPrintArea",#N/A,FALSE,"Incr_CF"}</definedName>
    <definedName name="wrn.Incr.._.CF._.Statement." localSheetId="3" hidden="1">{"IncrCashPrintArea",#N/A,FALSE,"Incr_CF"}</definedName>
    <definedName name="wrn.Incr.._.CF._.Statement." hidden="1">{"IncrCashPrintArea",#N/A,FALSE,"Incr_CF"}</definedName>
    <definedName name="wrn.Incr.._.Profitability._.Indicators." localSheetId="1" hidden="1">{"IncrProfPrintArea",#N/A,FALSE,"Incr_Prof"}</definedName>
    <definedName name="wrn.Incr.._.Profitability._.Indicators." localSheetId="3" hidden="1">{"IncrProfPrintArea",#N/A,FALSE,"Incr_Prof"}</definedName>
    <definedName name="wrn.Incr.._.Profitability._.Indicators." hidden="1">{"IncrProfPrintArea",#N/A,FALSE,"Incr_Prof"}</definedName>
    <definedName name="wrn.IncStatement._.15._.years." localSheetId="1" hidden="1">{#N/A,#N/A,FALSE,"FinStateUS"}</definedName>
    <definedName name="wrn.IncStatement._.15._.years." localSheetId="3" hidden="1">{#N/A,#N/A,FALSE,"FinStateUS"}</definedName>
    <definedName name="wrn.IncStatement._.15._.years." hidden="1">{#N/A,#N/A,FALSE,"FinStateUS"}</definedName>
    <definedName name="wrn.IncStatement._.6._.years." localSheetId="1" hidden="1">{"IncStatement 6 years",#N/A,FALSE,"FinStateUS"}</definedName>
    <definedName name="wrn.IncStatement._.6._.years." localSheetId="3" hidden="1">{"IncStatement 6 years",#N/A,FALSE,"FinStateUS"}</definedName>
    <definedName name="wrn.IncStatement._.6._.years." hidden="1">{"IncStatement 6 years",#N/A,FALSE,"FinStateUS"}</definedName>
    <definedName name="wrn.INPUT._.INFO." localSheetId="1" hidden="1">{"Input",#N/A,FALSE,"INPUT"}</definedName>
    <definedName name="wrn.INPUT._.INFO." localSheetId="3" hidden="1">{"Input",#N/A,FALSE,"INPUT"}</definedName>
    <definedName name="wrn.INPUT._.INFO." hidden="1">{"Input",#N/A,FALSE,"INPUT"}</definedName>
    <definedName name="wrn.Inputs." localSheetId="1" hidden="1">{"Inputs 1","Base",FALSE,"INPUTS";"Inputs 2","Base",FALSE,"INPUTS";"Inputs 3","Base",FALSE,"INPUTS";"Inputs 4","Base",FALSE,"INPUTS";"Inputs 5","Base",FALSE,"INPUTS"}</definedName>
    <definedName name="wrn.Inputs." localSheetId="3" hidden="1">{"Inputs 1","Base",FALSE,"INPUTS";"Inputs 2","Base",FALSE,"INPUTS";"Inputs 3","Base",FALSE,"INPUTS";"Inputs 4","Base",FALSE,"INPUTS";"Inputs 5","Base",FALSE,"INPUTS"}</definedName>
    <definedName name="wrn.Inputs." hidden="1">{"Inputs 1","Base",FALSE,"INPUTS";"Inputs 2","Base",FALSE,"INPUTS";"Inputs 3","Base",FALSE,"INPUTS";"Inputs 4","Base",FALSE,"INPUTS";"Inputs 5","Base",FALSE,"INPUTS"}</definedName>
    <definedName name="wrn.IRR." localSheetId="1" hidden="1">{"IRR Benefits",#N/A,FALSE,"IRR";"Tax Credits",#N/A,FALSE,"IRR"}</definedName>
    <definedName name="wrn.IRR." localSheetId="3" hidden="1">{"IRR Benefits",#N/A,FALSE,"IRR";"Tax Credits",#N/A,FALSE,"IRR"}</definedName>
    <definedName name="wrn.IRR." hidden="1">{"IRR Benefits",#N/A,FALSE,"IRR";"Tax Credits",#N/A,FALSE,"IRR"}</definedName>
    <definedName name="wrn.IRR._.CORP._.7." localSheetId="1" hidden="1">{"IRR",#N/A,FALSE,"Corp 7 IRR";"Input",#N/A,FALSE,"Corp 7 IRR"}</definedName>
    <definedName name="wrn.IRR._.CORP._.7." localSheetId="3" hidden="1">{"IRR",#N/A,FALSE,"Corp 7 IRR";"Input",#N/A,FALSE,"Corp 7 IRR"}</definedName>
    <definedName name="wrn.IRR._.CORP._.7." hidden="1">{"IRR",#N/A,FALSE,"Corp 7 IRR";"Input",#N/A,FALSE,"Corp 7 IRR"}</definedName>
    <definedName name="wrn.Mason._.Deliverables." localSheetId="1" hidden="1">{#N/A,#N/A,FALSE,"Data &amp; Key Results";#N/A,#N/A,FALSE,"Summary Template";#N/A,#N/A,FALSE,"Budget";#N/A,#N/A,FALSE,"Present Value Comparison";#N/A,#N/A,FALSE,"Cashflow";#N/A,#N/A,FALSE,"Income";#N/A,#N/A,FALSE,"Inputs"}</definedName>
    <definedName name="wrn.Mason._.Deliverables." localSheetId="3" hidden="1">{#N/A,#N/A,FALSE,"Data &amp; Key Results";#N/A,#N/A,FALSE,"Summary Template";#N/A,#N/A,FALSE,"Budget";#N/A,#N/A,FALSE,"Present Value Comparison";#N/A,#N/A,FALSE,"Cashflow";#N/A,#N/A,FALSE,"Income";#N/A,#N/A,FALSE,"Inputs"}</definedName>
    <definedName name="wrn.Mason._.Deliverables." hidden="1">{#N/A,#N/A,FALSE,"Data &amp; Key Results";#N/A,#N/A,FALSE,"Summary Template";#N/A,#N/A,FALSE,"Budget";#N/A,#N/A,FALSE,"Present Value Comparison";#N/A,#N/A,FALSE,"Cashflow";#N/A,#N/A,FALSE,"Income";#N/A,#N/A,FALSE,"Inputs"}</definedName>
    <definedName name="wrn.MFR." localSheetId="1"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wrn.MFR." localSheetId="3"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wrn.MFR." hidden="1">{#N/A,#N/A,FALSE,"SCH_B1";#N/A,#N/A,FALSE,"SCH_B2";#N/A,#N/A,FALSE,"SCH_B2.1";#N/A,#N/A,FALSE,"SCH_B2.2";#N/A,#N/A,FALSE,"SCH_B2.3";#N/A,#N/A,FALSE,"SCH_B3";#N/A,#N/A,FALSE,"SCH_B3.1";#N/A,#N/A,FALSE,"SCH_C1-a";#N/A,#N/A,FALSE,"SCH_C2";#N/A,#N/A,FALSE,"SCH_C2.1";#N/A,#N/A,FALSE,"SCH_D1A";#N/A,#N/A,FALSE,"SCH_D2";#N/A,#N/A,FALSE,"SCH_D2.1";#N/A,#N/A,FALSE,"SCH_E1";#N/A,#N/A,FALSE,"SCH_E1.1";#N/A,#N/A,FALSE,"SCH_F1";#N/A,#N/A,FALSE,"SCH_H1";#N/A,#N/A,FALSE,"SCH_H2";#N/A,#N/A,FALSE,"SCH_H2.1";#N/A,#N/A,FALSE,"SCH_I1";#N/A,#N/A,FALSE,"SCH_I1a";#N/A,#N/A,FALSE,"SCH_J1"}</definedName>
    <definedName name="wrn.mfr_QTR1." localSheetId="1" hidden="1">{#N/A,#N/A,TRUE,"Cover";#N/A,#N/A,TRUE,"Index";#N/A,#N/A,TRUE,"Highlights";#N/A,#N/A,TRUE,"Energy Con";"1qtr_Ener_Trad",#N/A,TRUE,"Energy Trading";"1qtr_StatGas",#N/A,TRUE,"Trade&amp;Stat1";"1qtr_StatCoal",#N/A,TRUE,"Trade&amp;Stat2";"1QTR_Pgen",#N/A,TRUE,"Power Gen";"1qtr_Pgencontd",#N/A,TRUE,"Power Gen (Cont'd)";"1qtr_Canada",#N/A,TRUE,"Canada";"1qtr_Europe",#N/A,TRUE,"Europe";#N/A,#N/A,TRUE,"Appendix";#N/A,#N/A,TRUE,"G&amp;A";#N/A,#N/A,TRUE,"DMT YOY"}</definedName>
    <definedName name="wrn.mfr_QTR1." localSheetId="3" hidden="1">{#N/A,#N/A,TRUE,"Cover";#N/A,#N/A,TRUE,"Index";#N/A,#N/A,TRUE,"Highlights";#N/A,#N/A,TRUE,"Energy Con";"1qtr_Ener_Trad",#N/A,TRUE,"Energy Trading";"1qtr_StatGas",#N/A,TRUE,"Trade&amp;Stat1";"1qtr_StatCoal",#N/A,TRUE,"Trade&amp;Stat2";"1QTR_Pgen",#N/A,TRUE,"Power Gen";"1qtr_Pgencontd",#N/A,TRUE,"Power Gen (Cont'd)";"1qtr_Canada",#N/A,TRUE,"Canada";"1qtr_Europe",#N/A,TRUE,"Europe";#N/A,#N/A,TRUE,"Appendix";#N/A,#N/A,TRUE,"G&amp;A";#N/A,#N/A,TRUE,"DMT YOY"}</definedName>
    <definedName name="wrn.mfr_QTR1." hidden="1">{#N/A,#N/A,TRUE,"Cover";#N/A,#N/A,TRUE,"Index";#N/A,#N/A,TRUE,"Highlights";#N/A,#N/A,TRUE,"Energy Con";"1qtr_Ener_Trad",#N/A,TRUE,"Energy Trading";"1qtr_StatGas",#N/A,TRUE,"Trade&amp;Stat1";"1qtr_StatCoal",#N/A,TRUE,"Trade&amp;Stat2";"1QTR_Pgen",#N/A,TRUE,"Power Gen";"1qtr_Pgencontd",#N/A,TRUE,"Power Gen (Cont'd)";"1qtr_Canada",#N/A,TRUE,"Canada";"1qtr_Europe",#N/A,TRUE,"Europe";#N/A,#N/A,TRUE,"Appendix";#N/A,#N/A,TRUE,"G&amp;A";#N/A,#N/A,TRUE,"DMT YOY"}</definedName>
    <definedName name="wrn.MiniSum." localSheetId="1" hidden="1">{#N/A,#N/A,TRUE,"Facility-Input";#N/A,#N/A,TRUE,"Graphs";#N/A,#N/A,TRUE,"TOTAL"}</definedName>
    <definedName name="wrn.MiniSum." localSheetId="3" hidden="1">{#N/A,#N/A,TRUE,"Facility-Input";#N/A,#N/A,TRUE,"Graphs";#N/A,#N/A,TRUE,"TOTAL"}</definedName>
    <definedName name="wrn.MiniSum." hidden="1">{#N/A,#N/A,TRUE,"Facility-Input";#N/A,#N/A,TRUE,"Graphs";#N/A,#N/A,TRUE,"TOTAL"}</definedName>
    <definedName name="wrn.NRC._.Statements." localSheetId="1" hidden="1">{#N/A,#N/A,FALSE,"NRC Inc Stmnt";#N/A,#N/A,FALSE,"NRC Cash Flows"}</definedName>
    <definedName name="wrn.NRC._.Statements." localSheetId="3" hidden="1">{#N/A,#N/A,FALSE,"NRC Inc Stmnt";#N/A,#N/A,FALSE,"NRC Cash Flows"}</definedName>
    <definedName name="wrn.NRC._.Statements." hidden="1">{#N/A,#N/A,FALSE,"NRC Inc Stmnt";#N/A,#N/A,FALSE,"NRC Cash Flows"}</definedName>
    <definedName name="wrn.OK._.FUEL._.COMPARISON." localSheetId="1" hidden="1">{"OK_FUEL_COMPARISON",#N/A,FALSE,"Ok_Fuel&amp;Rev"}</definedName>
    <definedName name="wrn.OK._.FUEL._.COMPARISON." localSheetId="3" hidden="1">{"OK_FUEL_COMPARISON",#N/A,FALSE,"Ok_Fuel&amp;Rev"}</definedName>
    <definedName name="wrn.OK._.FUEL._.COMPARISON." hidden="1">{"OK_FUEL_COMPARISON",#N/A,FALSE,"Ok_Fuel&amp;Rev"}</definedName>
    <definedName name="wrn.OK._.JURIS._.FAC._.CALCULATION." localSheetId="1" hidden="1">{"OK_JURIS_FAC",#N/A,FALSE,"Ok_Fuel&amp;Rev"}</definedName>
    <definedName name="wrn.OK._.JURIS._.FAC._.CALCULATION." localSheetId="3" hidden="1">{"OK_JURIS_FAC",#N/A,FALSE,"Ok_Fuel&amp;Rev"}</definedName>
    <definedName name="wrn.OK._.JURIS._.FAC._.CALCULATION." hidden="1">{"OK_JURIS_FAC",#N/A,FALSE,"Ok_Fuel&amp;Rev"}</definedName>
    <definedName name="wrn.OK._.JURIS._.FUEL._.COST." localSheetId="1" hidden="1">{"OK_JURIS_FUEL",#N/A,FALSE,"Ok_Fuel&amp;Rev"}</definedName>
    <definedName name="wrn.OK._.JURIS._.FUEL._.COST." localSheetId="3" hidden="1">{"OK_JURIS_FUEL",#N/A,FALSE,"Ok_Fuel&amp;Rev"}</definedName>
    <definedName name="wrn.OK._.JURIS._.FUEL._.COST." hidden="1">{"OK_JURIS_FUEL",#N/A,FALSE,"Ok_Fuel&amp;Rev"}</definedName>
    <definedName name="wrn.OKLA._.PRO._.FORMA._.FUEL." localSheetId="1" hidden="1">{"OK_PRO_FORMA_FUEL",#N/A,FALSE,"Ok_Fuel&amp;Rev"}</definedName>
    <definedName name="wrn.OKLA._.PRO._.FORMA._.FUEL." localSheetId="3" hidden="1">{"OK_PRO_FORMA_FUEL",#N/A,FALSE,"Ok_Fuel&amp;Rev"}</definedName>
    <definedName name="wrn.OKLA._.PRO._.FORMA._.FUEL." hidden="1">{"OK_PRO_FORMA_FUEL",#N/A,FALSE,"Ok_Fuel&amp;Rev"}</definedName>
    <definedName name="wrn.OMPA._.FAC." localSheetId="1" hidden="1">{"OMPA_FAC",#N/A,FALSE,"OMPA FAC"}</definedName>
    <definedName name="wrn.OMPA._.FAC." localSheetId="3" hidden="1">{"OMPA_FAC",#N/A,FALSE,"OMPA FAC"}</definedName>
    <definedName name="wrn.OMPA._.FAC." hidden="1">{"OMPA_FAC",#N/A,FALSE,"OMPA FAC"}</definedName>
    <definedName name="wrn.ops._.costs." localSheetId="1" hidden="1">{"page1",#N/A,FALSE,"APCI Operations Detail  ";"page2",#N/A,FALSE,"APCI Operations Detail  ";"page3",#N/A,FALSE,"APCI Operations Detail  ";"page4",#N/A,FALSE,"APCI Operations Detail  "}</definedName>
    <definedName name="wrn.ops._.costs." localSheetId="3" hidden="1">{"page1",#N/A,FALSE,"APCI Operations Detail  ";"page2",#N/A,FALSE,"APCI Operations Detail  ";"page3",#N/A,FALSE,"APCI Operations Detail  ";"page4",#N/A,FALSE,"APCI Operations Detail  "}</definedName>
    <definedName name="wrn.ops._.costs." hidden="1">{"page1",#N/A,FALSE,"APCI Operations Detail  ";"page2",#N/A,FALSE,"APCI Operations Detail  ";"page3",#N/A,FALSE,"APCI Operations Detail  ";"page4",#N/A,FALSE,"APCI Operations Detail  "}</definedName>
    <definedName name="wrn.OTHER._.DATA." localSheetId="1" hidden="1">{"OTHER_DATA",#N/A,FALSE,"Ok_Fuel&amp;Rev"}</definedName>
    <definedName name="wrn.OTHER._.DATA." localSheetId="3" hidden="1">{"OTHER_DATA",#N/A,FALSE,"Ok_Fuel&amp;Rev"}</definedName>
    <definedName name="wrn.OTHER._.DATA." hidden="1">{"OTHER_DATA",#N/A,FALSE,"Ok_Fuel&amp;Rev"}</definedName>
    <definedName name="wrn.Output." localSheetId="1" hidden="1">{"calspreads",#N/A,FALSE,"Sheet1";"curves",#N/A,FALSE,"Sheet1";"libor",#N/A,FALSE,"Sheet1"}</definedName>
    <definedName name="wrn.Output." localSheetId="3" hidden="1">{"calspreads",#N/A,FALSE,"Sheet1";"curves",#N/A,FALSE,"Sheet1";"libor",#N/A,FALSE,"Sheet1"}</definedName>
    <definedName name="wrn.Output." hidden="1">{"calspreads",#N/A,FALSE,"Sheet1";"curves",#N/A,FALSE,"Sheet1";"libor",#N/A,FALSE,"Sheet1"}</definedName>
    <definedName name="wrn.PartialFncls." localSheetId="1" hidden="1">{#N/A,#N/A,FALSE,"Income Statement";#N/A,#N/A,FALSE,"Balance Sheet";#N/A,#N/A,FALSE,"Cash Flows";#N/A,#N/A,FALSE,"Ratios"}</definedName>
    <definedName name="wrn.PartialFncls." localSheetId="3" hidden="1">{#N/A,#N/A,FALSE,"Income Statement";#N/A,#N/A,FALSE,"Balance Sheet";#N/A,#N/A,FALSE,"Cash Flows";#N/A,#N/A,FALSE,"Ratios"}</definedName>
    <definedName name="wrn.PartialFncls." hidden="1">{#N/A,#N/A,FALSE,"Income Statement";#N/A,#N/A,FALSE,"Balance Sheet";#N/A,#N/A,FALSE,"Cash Flows";#N/A,#N/A,FALSE,"Ratios"}</definedName>
    <definedName name="wrn.PARTNERS._.CAPITAL._.STMT." localSheetId="1" hidden="1">{"PARTNERS CAPITAL STMT",#N/A,FALSE,"Partners Capital"}</definedName>
    <definedName name="wrn.PARTNERS._.CAPITAL._.STMT." localSheetId="3" hidden="1">{"PARTNERS CAPITAL STMT",#N/A,FALSE,"Partners Capital"}</definedName>
    <definedName name="wrn.PARTNERS._.CAPITAL._.STMT." hidden="1">{"PARTNERS CAPITAL STMT",#N/A,FALSE,"Partners Capital"}</definedName>
    <definedName name="wrn.pl." localSheetId="1" hidden="1">{#N/A,#N/A,FALSE,"Exhibits 5-7"}</definedName>
    <definedName name="wrn.pl." localSheetId="3" hidden="1">{#N/A,#N/A,FALSE,"Exhibits 5-7"}</definedName>
    <definedName name="wrn.pl." hidden="1">{#N/A,#N/A,FALSE,"Exhibits 5-7"}</definedName>
    <definedName name="wrn.pl2." localSheetId="1" hidden="1">{#N/A,#N/A,FALSE,"Exhibits 5-7"}</definedName>
    <definedName name="wrn.pl2." localSheetId="3" hidden="1">{#N/A,#N/A,FALSE,"Exhibits 5-7"}</definedName>
    <definedName name="wrn.pl2." hidden="1">{#N/A,#N/A,FALSE,"Exhibits 5-7"}</definedName>
    <definedName name="wrn.PRES_OUT." localSheetId="1" hidden="1">{"page1",#N/A,FALSE,"PRESENTATION";"page2",#N/A,FALSE,"PRESENTATION";#N/A,#N/A,FALSE,"Valuation Summary"}</definedName>
    <definedName name="wrn.PRES_OUT." localSheetId="3" hidden="1">{"page1",#N/A,FALSE,"PRESENTATION";"page2",#N/A,FALSE,"PRESENTATION";#N/A,#N/A,FALSE,"Valuation Summary"}</definedName>
    <definedName name="wrn.PRES_OUT." hidden="1">{"page1",#N/A,FALSE,"PRESENTATION";"page2",#N/A,FALSE,"PRESENTATION";#N/A,#N/A,FALSE,"Valuation Summary"}</definedName>
    <definedName name="wrn.print" localSheetId="1"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1" hidden="1">{#N/A,#N/A,TRUE,"Inputs";#N/A,#N/A,TRUE,"Cashflow Statement";#N/A,#N/A,TRUE,"Summary";#N/A,#N/A,TRUE,"Construction";#N/A,#N/A,TRUE,"RevAss";#N/A,#N/A,TRUE,"Debt";#N/A,#N/A,TRUE,"Inc";#N/A,#N/A,TRUE,"Depr"}</definedName>
    <definedName name="wrn.Print." localSheetId="3" hidden="1">{#N/A,#N/A,TRUE,"Inputs";#N/A,#N/A,TRUE,"Cashflow Statement";#N/A,#N/A,TRUE,"Summary";#N/A,#N/A,TRUE,"Construction";#N/A,#N/A,TRUE,"RevAss";#N/A,#N/A,TRUE,"Debt";#N/A,#N/A,TRUE,"Inc";#N/A,#N/A,TRUE,"Depr"}</definedName>
    <definedName name="wrn.Print." hidden="1">{#N/A,#N/A,TRUE,"Inputs";#N/A,#N/A,TRUE,"Cashflow Statement";#N/A,#N/A,TRUE,"Summary";#N/A,#N/A,TRUE,"Construction";#N/A,#N/A,TRUE,"RevAss";#N/A,#N/A,TRUE,"Debt";#N/A,#N/A,TRUE,"Inc";#N/A,#N/A,TRUE,"Depr"}</definedName>
    <definedName name="wrn.Print._.Full._.Format." localSheetId="1" hidden="1">{#N/A,#N/A,FALSE,"Assumptions";"Model",#N/A,FALSE,"MDU";#N/A,#N/A,FALSE,"Notes"}</definedName>
    <definedName name="wrn.Print._.Full._.Format." localSheetId="3" hidden="1">{#N/A,#N/A,FALSE,"Assumptions";"Model",#N/A,FALSE,"MDU";#N/A,#N/A,FALSE,"Notes"}</definedName>
    <definedName name="wrn.Print._.Full._.Format." hidden="1">{#N/A,#N/A,FALSE,"Assumptions";"Model",#N/A,FALSE,"MDU";#N/A,#N/A,FALSE,"Notes"}</definedName>
    <definedName name="wrn.print._.graphs." localSheetId="1"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Pages." localSheetId="1" hidden="1">{#N/A,#N/A,FALSE,"Page 1";#N/A,#N/A,FALSE,"Page 2";#N/A,#N/A,FALSE,"Page 3";#N/A,#N/A,FALSE,"Page 4";#N/A,#N/A,FALSE,"Page 5"}</definedName>
    <definedName name="wrn.Print._.Pages." localSheetId="3" hidden="1">{#N/A,#N/A,FALSE,"Page 1";#N/A,#N/A,FALSE,"Page 2";#N/A,#N/A,FALSE,"Page 3";#N/A,#N/A,FALSE,"Page 4";#N/A,#N/A,FALSE,"Page 5"}</definedName>
    <definedName name="wrn.Print._.Pages." hidden="1">{#N/A,#N/A,FALSE,"Page 1";#N/A,#N/A,FALSE,"Page 2";#N/A,#N/A,FALSE,"Page 3";#N/A,#N/A,FALSE,"Page 4";#N/A,#N/A,FALSE,"Page 5"}</definedName>
    <definedName name="wrn.Print._.PNL._.Download." localSheetId="1" hidden="1">{"PNLProjDL",#N/A,FALSE,"PROJCO";"PNLParDL",#N/A,FALSE,"Parent"}</definedName>
    <definedName name="wrn.Print._.PNL._.Download." localSheetId="3" hidden="1">{"PNLProjDL",#N/A,FALSE,"PROJCO";"PNLParDL",#N/A,FALSE,"Parent"}</definedName>
    <definedName name="wrn.Print._.PNL._.Download." hidden="1">{"PNLProjDL",#N/A,FALSE,"PROJCO";"PNLParDL",#N/A,FALSE,"Parent"}</definedName>
    <definedName name="wrn.print._.raw._.data._.entry." localSheetId="1" hidden="1">{"inputs raw data",#N/A,TRUE,"INPUT"}</definedName>
    <definedName name="wrn.print._.raw._.data._.entry." localSheetId="3" hidden="1">{"inputs raw data",#N/A,TRUE,"INPUT"}</definedName>
    <definedName name="wrn.print._.raw._.data._.entry." hidden="1">{"inputs raw data",#N/A,TRUE,"INPUT"}</definedName>
    <definedName name="wrn.print._.summary._.sheets." localSheetId="1" hidden="1">{"summary1",#N/A,TRUE,"Comps";"summary2",#N/A,TRUE,"Comps";"summary3",#N/A,TRUE,"Comps"}</definedName>
    <definedName name="wrn.print._.summary._.sheets." localSheetId="3" hidden="1">{"summary1",#N/A,TRUE,"Comps";"summary2",#N/A,TRUE,"Comps";"summary3",#N/A,TRUE,"Comps"}</definedName>
    <definedName name="wrn.print._.summary._.sheets." hidden="1">{"summary1",#N/A,TRUE,"Comps";"summary2",#N/A,TRUE,"Comps";"summary3",#N/A,TRUE,"Comps"}</definedName>
    <definedName name="wrn.Print_Buyer." localSheetId="1" hidden="1">{#N/A,"DR",FALSE,"increm pf";#N/A,"MAMSI",FALSE,"increm pf";#N/A,"MAXI",FALSE,"increm pf";#N/A,"PCAM",FALSE,"increm pf";#N/A,"PHSV",FALSE,"increm pf";#N/A,"SIE",FALSE,"increm pf"}</definedName>
    <definedName name="wrn.Print_Buyer." localSheetId="3"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Earnings_template." localSheetId="1" hidden="1">{"by_month",#N/A,TRUE,"template";"destec_month",#N/A,TRUE,"template";"by_quarter",#N/A,TRUE,"template";"destec_quarter",#N/A,TRUE,"template";"by_year",#N/A,TRUE,"template";"destec_annual",#N/A,TRUE,"template"}</definedName>
    <definedName name="wrn.Print_Earnings_template." localSheetId="3" hidden="1">{"by_month",#N/A,TRUE,"template";"destec_month",#N/A,TRUE,"template";"by_quarter",#N/A,TRUE,"template";"destec_quarter",#N/A,TRUE,"template";"by_year",#N/A,TRUE,"template";"destec_annual",#N/A,TRUE,"template"}</definedName>
    <definedName name="wrn.Print_Earnings_template." hidden="1">{"by_month",#N/A,TRUE,"template";"destec_month",#N/A,TRUE,"template";"by_quarter",#N/A,TRUE,"template";"destec_quarter",#N/A,TRUE,"template";"by_year",#N/A,TRUE,"template";"destec_annual",#N/A,TRUE,"template"}</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localSheetId="1" hidden="1">{"var_page",#N/A,FALSE,"template"}</definedName>
    <definedName name="wrn.Print_Var_page." localSheetId="3" hidden="1">{"var_page",#N/A,FALSE,"template"}</definedName>
    <definedName name="wrn.Print_Var_page." hidden="1">{"var_page",#N/A,FALSE,"template"}</definedName>
    <definedName name="wrn.print_variance." localSheetId="1" hidden="1">{"var_report",#N/A,FALSE,"template"}</definedName>
    <definedName name="wrn.print_variance." localSheetId="3" hidden="1">{"var_report",#N/A,FALSE,"template"}</definedName>
    <definedName name="wrn.print_variance." hidden="1">{"var_report",#N/A,FALSE,"template"}</definedName>
    <definedName name="wrn.Print_Variance_Page." localSheetId="1" hidden="1">{"variance_page",#N/A,FALSE,"template"}</definedName>
    <definedName name="wrn.Print_Variance_Page." localSheetId="3" hidden="1">{"variance_page",#N/A,FALSE,"template"}</definedName>
    <definedName name="wrn.Print_Variance_Page." hidden="1">{"variance_page",#N/A,FALSE,"template"}</definedName>
    <definedName name="wrn.PrintAll." localSheetId="1" hidden="1">{"PA1",#N/A,TRUE,"BORDMW";"pa2",#N/A,TRUE,"BORDMW";"PA3",#N/A,TRUE,"BORDMW";"PA4",#N/A,TRUE,"BORDMW"}</definedName>
    <definedName name="wrn.PrintAll." localSheetId="3" hidden="1">{"PA1",#N/A,TRUE,"BORDMW";"pa2",#N/A,TRUE,"BORDMW";"PA3",#N/A,TRUE,"BORDMW";"PA4",#N/A,TRUE,"BORDMW"}</definedName>
    <definedName name="wrn.PrintAll." hidden="1">{"PA1",#N/A,TRUE,"BORDMW";"pa2",#N/A,TRUE,"BORDMW";"PA3",#N/A,TRUE,"BORDMW";"PA4",#N/A,TRUE,"BORDMW"}</definedName>
    <definedName name="wrn.Printout." localSheetId="1"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localSheetId="3"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vatelecform." localSheetId="1" hidden="1">{#N/A,#N/A,FALSE,"TD 1";#N/A,#N/A,FALSE,"TD 2";#N/A,#N/A,FALSE,"TD 3";#N/A,#N/A,FALSE,"TD 4";#N/A,#N/A,FALSE,"TD 5A";#N/A,#N/A,FALSE,"TD 5B";#N/A,#N/A,FALSE,"TD 6A";#N/A,#N/A,FALSE,"TD 6B";#N/A,#N/A,FALSE,"TD 7";#N/A,#N/A,FALSE,"TD 8";#N/A,#N/A,FALSE,"TD 9A";#N/A,#N/A,FALSE,"TD 9B";#N/A,#N/A,FALSE,"TD 10";#N/A,#N/A,FALSE,"TD 11";#N/A,#N/A,FALSE,"TD 12";#N/A,#N/A,FALSE,"TD DEC"}</definedName>
    <definedName name="wrn.privatelecform." localSheetId="3" hidden="1">{#N/A,#N/A,FALSE,"TD 1";#N/A,#N/A,FALSE,"TD 2";#N/A,#N/A,FALSE,"TD 3";#N/A,#N/A,FALSE,"TD 4";#N/A,#N/A,FALSE,"TD 5A";#N/A,#N/A,FALSE,"TD 5B";#N/A,#N/A,FALSE,"TD 6A";#N/A,#N/A,FALSE,"TD 6B";#N/A,#N/A,FALSE,"TD 7";#N/A,#N/A,FALSE,"TD 8";#N/A,#N/A,FALSE,"TD 9A";#N/A,#N/A,FALSE,"TD 9B";#N/A,#N/A,FALSE,"TD 10";#N/A,#N/A,FALSE,"TD 11";#N/A,#N/A,FALSE,"TD 12";#N/A,#N/A,FALSE,"TD DEC"}</definedName>
    <definedName name="wrn.privatelecform." hidden="1">{#N/A,#N/A,FALSE,"TD 1";#N/A,#N/A,FALSE,"TD 2";#N/A,#N/A,FALSE,"TD 3";#N/A,#N/A,FALSE,"TD 4";#N/A,#N/A,FALSE,"TD 5A";#N/A,#N/A,FALSE,"TD 5B";#N/A,#N/A,FALSE,"TD 6A";#N/A,#N/A,FALSE,"TD 6B";#N/A,#N/A,FALSE,"TD 7";#N/A,#N/A,FALSE,"TD 8";#N/A,#N/A,FALSE,"TD 9A";#N/A,#N/A,FALSE,"TD 9B";#N/A,#N/A,FALSE,"TD 10";#N/A,#N/A,FALSE,"TD 11";#N/A,#N/A,FALSE,"TD 12";#N/A,#N/A,FALSE,"TD DEC"}</definedName>
    <definedName name="wrn.Prod._.And._.Trans." localSheetId="1" hidden="1">{"Prod Summary",#N/A,FALSE,"Summary";"Trans Summary",#N/A,FALSE,"Summary";"All Input",#N/A,FALSE,"Input";"Prod 12 CP",#N/A,FALSE,"Prod 12 CP";"Prod 4 CP",#N/A,FALSE,"Prod 4 CP";"Prod 1 CP",#N/A,FALSE,"Prod 1 CP";"Prod 4 CP A_E",#N/A,FALSE,"Prod 4 CP A&amp;E";"Prod 4 CP_Avg",#N/A,FALSE,"Prod 4 CP&amp;Avg";"Prod 4 CP Jur 4 CP Avg Retail",#N/A,FALSE,"Prod 4CP Jurisd-4CP&amp;Avg Retail";"Trans 12 CP",#N/A,FALSE,"Trans 12 CP";"Trans 4 CP",#N/A,FALSE,"Trans 4 CP";"Trans 1 CP",#N/A,FALSE,"Trans 1 CP";"Trans 4 CP A_E",#N/A,FALSE,"Trans 4 CP A&amp;E";"Trans 4 CP_Avg",#N/A,FALSE,"Trans 4 CP &amp; Avg";"Trans 4 CP Jur 4 CP_Avg Retail",#N/A,FALSE,"Trans 4 CP Jur 4 CP_Avg Retail"}</definedName>
    <definedName name="wrn.Prod._.And._.Trans." localSheetId="3" hidden="1">{"Prod Summary",#N/A,FALSE,"Summary";"Trans Summary",#N/A,FALSE,"Summary";"All Input",#N/A,FALSE,"Input";"Prod 12 CP",#N/A,FALSE,"Prod 12 CP";"Prod 4 CP",#N/A,FALSE,"Prod 4 CP";"Prod 1 CP",#N/A,FALSE,"Prod 1 CP";"Prod 4 CP A_E",#N/A,FALSE,"Prod 4 CP A&amp;E";"Prod 4 CP_Avg",#N/A,FALSE,"Prod 4 CP&amp;Avg";"Prod 4 CP Jur 4 CP Avg Retail",#N/A,FALSE,"Prod 4CP Jurisd-4CP&amp;Avg Retail";"Trans 12 CP",#N/A,FALSE,"Trans 12 CP";"Trans 4 CP",#N/A,FALSE,"Trans 4 CP";"Trans 1 CP",#N/A,FALSE,"Trans 1 CP";"Trans 4 CP A_E",#N/A,FALSE,"Trans 4 CP A&amp;E";"Trans 4 CP_Avg",#N/A,FALSE,"Trans 4 CP &amp; Avg";"Trans 4 CP Jur 4 CP_Avg Retail",#N/A,FALSE,"Trans 4 CP Jur 4 CP_Avg Retail"}</definedName>
    <definedName name="wrn.Prod._.And._.Trans." hidden="1">{"Prod Summary",#N/A,FALSE,"Summary";"Trans Summary",#N/A,FALSE,"Summary";"All Input",#N/A,FALSE,"Input";"Prod 12 CP",#N/A,FALSE,"Prod 12 CP";"Prod 4 CP",#N/A,FALSE,"Prod 4 CP";"Prod 1 CP",#N/A,FALSE,"Prod 1 CP";"Prod 4 CP A_E",#N/A,FALSE,"Prod 4 CP A&amp;E";"Prod 4 CP_Avg",#N/A,FALSE,"Prod 4 CP&amp;Avg";"Prod 4 CP Jur 4 CP Avg Retail",#N/A,FALSE,"Prod 4CP Jurisd-4CP&amp;Avg Retail";"Trans 12 CP",#N/A,FALSE,"Trans 12 CP";"Trans 4 CP",#N/A,FALSE,"Trans 4 CP";"Trans 1 CP",#N/A,FALSE,"Trans 1 CP";"Trans 4 CP A_E",#N/A,FALSE,"Trans 4 CP A&amp;E";"Trans 4 CP_Avg",#N/A,FALSE,"Trans 4 CP &amp; Avg";"Trans 4 CP Jur 4 CP_Avg Retail",#N/A,FALSE,"Trans 4 CP Jur 4 CP_Avg Retail"}</definedName>
    <definedName name="wrn.Production." localSheetId="1" hidden="1">{"Prod Summary",#N/A,FALSE,"Summary";"Prod 12 CP",#N/A,FALSE,"Prod 12 CP";"Prod 4 CP",#N/A,FALSE,"Prod 4 CP";"Prod 1 CP",#N/A,FALSE,"Prod 1 CP";"Prod 4 CP A_E",#N/A,FALSE,"Prod 4 CP A&amp;E";"Prod 4 CP_Avg",#N/A,FALSE,"Prod 4 CP&amp;Avg";"Prod 4 CP Jur 4 CP Avg Retail",#N/A,FALSE,"Prod 4CP Jurisd-4CP&amp;Avg Retail";"Prod Input",#N/A,FALSE,"Input"}</definedName>
    <definedName name="wrn.Production." localSheetId="3" hidden="1">{"Prod Summary",#N/A,FALSE,"Summary";"Prod 12 CP",#N/A,FALSE,"Prod 12 CP";"Prod 4 CP",#N/A,FALSE,"Prod 4 CP";"Prod 1 CP",#N/A,FALSE,"Prod 1 CP";"Prod 4 CP A_E",#N/A,FALSE,"Prod 4 CP A&amp;E";"Prod 4 CP_Avg",#N/A,FALSE,"Prod 4 CP&amp;Avg";"Prod 4 CP Jur 4 CP Avg Retail",#N/A,FALSE,"Prod 4CP Jurisd-4CP&amp;Avg Retail";"Prod Input",#N/A,FALSE,"Input"}</definedName>
    <definedName name="wrn.Production." hidden="1">{"Prod Summary",#N/A,FALSE,"Summary";"Prod 12 CP",#N/A,FALSE,"Prod 12 CP";"Prod 4 CP",#N/A,FALSE,"Prod 4 CP";"Prod 1 CP",#N/A,FALSE,"Prod 1 CP";"Prod 4 CP A_E",#N/A,FALSE,"Prod 4 CP A&amp;E";"Prod 4 CP_Avg",#N/A,FALSE,"Prod 4 CP&amp;Avg";"Prod 4 CP Jur 4 CP Avg Retail",#N/A,FALSE,"Prod 4CP Jurisd-4CP&amp;Avg Retail";"Prod Input",#N/A,FALSE,"Input"}</definedName>
    <definedName name="wrn.Profitability._.Indicators." localSheetId="1" hidden="1">{"ProfPrintArea",#N/A,FALSE,"Prof (c)"}</definedName>
    <definedName name="wrn.Profitability._.Indicators." localSheetId="3" hidden="1">{"ProfPrintArea",#N/A,FALSE,"Prof (c)"}</definedName>
    <definedName name="wrn.Profitability._.Indicators." hidden="1">{"ProfPrintArea",#N/A,FALSE,"Prof (c)"}</definedName>
    <definedName name="wrn.Profitability._.Indicators._.Base._.Case." localSheetId="1" hidden="1">{"ProfPrintArea",#N/A,FALSE,"Prof (c)"}</definedName>
    <definedName name="wrn.Profitability._.Indicators._.Base._.Case." localSheetId="3" hidden="1">{"ProfPrintArea",#N/A,FALSE,"Prof (c)"}</definedName>
    <definedName name="wrn.Profitability._.Indicators._.Base._.Case." hidden="1">{"ProfPrintArea",#N/A,FALSE,"Prof (c)"}</definedName>
    <definedName name="wrn.Project._.A." localSheetId="1" hidden="1">{"Proj Econ Summary",#N/A,FALSE,"Project A";"Income Statement",#N/A,FALSE,"Project A";"Cash Flow Statement",#N/A,FALSE,"Project A";"Balance Sheet",#N/A,FALSE,"Project A";"Scenario Summary (Proj A)",#N/A,FALSE,"Scenario Summary"}</definedName>
    <definedName name="wrn.Project._.A." localSheetId="3" hidden="1">{"Proj Econ Summary",#N/A,FALSE,"Project A";"Income Statement",#N/A,FALSE,"Project A";"Cash Flow Statement",#N/A,FALSE,"Project A";"Balance Sheet",#N/A,FALSE,"Project A";"Scenario Summary (Proj A)",#N/A,FALSE,"Scenario Summary"}</definedName>
    <definedName name="wrn.Project._.A." hidden="1">{"Proj Econ Summary",#N/A,FALSE,"Project A";"Income Statement",#N/A,FALSE,"Project A";"Cash Flow Statement",#N/A,FALSE,"Project A";"Balance Sheet",#N/A,FALSE,"Project A";"Scenario Summary (Proj A)",#N/A,FALSE,"Scenario Summary"}</definedName>
    <definedName name="wrn.Project._.Summary." localSheetId="1" hidden="1">{"Summary",#N/A,FALSE,"MICMULT";"Income Statement",#N/A,FALSE,"MICMULT";"Cash Flows",#N/A,FALSE,"MICMULT"}</definedName>
    <definedName name="wrn.Project._.Summary." localSheetId="3" hidden="1">{"Summary",#N/A,FALSE,"MICMULT";"Income Statement",#N/A,FALSE,"MICMULT";"Cash Flows",#N/A,FALSE,"MICMULT"}</definedName>
    <definedName name="wrn.Project._.Summary." hidden="1">{"Summary",#N/A,FALSE,"MICMULT";"Income Statement",#N/A,FALSE,"MICMULT";"Cash Flows",#N/A,FALSE,"MICMULT"}</definedName>
    <definedName name="wrn.QUICK." localSheetId="1"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localSheetId="3"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ed_take." localSheetId="1" hidden="1">{"red_take_pg1",#N/A,FALSE,"reduced_take";"red_take_pg2",#N/A,FALSE,"reduced_take";"red_take_pg3",#N/A,FALSE,"reduced_take";"red_take_pg4",#N/A,FALSE,"reduced_take";"red_take_pg5",#N/A,FALSE,"reduced_take";"red_take_pg6",#N/A,FALSE,"reduced_take"}</definedName>
    <definedName name="wrn.red_take." localSheetId="3" hidden="1">{"red_take_pg1",#N/A,FALSE,"reduced_take";"red_take_pg2",#N/A,FALSE,"reduced_take";"red_take_pg3",#N/A,FALSE,"reduced_take";"red_take_pg4",#N/A,FALSE,"reduced_take";"red_take_pg5",#N/A,FALSE,"reduced_take";"red_take_pg6",#N/A,FALSE,"reduced_take"}</definedName>
    <definedName name="wrn.red_take." hidden="1">{"red_take_pg1",#N/A,FALSE,"reduced_take";"red_take_pg2",#N/A,FALSE,"reduced_take";"red_take_pg3",#N/A,FALSE,"reduced_take";"red_take_pg4",#N/A,FALSE,"reduced_take";"red_take_pg5",#N/A,FALSE,"reduced_take";"red_take_pg6",#N/A,FALSE,"reduced_take"}</definedName>
    <definedName name="wrn.REPORT._.FOR._.CCA." localSheetId="1" hidden="1">{"CCA",#N/A,FALSE,"INPUT";"Pricing","CCA",FALSE,"Pricing";"Rent","CCA",FALSE,"Rent,Exp";"Fund Flow",#N/A,FALSE,"Fund Flow"}</definedName>
    <definedName name="wrn.REPORT._.FOR._.CCA." localSheetId="3" hidden="1">{"CCA",#N/A,FALSE,"INPUT";"Pricing","CCA",FALSE,"Pricing";"Rent","CCA",FALSE,"Rent,Exp";"Fund Flow",#N/A,FALSE,"Fund Flow"}</definedName>
    <definedName name="wrn.REPORT._.FOR._.CCA." hidden="1">{"CCA",#N/A,FALSE,"INPUT";"Pricing","CCA",FALSE,"Pricing";"Rent","CCA",FALSE,"Rent,Exp";"Fund Flow",#N/A,FALSE,"Fund Flow"}</definedName>
    <definedName name="wrn.REPORT._.FOR._.FA." localSheetId="1" hidden="1">{"Report for FA","FA",FALSE,"Benefits"}</definedName>
    <definedName name="wrn.REPORT._.FOR._.FA." localSheetId="3" hidden="1">{"Report for FA","FA",FALSE,"Benefits"}</definedName>
    <definedName name="wrn.REPORT._.FOR._.FA." hidden="1">{"Report for FA","FA",FALSE,"Benefits"}</definedName>
    <definedName name="wrn.REPORT._.FOR._.LUS." localSheetId="1" hidden="1">{#N/A,#N/A,FALSE,"LeaseData";"Rent",#N/A,FALSE,"Rent,Exp"}</definedName>
    <definedName name="wrn.REPORT._.FOR._.LUS." localSheetId="3" hidden="1">{#N/A,#N/A,FALSE,"LeaseData";"Rent",#N/A,FALSE,"Rent,Exp"}</definedName>
    <definedName name="wrn.REPORT._.FOR._.LUS." hidden="1">{#N/A,#N/A,FALSE,"LeaseData";"Rent",#N/A,FALSE,"Rent,Exp"}</definedName>
    <definedName name="wrn.Report1." localSheetId="1" hidden="1">{#N/A,#N/A,FALSE,"IS";#N/A,#N/A,FALSE,"BS";#N/A,#N/A,FALSE,"CF";#N/A,#N/A,FALSE,"CE";#N/A,#N/A,FALSE,"Depr";#N/A,#N/A,FALSE,"APAL"}</definedName>
    <definedName name="wrn.Report1." localSheetId="3" hidden="1">{#N/A,#N/A,FALSE,"IS";#N/A,#N/A,FALSE,"BS";#N/A,#N/A,FALSE,"CF";#N/A,#N/A,FALSE,"CE";#N/A,#N/A,FALSE,"Depr";#N/A,#N/A,FALSE,"APAL"}</definedName>
    <definedName name="wrn.Report1." hidden="1">{#N/A,#N/A,FALSE,"IS";#N/A,#N/A,FALSE,"BS";#N/A,#N/A,FALSE,"CF";#N/A,#N/A,FALSE,"CE";#N/A,#N/A,FALSE,"Depr";#N/A,#N/A,FALSE,"APAL"}</definedName>
    <definedName name="wrn.Risk._.Reserves." localSheetId="1" hidden="1">{#N/A,#N/A,TRUE,"Reserves";#N/A,#N/A,TRUE,"Graphs"}</definedName>
    <definedName name="wrn.Risk._.Reserves." localSheetId="3" hidden="1">{#N/A,#N/A,TRUE,"Reserves";#N/A,#N/A,TRUE,"Graphs"}</definedName>
    <definedName name="wrn.Risk._.Reserves." hidden="1">{#N/A,#N/A,TRUE,"Reserves";#N/A,#N/A,TRUE,"Graphs"}</definedName>
    <definedName name="wrn.RollDetail." localSheetId="1" hidden="1">{"BookBal",#N/A,FALSE,"Roll-1";"DailyChange",#N/A,FALSE,"Roll-1";"Schedules",#N/A,FALSE,"Roll-1"}</definedName>
    <definedName name="wrn.RollDetail." localSheetId="3" hidden="1">{"BookBal",#N/A,FALSE,"Roll-1";"DailyChange",#N/A,FALSE,"Roll-1";"Schedules",#N/A,FALSE,"Roll-1"}</definedName>
    <definedName name="wrn.RollDetail." hidden="1">{"BookBal",#N/A,FALSE,"Roll-1";"DailyChange",#N/A,FALSE,"Roll-1";"Schedules",#N/A,FALSE,"Roll-1"}</definedName>
    <definedName name="wrn.rolldetail2" localSheetId="1" hidden="1">{"BookBal",#N/A,FALSE,"Roll-1";"DailyChange",#N/A,FALSE,"Roll-1";"Schedules",#N/A,FALSE,"Roll-1"}</definedName>
    <definedName name="wrn.rolldetail2" localSheetId="3" hidden="1">{"BookBal",#N/A,FALSE,"Roll-1";"DailyChange",#N/A,FALSE,"Roll-1";"Schedules",#N/A,FALSE,"Roll-1"}</definedName>
    <definedName name="wrn.rolldetail2" hidden="1">{"BookBal",#N/A,FALSE,"Roll-1";"DailyChange",#N/A,FALSE,"Roll-1";"Schedules",#N/A,FALSE,"Roll-1"}</definedName>
    <definedName name="WRN.ROLLDETAIL3." localSheetId="1" hidden="1">{"BookBal",#N/A,FALSE,"Roll-1";"DailyChange",#N/A,FALSE,"Roll-1";"Schedules",#N/A,FALSE,"Roll-1"}</definedName>
    <definedName name="WRN.ROLLDETAIL3." localSheetId="3" hidden="1">{"BookBal",#N/A,FALSE,"Roll-1";"DailyChange",#N/A,FALSE,"Roll-1";"Schedules",#N/A,FALSE,"Roll-1"}</definedName>
    <definedName name="WRN.ROLLDETAIL3." hidden="1">{"BookBal",#N/A,FALSE,"Roll-1";"DailyChange",#N/A,FALSE,"Roll-1";"Schedules",#N/A,FALSE,"Roll-1"}</definedName>
    <definedName name="wrn.rollup." localSheetId="1" hidden="1">{"page1",#N/A,FALSE,"rollup"}</definedName>
    <definedName name="wrn.rollup." localSheetId="3" hidden="1">{"page1",#N/A,FALSE,"rollup"}</definedName>
    <definedName name="wrn.rollup." hidden="1">{"page1",#N/A,FALSE,"rollup"}</definedName>
    <definedName name="wrn.rollup2." localSheetId="1" hidden="1">{"page1",#N/A,FALSE,"rollup"}</definedName>
    <definedName name="wrn.rollup2." localSheetId="3" hidden="1">{"page1",#N/A,FALSE,"rollup"}</definedName>
    <definedName name="wrn.rollup2." hidden="1">{"page1",#N/A,FALSE,"rollup"}</definedName>
    <definedName name="wrn.sa" localSheetId="1" hidden="1">{"sales",#N/A,FALSE,"Sales";"sales existing",#N/A,FALSE,"Sales";"sales rd1",#N/A,FALSE,"Sales";"sales rd2",#N/A,FALSE,"Sales"}</definedName>
    <definedName name="wrn.sa" localSheetId="3" hidden="1">{"sales",#N/A,FALSE,"Sales";"sales existing",#N/A,FALSE,"Sales";"sales rd1",#N/A,FALSE,"Sales";"sales rd2",#N/A,FALSE,"Sales"}</definedName>
    <definedName name="wrn.sa" hidden="1">{"sales",#N/A,FALSE,"Sales";"sales existing",#N/A,FALSE,"Sales";"sales rd1",#N/A,FALSE,"Sales";"sales rd2",#N/A,FALSE,"Sales"}</definedName>
    <definedName name="wrn.sales." localSheetId="1" hidden="1">{"sales",#N/A,FALSE,"Sales";"sales existing",#N/A,FALSE,"Sales";"sales rd1",#N/A,FALSE,"Sales";"sales rd2",#N/A,FALSE,"Sales"}</definedName>
    <definedName name="wrn.sales." localSheetId="3" hidden="1">{"sales",#N/A,FALSE,"Sales";"sales existing",#N/A,FALSE,"Sales";"sales rd1",#N/A,FALSE,"Sales";"sales rd2",#N/A,FALSE,"Sales"}</definedName>
    <definedName name="wrn.sales." hidden="1">{"sales",#N/A,FALSE,"Sales";"sales existing",#N/A,FALSE,"Sales";"sales rd1",#N/A,FALSE,"Sales";"sales rd2",#N/A,FALSE,"Sales"}</definedName>
    <definedName name="wrn.Schedules." localSheetId="1" hidden="1">{#N/A,#N/A,FALSE,"Sch. 1";#N/A,#N/A,FALSE,"Sch. 2";#N/A,#N/A,FALSE,"Sch. 3";#N/A,#N/A,FALSE,"Sch. 4";#N/A,#N/A,FALSE,"Sch. 5";#N/A,#N/A,FALSE,"Sch 6.";#N/A,#N/A,FALSE,"Sch. 7";#N/A,#N/A,FALSE,"Sch. 8";#N/A,#N/A,FALSE,"Sch. 9";#N/A,#N/A,FALSE,"Sch. 10";#N/A,#N/A,FALSE,"Sch. 13"}</definedName>
    <definedName name="wrn.Schedules." localSheetId="3" hidden="1">{#N/A,#N/A,FALSE,"Sch. 1";#N/A,#N/A,FALSE,"Sch. 2";#N/A,#N/A,FALSE,"Sch. 3";#N/A,#N/A,FALSE,"Sch. 4";#N/A,#N/A,FALSE,"Sch. 5";#N/A,#N/A,FALSE,"Sch 6.";#N/A,#N/A,FALSE,"Sch. 7";#N/A,#N/A,FALSE,"Sch. 8";#N/A,#N/A,FALSE,"Sch. 9";#N/A,#N/A,FALSE,"Sch. 10";#N/A,#N/A,FALSE,"Sch. 13"}</definedName>
    <definedName name="wrn.Schedules." hidden="1">{#N/A,#N/A,FALSE,"Sch. 1";#N/A,#N/A,FALSE,"Sch. 2";#N/A,#N/A,FALSE,"Sch. 3";#N/A,#N/A,FALSE,"Sch. 4";#N/A,#N/A,FALSE,"Sch. 5";#N/A,#N/A,FALSE,"Sch 6.";#N/A,#N/A,FALSE,"Sch. 7";#N/A,#N/A,FALSE,"Sch. 8";#N/A,#N/A,FALSE,"Sch. 9";#N/A,#N/A,FALSE,"Sch. 10";#N/A,#N/A,FALSE,"Sch. 13"}</definedName>
    <definedName name="wrn.Segment._.1." localSheetId="1" hidden="1">{#N/A,#N/A,TRUE,"Segment 1"}</definedName>
    <definedName name="wrn.Segment._.1." localSheetId="3" hidden="1">{#N/A,#N/A,TRUE,"Segment 1"}</definedName>
    <definedName name="wrn.Segment._.1." hidden="1">{#N/A,#N/A,TRUE,"Segment 1"}</definedName>
    <definedName name="wrn.Segment._.2." localSheetId="1" hidden="1">{#N/A,#N/A,TRUE,"Segment 2"}</definedName>
    <definedName name="wrn.Segment._.2." localSheetId="3" hidden="1">{#N/A,#N/A,TRUE,"Segment 2"}</definedName>
    <definedName name="wrn.Segment._.2." hidden="1">{#N/A,#N/A,TRUE,"Segment 2"}</definedName>
    <definedName name="wrn.Segment._.3." localSheetId="1" hidden="1">{#N/A,#N/A,TRUE,"Segment 3"}</definedName>
    <definedName name="wrn.Segment._.3." localSheetId="3" hidden="1">{#N/A,#N/A,TRUE,"Segment 3"}</definedName>
    <definedName name="wrn.Segment._.3." hidden="1">{#N/A,#N/A,TRUE,"Segment 3"}</definedName>
    <definedName name="wrn.Segment._.4." localSheetId="1" hidden="1">{#N/A,#N/A,TRUE,"Segment 4"}</definedName>
    <definedName name="wrn.Segment._.4." localSheetId="3" hidden="1">{#N/A,#N/A,TRUE,"Segment 4"}</definedName>
    <definedName name="wrn.Segment._.4." hidden="1">{#N/A,#N/A,TRUE,"Segment 4"}</definedName>
    <definedName name="wrn.Segment._.5." localSheetId="1" hidden="1">{#N/A,#N/A,TRUE,"Segment 5"}</definedName>
    <definedName name="wrn.Segment._.5." localSheetId="3" hidden="1">{#N/A,#N/A,TRUE,"Segment 5"}</definedName>
    <definedName name="wrn.Segment._.5." hidden="1">{#N/A,#N/A,TRUE,"Segment 5"}</definedName>
    <definedName name="wrn.Snapshot." localSheetId="1" hidden="1">{#N/A,#N/A,TRUE,"Facility-Input";#N/A,#N/A,TRUE,"Graphs"}</definedName>
    <definedName name="wrn.Snapshot." localSheetId="3" hidden="1">{#N/A,#N/A,TRUE,"Facility-Input";#N/A,#N/A,TRUE,"Graphs"}</definedName>
    <definedName name="wrn.Snapshot." hidden="1">{#N/A,#N/A,TRUE,"Facility-Input";#N/A,#N/A,TRUE,"Graphs"}</definedName>
    <definedName name="wrn.SPA._.FAC." localSheetId="1" hidden="1">{"SPA_FAC",#N/A,FALSE,"OMPA SPA FAC"}</definedName>
    <definedName name="wrn.SPA._.FAC." localSheetId="3" hidden="1">{"SPA_FAC",#N/A,FALSE,"OMPA SPA FAC"}</definedName>
    <definedName name="wrn.SPA._.FAC." hidden="1">{"SPA_FAC",#N/A,FALSE,"OMPA SPA FAC"}</definedName>
    <definedName name="wrn.STAND_ALONE_BOTH." localSheetId="1" hidden="1">{"FCB_ALL",#N/A,FALSE,"FCB";"GREY_ALL",#N/A,FALSE,"GREY"}</definedName>
    <definedName name="wrn.STAND_ALONE_BOTH." localSheetId="3" hidden="1">{"FCB_ALL",#N/A,FALSE,"FCB";"GREY_ALL",#N/A,FALSE,"GREY"}</definedName>
    <definedName name="wrn.STAND_ALONE_BOTH." hidden="1">{"FCB_ALL",#N/A,FALSE,"FCB";"GREY_ALL",#N/A,FALSE,"GREY"}</definedName>
    <definedName name="wrn.Statements." localSheetId="1" hidden="1">{#N/A,#N/A,FALSE,"Co_BalSht";#N/A,#N/A,FALSE,"Co_IncStmt";#N/A,#N/A,FALSE,"Cons_BalSht";#N/A,#N/A,FALSE,"Cons_IncStmt";#N/A,#N/A,FALSE,"Cashflow"}</definedName>
    <definedName name="wrn.Statements." localSheetId="3" hidden="1">{#N/A,#N/A,FALSE,"Co_BalSht";#N/A,#N/A,FALSE,"Co_IncStmt";#N/A,#N/A,FALSE,"Cons_BalSht";#N/A,#N/A,FALSE,"Cons_IncStmt";#N/A,#N/A,FALSE,"Cashflow"}</definedName>
    <definedName name="wrn.Statements." hidden="1">{#N/A,#N/A,FALSE,"Co_BalSht";#N/A,#N/A,FALSE,"Co_IncStmt";#N/A,#N/A,FALSE,"Cons_BalSht";#N/A,#N/A,FALSE,"Cons_IncStmt";#N/A,#N/A,FALSE,"Cashflow"}</definedName>
    <definedName name="wrn.STMT._.OF._.CASH._.FLOWS." localSheetId="1" hidden="1">{"STMT OF CASH FLOWS",#N/A,FALSE,"Cash Flows Indirect"}</definedName>
    <definedName name="wrn.STMT._.OF._.CASH._.FLOWS." localSheetId="3" hidden="1">{"STMT OF CASH FLOWS",#N/A,FALSE,"Cash Flows Indirect"}</definedName>
    <definedName name="wrn.STMT._.OF._.CASH._.FLOWS." hidden="1">{"STMT OF CASH FLOWS",#N/A,FALSE,"Cash Flows Indirect"}</definedName>
    <definedName name="wrn.SumIncBalRat." localSheetId="1" hidden="1">{#N/A,#N/A,FALSE,"Summary";#N/A,#N/A,FALSE,"Income Statement";#N/A,#N/A,FALSE,"Balance Sheet";#N/A,#N/A,FALSE,"Ratios"}</definedName>
    <definedName name="wrn.SumIncBalRat." localSheetId="3" hidden="1">{#N/A,#N/A,FALSE,"Summary";#N/A,#N/A,FALSE,"Income Statement";#N/A,#N/A,FALSE,"Balance Sheet";#N/A,#N/A,FALSE,"Ratios"}</definedName>
    <definedName name="wrn.SumIncBalRat." hidden="1">{#N/A,#N/A,FALSE,"Summary";#N/A,#N/A,FALSE,"Income Statement";#N/A,#N/A,FALSE,"Balance Sheet";#N/A,#N/A,FALSE,"Ratios"}</definedName>
    <definedName name="wrn.summaries." localSheetId="1"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1" hidden="1">{"BS",#N/A,FALSE,"USA"}</definedName>
    <definedName name="wrn.SUMMARY." localSheetId="3" hidden="1">{"BS",#N/A,FALSE,"USA"}</definedName>
    <definedName name="wrn.SUMMARY." hidden="1">{"BS",#N/A,FALSE,"USA"}</definedName>
    <definedName name="wrn.SUP." localSheetId="1"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localSheetId="3"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2";#N/A,#N/A,FALSE,"WP_C4";#N/A,#N/A,FALSE,"WP_C4a";#N/A,#N/A,FALSE,"WP_C4.1";#N/A,#N/A,FALSE,"WP_C4.2";#N/A,#N/A,FALSE,"WP_C4.3";#N/A,#N/A,FALSE,"WP_C5";#N/A,#N/A,FALSE,"WP_C6";#N/A,#N/A,FALSE,"WP_C7";#N/A,#N/A,FALSE,"WP_C8";#N/A,#N/A,FALSE,"WP_C9";#N/A,#N/A,FALSE,"WP_C10";#N/A,#N/A,FALSE,"WP_C11";#N/A,#N/A,FALSE,"WP_C12";#N/A,#N/A,FALSE,"WP_C13";#N/A,#N/A,FALSE,"WP_C14";"WP_D1.1",#N/A,FALSE,"WP_D1";"WP_D1.2",#N/A,FALSE,"WP_D1";"WP_D1.3",#N/A,FALSE,"WP_D1";"WP_D1.4",#N/A,FALSE,"WP_D1";"WP_D1.5",#N/A,FALSE,"WP_D1";#N/A,#N/A,FALSE,"WP_D2";#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localSheetId="1"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localSheetId="3"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TB._.ALL._.ACCTS." localSheetId="1" hidden="1">{"BALANCE SHEET ACCTS",#N/A,TRUE,"Working Trial Balance";"INCOME STMT ACCTS",#N/A,TRUE,"Working Trial Balance"}</definedName>
    <definedName name="wrn.TB._.ALL._.ACCTS." localSheetId="3" hidden="1">{"BALANCE SHEET ACCTS",#N/A,TRUE,"Working Trial Balance";"INCOME STMT ACCTS",#N/A,TRUE,"Working Trial Balance"}</definedName>
    <definedName name="wrn.TB._.ALL._.ACCTS." hidden="1">{"BALANCE SHEET ACCTS",#N/A,TRUE,"Working Trial Balance";"INCOME STMT ACCTS",#N/A,TRUE,"Working Trial Balance"}</definedName>
    <definedName name="wrn.TB._.BALANCE._.SHEET." localSheetId="1" hidden="1">{"BALANCE SHEET ACCTS",#N/A,FALSE,"Working Trial Balance"}</definedName>
    <definedName name="wrn.TB._.BALANCE._.SHEET." localSheetId="3" hidden="1">{"BALANCE SHEET ACCTS",#N/A,FALSE,"Working Trial Balance"}</definedName>
    <definedName name="wrn.TB._.BALANCE._.SHEET." hidden="1">{"BALANCE SHEET ACCTS",#N/A,FALSE,"Working Trial Balance"}</definedName>
    <definedName name="wrn.TB._.EXPLANATIONS." localSheetId="1" hidden="1">{"EXPLANATIONS",#N/A,FALSE,"Working Trial Balance"}</definedName>
    <definedName name="wrn.TB._.EXPLANATIONS." localSheetId="3" hidden="1">{"EXPLANATIONS",#N/A,FALSE,"Working Trial Balance"}</definedName>
    <definedName name="wrn.TB._.EXPLANATIONS." hidden="1">{"EXPLANATIONS",#N/A,FALSE,"Working Trial Balance"}</definedName>
    <definedName name="wrn.TB._.INCOME._.STMT." localSheetId="1" hidden="1">{"INCOME STMT ACCTS",#N/A,FALSE,"Working Trial Balance"}</definedName>
    <definedName name="wrn.TB._.INCOME._.STMT." localSheetId="3" hidden="1">{"INCOME STMT ACCTS",#N/A,FALSE,"Working Trial Balance"}</definedName>
    <definedName name="wrn.TB._.INCOME._.STMT." hidden="1">{"INCOME STMT ACCTS",#N/A,FALSE,"Working Trial Balance"}</definedName>
    <definedName name="wrn.TEST." localSheetId="1" hidden="1">{"acc1",#N/A,TRUE,"Accrual";"ACC2",#N/A,TRUE,"Accrual"}</definedName>
    <definedName name="wrn.TEST." localSheetId="3" hidden="1">{"acc1",#N/A,TRUE,"Accrual";"ACC2",#N/A,TRUE,"Accrual"}</definedName>
    <definedName name="wrn.TEST." hidden="1">{"acc1",#N/A,TRUE,"Accrual";"ACC2",#N/A,TRUE,"Accrual"}</definedName>
    <definedName name="wrn.test1." localSheetId="1" hidden="1">{"Income Statement",#N/A,FALSE,"CFMODEL";"Balance Sheet",#N/A,FALSE,"CFMODEL"}</definedName>
    <definedName name="wrn.test1." localSheetId="3" hidden="1">{"Income Statement",#N/A,FALSE,"CFMODEL";"Balance Sheet",#N/A,FALSE,"CFMODEL"}</definedName>
    <definedName name="wrn.test1." hidden="1">{"Income Statement",#N/A,FALSE,"CFMODEL";"Balance Sheet",#N/A,FALSE,"CFMODEL"}</definedName>
    <definedName name="wrn.test2." localSheetId="1" hidden="1">{"SourcesUses",#N/A,TRUE,"CFMODEL";"TransOverview",#N/A,TRUE,"CFMODEL"}</definedName>
    <definedName name="wrn.test2." localSheetId="3" hidden="1">{"SourcesUses",#N/A,TRUE,"CFMODEL";"TransOverview",#N/A,TRUE,"CFMODEL"}</definedName>
    <definedName name="wrn.test2." hidden="1">{"SourcesUses",#N/A,TRUE,"CFMODEL";"TransOverview",#N/A,TRUE,"CFMODEL"}</definedName>
    <definedName name="wrn.test3." localSheetId="1" hidden="1">{"SourcesUses",#N/A,TRUE,#N/A;"TransOverview",#N/A,TRUE,"CFMODEL"}</definedName>
    <definedName name="wrn.test3." localSheetId="3" hidden="1">{"SourcesUses",#N/A,TRUE,#N/A;"TransOverview",#N/A,TRUE,"CFMODEL"}</definedName>
    <definedName name="wrn.test3." hidden="1">{"SourcesUses",#N/A,TRUE,#N/A;"TransOverview",#N/A,TRUE,"CFMODEL"}</definedName>
    <definedName name="wrn.test4." localSheetId="1" hidden="1">{"SourcesUses",#N/A,TRUE,"FundsFlow";"TransOverview",#N/A,TRUE,"FundsFlow"}</definedName>
    <definedName name="wrn.test4." localSheetId="3" hidden="1">{"SourcesUses",#N/A,TRUE,"FundsFlow";"TransOverview",#N/A,TRUE,"FundsFlow"}</definedName>
    <definedName name="wrn.test4." hidden="1">{"SourcesUses",#N/A,TRUE,"FundsFlow";"TransOverview",#N/A,TRUE,"FundsFlow"}</definedName>
    <definedName name="wrn.Total._.Report." localSheetId="1" hidden="1">{"Fuel by Type",#N/A,FALSE,"00whfuel";"Fuel by Account",#N/A,FALSE,"00whfuel";"NTEC",#N/A,FALSE,"00whfuel";"Hope",#N/A,FALSE,"00whfuel";"Net Energy Load",#N/A,FALSE,"00whfuel";"Purchased Power",#N/A,FALSE,"00whfuel"}</definedName>
    <definedName name="wrn.Total._.Report." localSheetId="3" hidden="1">{"Fuel by Type",#N/A,FALSE,"00whfuel";"Fuel by Account",#N/A,FALSE,"00whfuel";"NTEC",#N/A,FALSE,"00whfuel";"Hope",#N/A,FALSE,"00whfuel";"Net Energy Load",#N/A,FALSE,"00whfuel";"Purchased Power",#N/A,FALSE,"00whfuel"}</definedName>
    <definedName name="wrn.Total._.Report." hidden="1">{"Fuel by Type",#N/A,FALSE,"00whfuel";"Fuel by Account",#N/A,FALSE,"00whfuel";"NTEC",#N/A,FALSE,"00whfuel";"Hope",#N/A,FALSE,"00whfuel";"Net Energy Load",#N/A,FALSE,"00whfuel";"Purchased Power",#N/A,FALSE,"00whfuel"}</definedName>
    <definedName name="wrn.Totals." localSheetId="1" hidden="1">{#N/A,#N/A,TRUE,"TOTAL";#N/A,#N/A,TRUE,"Total Pipes"}</definedName>
    <definedName name="wrn.Totals." localSheetId="3" hidden="1">{#N/A,#N/A,TRUE,"TOTAL";#N/A,#N/A,TRUE,"Total Pipes"}</definedName>
    <definedName name="wrn.Totals." hidden="1">{#N/A,#N/A,TRUE,"TOTAL";#N/A,#N/A,TRUE,"Total Pipes"}</definedName>
    <definedName name="wrn.Transmission." localSheetId="1" hidden="1">{"Trans Summary",#N/A,FALSE,"Summary";"Trans 12 CP",#N/A,FALSE,"Trans 12 CP";"Trans 4 CP",#N/A,FALSE,"Trans 4 CP";"Trans 1 CP",#N/A,FALSE,"Trans 1 CP";"Trans 4 CP A_E",#N/A,FALSE,"Trans 4 CP A&amp;E";"Trans 4 CP_Avg",#N/A,FALSE,"Trans 4 CP &amp; Avg";"Trans 4 CP Jur 4 CP_Avg Retail",#N/A,FALSE,"Trans 4 CP Jur 4 CP_Avg Retail";"Trans Input",#N/A,FALSE,"Input"}</definedName>
    <definedName name="wrn.Transmission." localSheetId="3" hidden="1">{"Trans Summary",#N/A,FALSE,"Summary";"Trans 12 CP",#N/A,FALSE,"Trans 12 CP";"Trans 4 CP",#N/A,FALSE,"Trans 4 CP";"Trans 1 CP",#N/A,FALSE,"Trans 1 CP";"Trans 4 CP A_E",#N/A,FALSE,"Trans 4 CP A&amp;E";"Trans 4 CP_Avg",#N/A,FALSE,"Trans 4 CP &amp; Avg";"Trans 4 CP Jur 4 CP_Avg Retail",#N/A,FALSE,"Trans 4 CP Jur 4 CP_Avg Retail";"Trans Input",#N/A,FALSE,"Input"}</definedName>
    <definedName name="wrn.Transmission." hidden="1">{"Trans Summary",#N/A,FALSE,"Summary";"Trans 12 CP",#N/A,FALSE,"Trans 12 CP";"Trans 4 CP",#N/A,FALSE,"Trans 4 CP";"Trans 1 CP",#N/A,FALSE,"Trans 1 CP";"Trans 4 CP A_E",#N/A,FALSE,"Trans 4 CP A&amp;E";"Trans 4 CP_Avg",#N/A,FALSE,"Trans 4 CP &amp; Avg";"Trans 4 CP Jur 4 CP_Avg Retail",#N/A,FALSE,"Trans 4 CP Jur 4 CP_Avg Retail";"Trans Input",#N/A,FALSE,"Input"}</definedName>
    <definedName name="wrn.Wacc." localSheetId="1" hidden="1">{"Area1",#N/A,FALSE,"OREWACC";"Area2",#N/A,FALSE,"OREWACC"}</definedName>
    <definedName name="wrn.Wacc." localSheetId="3" hidden="1">{"Area1",#N/A,FALSE,"OREWACC";"Area2",#N/A,FALSE,"OREWACC"}</definedName>
    <definedName name="wrn.Wacc." hidden="1">{"Area1",#N/A,FALSE,"OREWACC";"Area2",#N/A,FALSE,"OREWACC"}</definedName>
    <definedName name="wrn.waterfrm" localSheetId="1" hidden="1">{#N/A,#N/A,FALSE,"TD 1";#N/A,#N/A,FALSE,"TD 2";#N/A,#N/A,FALSE,"TD 3";#N/A,#N/A,FALSE,"TD 4";#N/A,#N/A,FALSE,"TD 5";#N/A,#N/A,FALSE,"TD 6";#N/A,#N/A,FALSE,"TD 7";#N/A,#N/A,FALSE,"TD 8";#N/A,#N/A,FALSE,"TD 9";#N/A,#N/A,FALSE,"TD 10A";#N/A,#N/A,FALSE,"TD 10B";#N/A,#N/A,FALSE,"TD 11";#N/A,#N/A,FALSE,"TD 13";#N/A,#N/A,FALSE,"TD 12";#N/A,#N/A,FALSE,"TD DEC"}</definedName>
    <definedName name="wrn.waterfrm" localSheetId="3" hidden="1">{#N/A,#N/A,FALSE,"TD 1";#N/A,#N/A,FALSE,"TD 2";#N/A,#N/A,FALSE,"TD 3";#N/A,#N/A,FALSE,"TD 4";#N/A,#N/A,FALSE,"TD 5";#N/A,#N/A,FALSE,"TD 6";#N/A,#N/A,FALSE,"TD 7";#N/A,#N/A,FALSE,"TD 8";#N/A,#N/A,FALSE,"TD 9";#N/A,#N/A,FALSE,"TD 10A";#N/A,#N/A,FALSE,"TD 10B";#N/A,#N/A,FALSE,"TD 11";#N/A,#N/A,FALSE,"TD 13";#N/A,#N/A,FALSE,"TD 12";#N/A,#N/A,FALSE,"TD DEC"}</definedName>
    <definedName name="wrn.waterfrm" hidden="1">{#N/A,#N/A,FALSE,"TD 1";#N/A,#N/A,FALSE,"TD 2";#N/A,#N/A,FALSE,"TD 3";#N/A,#N/A,FALSE,"TD 4";#N/A,#N/A,FALSE,"TD 5";#N/A,#N/A,FALSE,"TD 6";#N/A,#N/A,FALSE,"TD 7";#N/A,#N/A,FALSE,"TD 8";#N/A,#N/A,FALSE,"TD 9";#N/A,#N/A,FALSE,"TD 10A";#N/A,#N/A,FALSE,"TD 10B";#N/A,#N/A,FALSE,"TD 11";#N/A,#N/A,FALSE,"TD 13";#N/A,#N/A,FALSE,"TD 12";#N/A,#N/A,FALSE,"TD DEC"}</definedName>
    <definedName name="wrn.WEATHER._.AND._.YR._.END._.CUST._.ADJ." localSheetId="1" hidden="1">{"WEATHER_CUSTOMERS",#N/A,FALSE,"Ok_Fuel&amp;Rev"}</definedName>
    <definedName name="wrn.WEATHER._.AND._.YR._.END._.CUST._.ADJ." localSheetId="3" hidden="1">{"WEATHER_CUSTOMERS",#N/A,FALSE,"Ok_Fuel&amp;Rev"}</definedName>
    <definedName name="wrn.WEATHER._.AND._.YR._.END._.CUST._.ADJ." hidden="1">{"WEATHER_CUSTOMERS",#N/A,FALSE,"Ok_Fuel&amp;Rev"}</definedName>
    <definedName name="ws">#REF!</definedName>
    <definedName name="WT1Salv" hidden="1">#REF!</definedName>
    <definedName name="WT1WorkingCap" hidden="1">#REF!</definedName>
    <definedName name="WTCDRATE" hidden="1">#REF!</definedName>
    <definedName name="WTDEBTRES" hidden="1">#REF!</definedName>
    <definedName name="WTDEVCOSTS" hidden="1">#REF!</definedName>
    <definedName name="WTENERGYCPKH" hidden="1">#REF!</definedName>
    <definedName name="WTENERGYCPKH2" hidden="1">#REF!</definedName>
    <definedName name="WTENERGYCPKH2b" hidden="1">#REF!</definedName>
    <definedName name="WTENERGYCPKH3" hidden="1">#REF!</definedName>
    <definedName name="WTENERGYCPKH3b" hidden="1">#REF!</definedName>
    <definedName name="WTENERGYCPKH4" hidden="1">#REF!</definedName>
    <definedName name="WTENERGYCPKH4b" hidden="1">#REF!</definedName>
    <definedName name="WTENERGYCPKHa" hidden="1">#REF!</definedName>
    <definedName name="WTENERGYCPKHA2" hidden="1">#REF!</definedName>
    <definedName name="WTENERGYCPKHA3" hidden="1">#REF!</definedName>
    <definedName name="WTENERGYCPKHA4" hidden="1">#REF!</definedName>
    <definedName name="WTENERGYCPKHb" hidden="1">#REF!</definedName>
    <definedName name="WTEQUITY" hidden="1">#REF!</definedName>
    <definedName name="WTPCTSUBDEBT" hidden="1">#REF!</definedName>
    <definedName name="WTPRIDEBTBAL" hidden="1">#REF!</definedName>
    <definedName name="WTSTUPDATE" hidden="1">#REF!</definedName>
    <definedName name="WTSUBDEBTBAL" hidden="1">#REF!</definedName>
    <definedName name="WTTOTALASSPENT" hidden="1">#REF!</definedName>
    <definedName name="WV_List" localSheetId="1">#REF!</definedName>
    <definedName name="WV_List">#REF!</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ee" localSheetId="1" hidden="1">{"value box",#N/A,TRUE,"DPL Inc. Fin Statements";"unlevered free cash flows",#N/A,TRUE,"DPL Inc. Fin Statements"}</definedName>
    <definedName name="wwee" localSheetId="3" hidden="1">{"value box",#N/A,TRUE,"DPL Inc. Fin Statements";"unlevered free cash flows",#N/A,TRUE,"DPL Inc. Fin Statements"}</definedName>
    <definedName name="wwee" hidden="1">{"value box",#N/A,TRUE,"DPL Inc. Fin Statements";"unlevered free cash flows",#N/A,TRUE,"DPL Inc. Fin Statements"}</definedName>
    <definedName name="x" hidden="1">#REF!</definedName>
    <definedName name="X__GCF1" hidden="1">#REF!</definedName>
    <definedName name="X__GCF2" hidden="1">#REF!</definedName>
    <definedName name="X__GCF3" hidden="1">#REF!</definedName>
    <definedName name="X__GCF4" hidden="1">#REF!</definedName>
    <definedName name="X__GCF5" hidden="1">#REF!</definedName>
    <definedName name="X__GCF6" hidden="1">#REF!</definedName>
    <definedName name="x5x" localSheetId="3" hidden="1">#REF!</definedName>
    <definedName name="x5x" hidden="1">#REF!</definedName>
    <definedName name="XRefColumnsCount" hidden="1">4</definedName>
    <definedName name="XRefCopyRangeCount" hidden="1">5</definedName>
    <definedName name="XRefPasteRangeCount" hidden="1">1</definedName>
    <definedName name="xx" localSheetId="1"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 localSheetId="3"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xxx" localSheetId="1"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xxx" localSheetId="3"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xxx"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yea" localSheetId="1" hidden="1">{#N/A,#N/A,FALSE,"Assumptions";"Model",#N/A,FALSE,"MDU";#N/A,#N/A,FALSE,"Notes"}</definedName>
    <definedName name="yea" localSheetId="3" hidden="1">{#N/A,#N/A,FALSE,"Assumptions";"Model",#N/A,FALSE,"MDU";#N/A,#N/A,FALSE,"Notes"}</definedName>
    <definedName name="yea" hidden="1">{#N/A,#N/A,FALSE,"Assumptions";"Model",#N/A,FALSE,"MDU";#N/A,#N/A,FALSE,"Notes"}</definedName>
    <definedName name="Yeah8" hidden="1">#REF!</definedName>
    <definedName name="year">#REF!</definedName>
    <definedName name="YTD_EARNINGS" localSheetId="3">#REF!</definedName>
    <definedName name="YTD_EARNINGS">#REF!</definedName>
    <definedName name="YTD_EQUITY_EARNINGS" localSheetId="3">#REF!</definedName>
    <definedName name="YTD_EQUITY_EARNINGS">#REF!</definedName>
    <definedName name="YTD_EXPENSES" localSheetId="3">#REF!</definedName>
    <definedName name="YTD_EXPENSES">#REF!</definedName>
    <definedName name="YTD_GROSS_MARGIN">#REF!</definedName>
    <definedName name="YTD_INCOME_BEFORE">#REF!</definedName>
    <definedName name="YTD_INCOME_TAXES">#REF!</definedName>
    <definedName name="YTD_NET_INCOME">#REF!</definedName>
    <definedName name="YTD_OM">#REF!</definedName>
    <definedName name="YTD_REVENUE">#REF!</definedName>
    <definedName name="yuuuiuy" localSheetId="1" hidden="1">{#N/A,#N/A,FALSE,"Income Statement";#N/A,#N/A,FALSE,"Balance Sheet";#N/A,#N/A,FALSE,"Cash Flows";#N/A,#N/A,FALSE,"Ratios"}</definedName>
    <definedName name="yuuuiuy" localSheetId="3" hidden="1">{#N/A,#N/A,FALSE,"Income Statement";#N/A,#N/A,FALSE,"Balance Sheet";#N/A,#N/A,FALSE,"Cash Flows";#N/A,#N/A,FALSE,"Ratios"}</definedName>
    <definedName name="yuuuiuy" hidden="1">{#N/A,#N/A,FALSE,"Income Statement";#N/A,#N/A,FALSE,"Balance Sheet";#N/A,#N/A,FALSE,"Cash Flows";#N/A,#N/A,FALSE,"Ratios"}</definedName>
    <definedName name="Zip" localSheetId="3">#REF!</definedName>
    <definedName name="Zip">#REF!</definedName>
  </definedNames>
  <calcPr calcId="191028"/>
  <pivotCaches>
    <pivotCache cacheId="8"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3" i="7" l="1"/>
  <c r="Q231" i="7"/>
  <c r="Q230" i="7"/>
  <c r="Q227" i="7"/>
  <c r="E196" i="7"/>
  <c r="E195" i="7"/>
  <c r="Q232" i="7"/>
  <c r="Q234" i="7" l="1"/>
  <c r="W94" i="29" l="1"/>
  <c r="W93" i="29"/>
  <c r="W92" i="29"/>
  <c r="W91" i="29"/>
  <c r="W90" i="29"/>
  <c r="W89" i="29"/>
  <c r="W88" i="29"/>
  <c r="W87" i="29"/>
  <c r="W86" i="29"/>
  <c r="W84" i="29"/>
  <c r="W83" i="29"/>
  <c r="W82" i="29"/>
  <c r="W81" i="29"/>
  <c r="W80" i="29"/>
  <c r="W79" i="29"/>
  <c r="W78" i="29"/>
  <c r="W77" i="29"/>
  <c r="W76" i="29"/>
  <c r="W75" i="29"/>
  <c r="W74" i="29"/>
  <c r="W73" i="29"/>
  <c r="W72" i="29"/>
  <c r="W71" i="29"/>
  <c r="W31" i="29"/>
  <c r="W30" i="29"/>
  <c r="W29" i="29"/>
  <c r="W28" i="29"/>
  <c r="W27" i="29"/>
  <c r="W26" i="29"/>
  <c r="G23" i="29"/>
  <c r="F23" i="29"/>
  <c r="E23" i="29"/>
  <c r="D23" i="29"/>
  <c r="C23" i="29"/>
  <c r="B23" i="29"/>
  <c r="R182" i="28"/>
  <c r="Q182" i="28"/>
  <c r="I182" i="28"/>
  <c r="H182" i="28"/>
  <c r="G182" i="28"/>
  <c r="F182" i="28"/>
  <c r="E182" i="28"/>
  <c r="D182" i="28"/>
  <c r="C182" i="28"/>
  <c r="U180" i="28"/>
  <c r="S180" i="28"/>
  <c r="L180" i="28"/>
  <c r="J180" i="28"/>
  <c r="U179" i="28"/>
  <c r="S179" i="28"/>
  <c r="L179" i="28"/>
  <c r="J179" i="28"/>
  <c r="U178" i="28"/>
  <c r="S178" i="28"/>
  <c r="L178" i="28"/>
  <c r="J178" i="28"/>
  <c r="U177" i="28"/>
  <c r="S177" i="28"/>
  <c r="L177" i="28"/>
  <c r="J177" i="28"/>
  <c r="U176" i="28"/>
  <c r="S176" i="28"/>
  <c r="L176" i="28"/>
  <c r="J176" i="28"/>
  <c r="U175" i="28"/>
  <c r="S175" i="28"/>
  <c r="L175" i="28"/>
  <c r="J175" i="28"/>
  <c r="U174" i="28"/>
  <c r="S174" i="28"/>
  <c r="L174" i="28"/>
  <c r="J174" i="28"/>
  <c r="U173" i="28"/>
  <c r="S173" i="28"/>
  <c r="L173" i="28"/>
  <c r="J173" i="28"/>
  <c r="U172" i="28"/>
  <c r="S172" i="28"/>
  <c r="L172" i="28"/>
  <c r="J172" i="28"/>
  <c r="U171" i="28"/>
  <c r="S171" i="28"/>
  <c r="L171" i="28"/>
  <c r="J171" i="28"/>
  <c r="U170" i="28"/>
  <c r="S170" i="28"/>
  <c r="L170" i="28"/>
  <c r="J170" i="28"/>
  <c r="U169" i="28"/>
  <c r="S169" i="28"/>
  <c r="L169" i="28"/>
  <c r="J169" i="28"/>
  <c r="U168" i="28"/>
  <c r="S168" i="28"/>
  <c r="L168" i="28"/>
  <c r="J168" i="28"/>
  <c r="U167" i="28"/>
  <c r="S167" i="28"/>
  <c r="L167" i="28"/>
  <c r="J167" i="28"/>
  <c r="U166" i="28"/>
  <c r="S166" i="28"/>
  <c r="L166" i="28"/>
  <c r="J166" i="28"/>
  <c r="U165" i="28"/>
  <c r="S165" i="28"/>
  <c r="L165" i="28"/>
  <c r="J165" i="28"/>
  <c r="U164" i="28"/>
  <c r="S164" i="28"/>
  <c r="L164" i="28"/>
  <c r="J164" i="28"/>
  <c r="U163" i="28"/>
  <c r="S163" i="28"/>
  <c r="L163" i="28"/>
  <c r="J163" i="28"/>
  <c r="U162" i="28"/>
  <c r="S162" i="28"/>
  <c r="L162" i="28"/>
  <c r="J162" i="28"/>
  <c r="U161" i="28"/>
  <c r="S161" i="28"/>
  <c r="L161" i="28"/>
  <c r="J161" i="28"/>
  <c r="U160" i="28"/>
  <c r="S160" i="28"/>
  <c r="L160" i="28"/>
  <c r="J160" i="28"/>
  <c r="U159" i="28"/>
  <c r="S159" i="28"/>
  <c r="L159" i="28"/>
  <c r="J159" i="28"/>
  <c r="U158" i="28"/>
  <c r="S158" i="28"/>
  <c r="L158" i="28"/>
  <c r="J158" i="28"/>
  <c r="U157" i="28"/>
  <c r="S157" i="28"/>
  <c r="L157" i="28"/>
  <c r="J157" i="28"/>
  <c r="U156" i="28"/>
  <c r="S156" i="28"/>
  <c r="L156" i="28"/>
  <c r="J156" i="28"/>
  <c r="U155" i="28"/>
  <c r="S155" i="28"/>
  <c r="L155" i="28"/>
  <c r="J155" i="28"/>
  <c r="U154" i="28"/>
  <c r="S154" i="28"/>
  <c r="L154" i="28"/>
  <c r="J154" i="28"/>
  <c r="U153" i="28"/>
  <c r="S153" i="28"/>
  <c r="L153" i="28"/>
  <c r="J153" i="28"/>
  <c r="U152" i="28"/>
  <c r="S152" i="28"/>
  <c r="L152" i="28"/>
  <c r="J152" i="28"/>
  <c r="U151" i="28"/>
  <c r="S151" i="28"/>
  <c r="L151" i="28"/>
  <c r="J151" i="28"/>
  <c r="U150" i="28"/>
  <c r="S150" i="28"/>
  <c r="L150" i="28"/>
  <c r="J150" i="28"/>
  <c r="U149" i="28"/>
  <c r="S149" i="28"/>
  <c r="L149" i="28"/>
  <c r="J149" i="28"/>
  <c r="U148" i="28"/>
  <c r="S148" i="28"/>
  <c r="L148" i="28"/>
  <c r="J148" i="28"/>
  <c r="U147" i="28"/>
  <c r="S147" i="28"/>
  <c r="L147" i="28"/>
  <c r="J147" i="28"/>
  <c r="U146" i="28"/>
  <c r="S146" i="28"/>
  <c r="L146" i="28"/>
  <c r="J146" i="28"/>
  <c r="U145" i="28"/>
  <c r="S145" i="28"/>
  <c r="L145" i="28"/>
  <c r="J145" i="28"/>
  <c r="U144" i="28"/>
  <c r="S144" i="28"/>
  <c r="L144" i="28"/>
  <c r="J144" i="28"/>
  <c r="U143" i="28"/>
  <c r="S143" i="28"/>
  <c r="L143" i="28"/>
  <c r="J143" i="28"/>
  <c r="U142" i="28"/>
  <c r="S142" i="28"/>
  <c r="L142" i="28"/>
  <c r="J142" i="28"/>
  <c r="U141" i="28"/>
  <c r="S141" i="28"/>
  <c r="L141" i="28"/>
  <c r="J141" i="28"/>
  <c r="U140" i="28"/>
  <c r="S140" i="28"/>
  <c r="L140" i="28"/>
  <c r="J140" i="28"/>
  <c r="U139" i="28"/>
  <c r="S139" i="28"/>
  <c r="L139" i="28"/>
  <c r="J139" i="28"/>
  <c r="U138" i="28"/>
  <c r="S138" i="28"/>
  <c r="L138" i="28"/>
  <c r="J138" i="28"/>
  <c r="U137" i="28"/>
  <c r="S137" i="28"/>
  <c r="L137" i="28"/>
  <c r="J137" i="28"/>
  <c r="U136" i="28"/>
  <c r="S136" i="28"/>
  <c r="L136" i="28"/>
  <c r="J136" i="28"/>
  <c r="U135" i="28"/>
  <c r="S135" i="28"/>
  <c r="L135" i="28"/>
  <c r="J135" i="28"/>
  <c r="U134" i="28"/>
  <c r="S134" i="28"/>
  <c r="L134" i="28"/>
  <c r="J134" i="28"/>
  <c r="U133" i="28"/>
  <c r="S133" i="28"/>
  <c r="L133" i="28"/>
  <c r="J133" i="28"/>
  <c r="U132" i="28"/>
  <c r="S132" i="28"/>
  <c r="L132" i="28"/>
  <c r="J132" i="28"/>
  <c r="U131" i="28"/>
  <c r="S131" i="28"/>
  <c r="L131" i="28"/>
  <c r="J131" i="28"/>
  <c r="U130" i="28"/>
  <c r="S130" i="28"/>
  <c r="L130" i="28"/>
  <c r="J130" i="28"/>
  <c r="U129" i="28"/>
  <c r="S129" i="28"/>
  <c r="L129" i="28"/>
  <c r="J129" i="28"/>
  <c r="U128" i="28"/>
  <c r="S128" i="28"/>
  <c r="L128" i="28"/>
  <c r="J128" i="28"/>
  <c r="U127" i="28"/>
  <c r="S127" i="28"/>
  <c r="L127" i="28"/>
  <c r="J127" i="28"/>
  <c r="U126" i="28"/>
  <c r="S126" i="28"/>
  <c r="L126" i="28"/>
  <c r="J126" i="28"/>
  <c r="U125" i="28"/>
  <c r="S125" i="28"/>
  <c r="L125" i="28"/>
  <c r="J125" i="28"/>
  <c r="U124" i="28"/>
  <c r="S124" i="28"/>
  <c r="L124" i="28"/>
  <c r="J124" i="28"/>
  <c r="U123" i="28"/>
  <c r="S123" i="28"/>
  <c r="L123" i="28"/>
  <c r="J123" i="28"/>
  <c r="U122" i="28"/>
  <c r="S122" i="28"/>
  <c r="L122" i="28"/>
  <c r="J122" i="28"/>
  <c r="U121" i="28"/>
  <c r="S121" i="28"/>
  <c r="L121" i="28"/>
  <c r="J121" i="28"/>
  <c r="U120" i="28"/>
  <c r="S120" i="28"/>
  <c r="L120" i="28"/>
  <c r="J120" i="28"/>
  <c r="U119" i="28"/>
  <c r="S119" i="28"/>
  <c r="L119" i="28"/>
  <c r="J119" i="28"/>
  <c r="U118" i="28"/>
  <c r="S118" i="28"/>
  <c r="L118" i="28"/>
  <c r="J118" i="28"/>
  <c r="U117" i="28"/>
  <c r="S117" i="28"/>
  <c r="L117" i="28"/>
  <c r="J117" i="28"/>
  <c r="U116" i="28"/>
  <c r="S116" i="28"/>
  <c r="L116" i="28"/>
  <c r="J116" i="28"/>
  <c r="U115" i="28"/>
  <c r="S115" i="28"/>
  <c r="L115" i="28"/>
  <c r="J115" i="28"/>
  <c r="U114" i="28"/>
  <c r="S114" i="28"/>
  <c r="L114" i="28"/>
  <c r="J114" i="28"/>
  <c r="U113" i="28"/>
  <c r="S113" i="28"/>
  <c r="L113" i="28"/>
  <c r="J113" i="28"/>
  <c r="U112" i="28"/>
  <c r="S112" i="28"/>
  <c r="L112" i="28"/>
  <c r="J112" i="28"/>
  <c r="U111" i="28"/>
  <c r="S111" i="28"/>
  <c r="L111" i="28"/>
  <c r="J111" i="28"/>
  <c r="U110" i="28"/>
  <c r="S110" i="28"/>
  <c r="L110" i="28"/>
  <c r="J110" i="28"/>
  <c r="U109" i="28"/>
  <c r="S109" i="28"/>
  <c r="L109" i="28"/>
  <c r="J109" i="28"/>
  <c r="U108" i="28"/>
  <c r="S108" i="28"/>
  <c r="L108" i="28"/>
  <c r="J108" i="28"/>
  <c r="U107" i="28"/>
  <c r="S107" i="28"/>
  <c r="L107" i="28"/>
  <c r="J107" i="28"/>
  <c r="U106" i="28"/>
  <c r="S106" i="28"/>
  <c r="L106" i="28"/>
  <c r="J106" i="28"/>
  <c r="U105" i="28"/>
  <c r="S105" i="28"/>
  <c r="L105" i="28"/>
  <c r="J105" i="28"/>
  <c r="U104" i="28"/>
  <c r="S104" i="28"/>
  <c r="L104" i="28"/>
  <c r="J104" i="28"/>
  <c r="U103" i="28"/>
  <c r="S103" i="28"/>
  <c r="L103" i="28"/>
  <c r="J103" i="28"/>
  <c r="U102" i="28"/>
  <c r="S102" i="28"/>
  <c r="L102" i="28"/>
  <c r="J102" i="28"/>
  <c r="D10" i="26" s="1"/>
  <c r="BW42" i="26" s="1"/>
  <c r="U101" i="28"/>
  <c r="S101" i="28"/>
  <c r="L101" i="28"/>
  <c r="J101" i="28"/>
  <c r="U100" i="28"/>
  <c r="S100" i="28"/>
  <c r="L100" i="28"/>
  <c r="J100" i="28"/>
  <c r="U99" i="28"/>
  <c r="S99" i="28"/>
  <c r="L99" i="28"/>
  <c r="J99" i="28"/>
  <c r="U98" i="28"/>
  <c r="S98" i="28"/>
  <c r="L98" i="28"/>
  <c r="J98" i="28"/>
  <c r="U97" i="28"/>
  <c r="S97" i="28"/>
  <c r="L97" i="28"/>
  <c r="J97" i="28"/>
  <c r="U96" i="28"/>
  <c r="S96" i="28"/>
  <c r="L96" i="28"/>
  <c r="J96" i="28"/>
  <c r="U95" i="28"/>
  <c r="S95" i="28"/>
  <c r="L95" i="28"/>
  <c r="J95" i="28"/>
  <c r="U94" i="28"/>
  <c r="S94" i="28"/>
  <c r="L94" i="28"/>
  <c r="J94" i="28"/>
  <c r="U93" i="28"/>
  <c r="S93" i="28"/>
  <c r="L93" i="28"/>
  <c r="J93" i="28"/>
  <c r="U92" i="28"/>
  <c r="S92" i="28"/>
  <c r="L92" i="28"/>
  <c r="J92" i="28"/>
  <c r="U91" i="28"/>
  <c r="S91" i="28"/>
  <c r="L91" i="28"/>
  <c r="J91" i="28"/>
  <c r="U90" i="28"/>
  <c r="S90" i="28"/>
  <c r="L90" i="28"/>
  <c r="J90" i="28"/>
  <c r="U89" i="28"/>
  <c r="S89" i="28"/>
  <c r="L89" i="28"/>
  <c r="J89" i="28"/>
  <c r="W88" i="28"/>
  <c r="U88" i="28"/>
  <c r="S88" i="28"/>
  <c r="T88" i="28" s="1"/>
  <c r="N88" i="28"/>
  <c r="L88" i="28"/>
  <c r="C34" i="26" s="1"/>
  <c r="J88" i="28"/>
  <c r="K88" i="28" s="1"/>
  <c r="R84" i="28"/>
  <c r="Q84" i="28"/>
  <c r="I84" i="28"/>
  <c r="H84" i="28"/>
  <c r="G84" i="28"/>
  <c r="F84" i="28"/>
  <c r="E84" i="28"/>
  <c r="D84" i="28"/>
  <c r="C84" i="28"/>
  <c r="U82" i="28"/>
  <c r="S82" i="28"/>
  <c r="L82" i="28"/>
  <c r="J82" i="28"/>
  <c r="U81" i="28"/>
  <c r="S81" i="28"/>
  <c r="L81" i="28"/>
  <c r="J81" i="28"/>
  <c r="U80" i="28"/>
  <c r="S80" i="28"/>
  <c r="L80" i="28"/>
  <c r="J80" i="28"/>
  <c r="U79" i="28"/>
  <c r="S79" i="28"/>
  <c r="L79" i="28"/>
  <c r="J79" i="28"/>
  <c r="U78" i="28"/>
  <c r="S78" i="28"/>
  <c r="L78" i="28"/>
  <c r="J78" i="28"/>
  <c r="U77" i="28"/>
  <c r="S77" i="28"/>
  <c r="L77" i="28"/>
  <c r="J77" i="28"/>
  <c r="U76" i="28"/>
  <c r="S76" i="28"/>
  <c r="L76" i="28"/>
  <c r="J76" i="28"/>
  <c r="U75" i="28"/>
  <c r="S75" i="28"/>
  <c r="L75" i="28"/>
  <c r="J75" i="28"/>
  <c r="U74" i="28"/>
  <c r="S74" i="28"/>
  <c r="L74" i="28"/>
  <c r="J74" i="28"/>
  <c r="U73" i="28"/>
  <c r="S73" i="28"/>
  <c r="L73" i="28"/>
  <c r="J73" i="28"/>
  <c r="U72" i="28"/>
  <c r="S72" i="28"/>
  <c r="L72" i="28"/>
  <c r="J72" i="28"/>
  <c r="U71" i="28"/>
  <c r="S71" i="28"/>
  <c r="L71" i="28"/>
  <c r="J71" i="28"/>
  <c r="U70" i="28"/>
  <c r="S70" i="28"/>
  <c r="L70" i="28"/>
  <c r="J70" i="28"/>
  <c r="U69" i="28"/>
  <c r="S69" i="28"/>
  <c r="L69" i="28"/>
  <c r="J69" i="28"/>
  <c r="U68" i="28"/>
  <c r="S68" i="28"/>
  <c r="L68" i="28"/>
  <c r="J68" i="28"/>
  <c r="U67" i="28"/>
  <c r="S67" i="28"/>
  <c r="L67" i="28"/>
  <c r="J67" i="28"/>
  <c r="U66" i="28"/>
  <c r="S66" i="28"/>
  <c r="L66" i="28"/>
  <c r="J66" i="28"/>
  <c r="U65" i="28"/>
  <c r="S65" i="28"/>
  <c r="L65" i="28"/>
  <c r="J65" i="28"/>
  <c r="U64" i="28"/>
  <c r="S64" i="28"/>
  <c r="L64" i="28"/>
  <c r="J64" i="28"/>
  <c r="U63" i="28"/>
  <c r="S63" i="28"/>
  <c r="L63" i="28"/>
  <c r="J63" i="28"/>
  <c r="U62" i="28"/>
  <c r="S62" i="28"/>
  <c r="L62" i="28"/>
  <c r="J62" i="28"/>
  <c r="U61" i="28"/>
  <c r="S61" i="28"/>
  <c r="L61" i="28"/>
  <c r="J61" i="28"/>
  <c r="U60" i="28"/>
  <c r="S60" i="28"/>
  <c r="L60" i="28"/>
  <c r="J60" i="28"/>
  <c r="U59" i="28"/>
  <c r="S59" i="28"/>
  <c r="L59" i="28"/>
  <c r="J59" i="28"/>
  <c r="U58" i="28"/>
  <c r="S58" i="28"/>
  <c r="L58" i="28"/>
  <c r="J58" i="28"/>
  <c r="U57" i="28"/>
  <c r="S57" i="28"/>
  <c r="L57" i="28"/>
  <c r="J57" i="28"/>
  <c r="U56" i="28"/>
  <c r="S56" i="28"/>
  <c r="L56" i="28"/>
  <c r="J56" i="28"/>
  <c r="U55" i="28"/>
  <c r="S55" i="28"/>
  <c r="L55" i="28"/>
  <c r="J55" i="28"/>
  <c r="U54" i="28"/>
  <c r="S54" i="28"/>
  <c r="L54" i="28"/>
  <c r="J54" i="28"/>
  <c r="U53" i="28"/>
  <c r="S53" i="28"/>
  <c r="L53" i="28"/>
  <c r="J53" i="28"/>
  <c r="U52" i="28"/>
  <c r="S52" i="28"/>
  <c r="L52" i="28"/>
  <c r="J52" i="28"/>
  <c r="U51" i="28"/>
  <c r="S51" i="28"/>
  <c r="L51" i="28"/>
  <c r="J51" i="28"/>
  <c r="U50" i="28"/>
  <c r="S50" i="28"/>
  <c r="L50" i="28"/>
  <c r="J50" i="28"/>
  <c r="U49" i="28"/>
  <c r="S49" i="28"/>
  <c r="L49" i="28"/>
  <c r="J49" i="28"/>
  <c r="U48" i="28"/>
  <c r="S48" i="28"/>
  <c r="L48" i="28"/>
  <c r="J48" i="28"/>
  <c r="U47" i="28"/>
  <c r="S47" i="28"/>
  <c r="L47" i="28"/>
  <c r="J47" i="28"/>
  <c r="U46" i="28"/>
  <c r="S46" i="28"/>
  <c r="L46" i="28"/>
  <c r="J46" i="28"/>
  <c r="U45" i="28"/>
  <c r="S45" i="28"/>
  <c r="L45" i="28"/>
  <c r="J45" i="28"/>
  <c r="U44" i="28"/>
  <c r="S44" i="28"/>
  <c r="L44" i="28"/>
  <c r="J44" i="28"/>
  <c r="U43" i="28"/>
  <c r="S43" i="28"/>
  <c r="L43" i="28"/>
  <c r="J43" i="28"/>
  <c r="U42" i="28"/>
  <c r="S42" i="28"/>
  <c r="L42" i="28"/>
  <c r="J42" i="28"/>
  <c r="U41" i="28"/>
  <c r="S41" i="28"/>
  <c r="L41" i="28"/>
  <c r="J41" i="28"/>
  <c r="U40" i="28"/>
  <c r="S40" i="28"/>
  <c r="L40" i="28"/>
  <c r="J40" i="28"/>
  <c r="U39" i="28"/>
  <c r="S39" i="28"/>
  <c r="L39" i="28"/>
  <c r="J39" i="28"/>
  <c r="U38" i="28"/>
  <c r="S38" i="28"/>
  <c r="L38" i="28"/>
  <c r="J38" i="28"/>
  <c r="U37" i="28"/>
  <c r="S37" i="28"/>
  <c r="L37" i="28"/>
  <c r="J37" i="28"/>
  <c r="U36" i="28"/>
  <c r="S36" i="28"/>
  <c r="L36" i="28"/>
  <c r="J36" i="28"/>
  <c r="U35" i="28"/>
  <c r="S35" i="28"/>
  <c r="L35" i="28"/>
  <c r="J35" i="28"/>
  <c r="U34" i="28"/>
  <c r="S34" i="28"/>
  <c r="L34" i="28"/>
  <c r="J34" i="28"/>
  <c r="U33" i="28"/>
  <c r="S33" i="28"/>
  <c r="L33" i="28"/>
  <c r="J33" i="28"/>
  <c r="U32" i="28"/>
  <c r="S32" i="28"/>
  <c r="L32" i="28"/>
  <c r="J32" i="28"/>
  <c r="U31" i="28"/>
  <c r="S31" i="28"/>
  <c r="L31" i="28"/>
  <c r="J31" i="28"/>
  <c r="U30" i="28"/>
  <c r="S30" i="28"/>
  <c r="L30" i="28"/>
  <c r="J30" i="28"/>
  <c r="U29" i="28"/>
  <c r="S29" i="28"/>
  <c r="L29" i="28"/>
  <c r="J29" i="28"/>
  <c r="U28" i="28"/>
  <c r="S28" i="28"/>
  <c r="L28" i="28"/>
  <c r="J28" i="28"/>
  <c r="U27" i="28"/>
  <c r="S27" i="28"/>
  <c r="L27" i="28"/>
  <c r="J27" i="28"/>
  <c r="U26" i="28"/>
  <c r="S26" i="28"/>
  <c r="L26" i="28"/>
  <c r="J26" i="28"/>
  <c r="U25" i="28"/>
  <c r="S25" i="28"/>
  <c r="L25" i="28"/>
  <c r="J25" i="28"/>
  <c r="U24" i="28"/>
  <c r="S24" i="28"/>
  <c r="L24" i="28"/>
  <c r="J24" i="28"/>
  <c r="U23" i="28"/>
  <c r="S23" i="28"/>
  <c r="L23" i="28"/>
  <c r="J23" i="28"/>
  <c r="U22" i="28"/>
  <c r="S22" i="28"/>
  <c r="L22" i="28"/>
  <c r="J22" i="28"/>
  <c r="U21" i="28"/>
  <c r="S21" i="28"/>
  <c r="L21" i="28"/>
  <c r="J21" i="28"/>
  <c r="U20" i="28"/>
  <c r="S20" i="28"/>
  <c r="L20" i="28"/>
  <c r="J20" i="28"/>
  <c r="U19" i="28"/>
  <c r="S19" i="28"/>
  <c r="L19" i="28"/>
  <c r="J19" i="28"/>
  <c r="U18" i="28"/>
  <c r="S18" i="28"/>
  <c r="L18" i="28"/>
  <c r="J18" i="28"/>
  <c r="U17" i="28"/>
  <c r="S17" i="28"/>
  <c r="AH9" i="27" s="1"/>
  <c r="AH30" i="27" s="1"/>
  <c r="L17" i="28"/>
  <c r="J17" i="28"/>
  <c r="U16" i="28"/>
  <c r="S16" i="28"/>
  <c r="AG9" i="27" s="1"/>
  <c r="AG30" i="27" s="1"/>
  <c r="L16" i="28"/>
  <c r="J16" i="28"/>
  <c r="U15" i="28"/>
  <c r="S15" i="28"/>
  <c r="AF9" i="27" s="1"/>
  <c r="L15" i="28"/>
  <c r="J15" i="28"/>
  <c r="U14" i="28"/>
  <c r="S14" i="28"/>
  <c r="L14" i="28"/>
  <c r="J14" i="28"/>
  <c r="U13" i="28"/>
  <c r="S13" i="28"/>
  <c r="AD9" i="27" s="1"/>
  <c r="L13" i="28"/>
  <c r="J13" i="28"/>
  <c r="U12" i="28"/>
  <c r="S12" i="28"/>
  <c r="L12" i="28"/>
  <c r="J12" i="28"/>
  <c r="L9" i="26" s="1"/>
  <c r="U11" i="28"/>
  <c r="S11" i="28"/>
  <c r="L11" i="28"/>
  <c r="J11" i="28"/>
  <c r="K9" i="26" s="1"/>
  <c r="K30" i="26" s="1"/>
  <c r="U10" i="28"/>
  <c r="S10" i="28"/>
  <c r="L10" i="28"/>
  <c r="J10" i="28"/>
  <c r="J9" i="26" s="1"/>
  <c r="U9" i="28"/>
  <c r="S9" i="28"/>
  <c r="L9" i="28"/>
  <c r="J9" i="28"/>
  <c r="U8" i="28"/>
  <c r="S8" i="28"/>
  <c r="L8" i="28"/>
  <c r="J8" i="28"/>
  <c r="U7" i="28"/>
  <c r="S7" i="28"/>
  <c r="L7" i="28"/>
  <c r="J7" i="28"/>
  <c r="U6" i="28"/>
  <c r="S6" i="28"/>
  <c r="L6" i="28"/>
  <c r="J6" i="28"/>
  <c r="U5" i="28"/>
  <c r="S5" i="28"/>
  <c r="L5" i="28"/>
  <c r="J5" i="28"/>
  <c r="W4" i="28"/>
  <c r="U4" i="28"/>
  <c r="S4" i="28"/>
  <c r="T4" i="28" s="1"/>
  <c r="N4" i="28"/>
  <c r="L4" i="28"/>
  <c r="C33" i="27" s="1"/>
  <c r="J4" i="28"/>
  <c r="K4" i="28" s="1"/>
  <c r="AV86" i="27"/>
  <c r="AV85" i="27"/>
  <c r="AV84" i="27"/>
  <c r="AV83" i="27"/>
  <c r="AW81" i="27"/>
  <c r="AW80" i="27"/>
  <c r="AW79" i="27"/>
  <c r="AW78" i="27"/>
  <c r="AW77" i="27"/>
  <c r="AW76" i="27"/>
  <c r="CU56" i="27"/>
  <c r="CT56" i="27"/>
  <c r="CS56" i="27"/>
  <c r="CR56" i="27"/>
  <c r="CQ56" i="27"/>
  <c r="CP56" i="27"/>
  <c r="CO56" i="27"/>
  <c r="CN56" i="27"/>
  <c r="CM56" i="27"/>
  <c r="CL56" i="27"/>
  <c r="CK56" i="27"/>
  <c r="CJ56" i="27"/>
  <c r="CI56" i="27"/>
  <c r="CH56" i="27"/>
  <c r="CG56" i="27"/>
  <c r="CF56" i="27"/>
  <c r="CE56" i="27"/>
  <c r="CD56" i="27"/>
  <c r="CC56" i="27"/>
  <c r="CB56" i="27"/>
  <c r="CA56" i="27"/>
  <c r="BZ56" i="27"/>
  <c r="BY56" i="27"/>
  <c r="BX56" i="27"/>
  <c r="BW56" i="27"/>
  <c r="BV56" i="27"/>
  <c r="BU56" i="27"/>
  <c r="BT56" i="27"/>
  <c r="BS56" i="27"/>
  <c r="BR56" i="27"/>
  <c r="BQ56" i="27"/>
  <c r="BP56" i="27"/>
  <c r="BO56" i="27"/>
  <c r="BN56" i="27"/>
  <c r="BM56" i="27"/>
  <c r="BL56" i="27"/>
  <c r="BK56" i="27"/>
  <c r="BJ56" i="27"/>
  <c r="BI56" i="27"/>
  <c r="BH56" i="27"/>
  <c r="BG56" i="27"/>
  <c r="BF56" i="27"/>
  <c r="BE56" i="27"/>
  <c r="BD56" i="27"/>
  <c r="BC56" i="27"/>
  <c r="BB56" i="27"/>
  <c r="BA56" i="27"/>
  <c r="AZ56" i="27"/>
  <c r="AY56" i="27"/>
  <c r="AX56" i="27"/>
  <c r="AW56" i="27"/>
  <c r="AV56" i="27"/>
  <c r="AU56" i="27"/>
  <c r="AT56" i="27"/>
  <c r="AS56" i="27"/>
  <c r="AR56" i="27"/>
  <c r="AQ56" i="27"/>
  <c r="AP56" i="27"/>
  <c r="AO56" i="27"/>
  <c r="AN56" i="27"/>
  <c r="AM56" i="27"/>
  <c r="AL56" i="27"/>
  <c r="AK56" i="27"/>
  <c r="AJ56" i="27"/>
  <c r="AI56" i="27"/>
  <c r="AH56" i="27"/>
  <c r="AG56" i="27"/>
  <c r="AF56" i="27"/>
  <c r="AE56" i="27"/>
  <c r="AD56" i="27"/>
  <c r="AC56" i="27"/>
  <c r="AB56" i="27"/>
  <c r="AA56" i="27"/>
  <c r="Z56" i="27"/>
  <c r="Y56" i="27"/>
  <c r="X56" i="27"/>
  <c r="W56" i="27"/>
  <c r="V56" i="27"/>
  <c r="U56" i="27"/>
  <c r="T56" i="27"/>
  <c r="S56" i="27"/>
  <c r="R56" i="27"/>
  <c r="Q56" i="27"/>
  <c r="P56" i="27"/>
  <c r="O56" i="27"/>
  <c r="N56" i="27"/>
  <c r="M56" i="27"/>
  <c r="L56" i="27"/>
  <c r="K56" i="27"/>
  <c r="J56" i="27"/>
  <c r="I56" i="27"/>
  <c r="H56" i="27"/>
  <c r="G56" i="27"/>
  <c r="F56" i="27"/>
  <c r="E56" i="27"/>
  <c r="D56" i="27"/>
  <c r="B42" i="27"/>
  <c r="A42" i="27"/>
  <c r="B41" i="27"/>
  <c r="A41" i="27"/>
  <c r="D34" i="27"/>
  <c r="D36" i="27" s="1"/>
  <c r="A34" i="27"/>
  <c r="B33" i="27"/>
  <c r="A33" i="27"/>
  <c r="CU30" i="27"/>
  <c r="CT30" i="27"/>
  <c r="CS30" i="27"/>
  <c r="CR30" i="27"/>
  <c r="CQ30" i="27"/>
  <c r="CP30" i="27"/>
  <c r="CO30" i="27"/>
  <c r="CN30" i="27"/>
  <c r="CM30" i="27"/>
  <c r="CL30" i="27"/>
  <c r="CK30" i="27"/>
  <c r="CJ30" i="27"/>
  <c r="CI30" i="27"/>
  <c r="CH30" i="27"/>
  <c r="CG30" i="27"/>
  <c r="CF30" i="27"/>
  <c r="CE30" i="27"/>
  <c r="CD30" i="27"/>
  <c r="CC30" i="27"/>
  <c r="CB30" i="27"/>
  <c r="CA30" i="27"/>
  <c r="BZ30" i="27"/>
  <c r="BY30" i="27"/>
  <c r="BX30" i="27"/>
  <c r="BW30" i="27"/>
  <c r="BV30" i="27"/>
  <c r="BU30" i="27"/>
  <c r="BT30" i="27"/>
  <c r="BS30" i="27"/>
  <c r="BR30" i="27"/>
  <c r="BQ30" i="27"/>
  <c r="BP30" i="27"/>
  <c r="BO30" i="27"/>
  <c r="BN30" i="27"/>
  <c r="BM30" i="27"/>
  <c r="BL30" i="27"/>
  <c r="BK30" i="27"/>
  <c r="BJ30" i="27"/>
  <c r="BI30" i="27"/>
  <c r="BH30" i="27"/>
  <c r="BG30" i="27"/>
  <c r="BF30" i="27"/>
  <c r="BE30" i="27"/>
  <c r="BD30" i="27"/>
  <c r="BC30" i="27"/>
  <c r="BB30" i="27"/>
  <c r="BA30" i="27"/>
  <c r="AZ30" i="27"/>
  <c r="AY30" i="27"/>
  <c r="AX30" i="27"/>
  <c r="AW30" i="27"/>
  <c r="AV30" i="27"/>
  <c r="AU30" i="27"/>
  <c r="AT30" i="27"/>
  <c r="AS30" i="27"/>
  <c r="AR30" i="27"/>
  <c r="AQ30" i="27"/>
  <c r="AP30" i="27"/>
  <c r="AO30" i="27"/>
  <c r="AN30" i="27"/>
  <c r="AM30" i="27"/>
  <c r="AL30" i="27"/>
  <c r="AK30" i="27"/>
  <c r="AJ30" i="27"/>
  <c r="AI30" i="27"/>
  <c r="AE30" i="27"/>
  <c r="AC30" i="27"/>
  <c r="AB30" i="27"/>
  <c r="AA30" i="27"/>
  <c r="Z30" i="27"/>
  <c r="Y30" i="27"/>
  <c r="X30" i="27"/>
  <c r="W30" i="27"/>
  <c r="V30" i="27"/>
  <c r="U30" i="27"/>
  <c r="T30" i="27"/>
  <c r="S30" i="27"/>
  <c r="R30" i="27"/>
  <c r="Q30" i="27"/>
  <c r="P30" i="27"/>
  <c r="O30" i="27"/>
  <c r="N30" i="27"/>
  <c r="M30" i="27"/>
  <c r="L30" i="27"/>
  <c r="K30" i="27"/>
  <c r="J30" i="27"/>
  <c r="I30" i="27"/>
  <c r="H30" i="27"/>
  <c r="G30" i="27"/>
  <c r="F30" i="27"/>
  <c r="E30" i="27"/>
  <c r="CU7" i="27"/>
  <c r="CT7" i="27"/>
  <c r="CS7" i="27"/>
  <c r="CR7" i="27"/>
  <c r="CQ7" i="27"/>
  <c r="CP7" i="27"/>
  <c r="CO7" i="27"/>
  <c r="CN7" i="27"/>
  <c r="CM7" i="27"/>
  <c r="CL7" i="27"/>
  <c r="CK7" i="27"/>
  <c r="CJ7" i="27"/>
  <c r="CI7" i="27"/>
  <c r="CH7" i="27"/>
  <c r="CG7" i="27"/>
  <c r="CF7" i="27"/>
  <c r="CE7" i="27"/>
  <c r="CD7" i="27"/>
  <c r="CC7" i="27"/>
  <c r="CB7" i="27"/>
  <c r="CA7" i="27"/>
  <c r="BZ7" i="27"/>
  <c r="BY7" i="27"/>
  <c r="BX7" i="27"/>
  <c r="BW7" i="27"/>
  <c r="BV7" i="27"/>
  <c r="BU7" i="27"/>
  <c r="BT7" i="27"/>
  <c r="BS7" i="27"/>
  <c r="BR7" i="27"/>
  <c r="BQ7" i="27"/>
  <c r="BP7" i="27"/>
  <c r="BO7" i="27"/>
  <c r="BN7" i="27"/>
  <c r="BM7" i="27"/>
  <c r="BL7" i="27"/>
  <c r="BK7" i="27"/>
  <c r="BJ7" i="27"/>
  <c r="BI7" i="27"/>
  <c r="BH7" i="27"/>
  <c r="BG7" i="27"/>
  <c r="BF7" i="27"/>
  <c r="BE7" i="27"/>
  <c r="BD7" i="27"/>
  <c r="BC7" i="27"/>
  <c r="BB7" i="27"/>
  <c r="BA7" i="27"/>
  <c r="AZ7" i="27"/>
  <c r="AY7" i="27"/>
  <c r="AX7" i="27"/>
  <c r="AW7" i="27"/>
  <c r="AV7" i="27"/>
  <c r="AU7" i="27"/>
  <c r="AT7" i="27"/>
  <c r="AS7" i="27"/>
  <c r="AR7" i="27"/>
  <c r="AQ7" i="27"/>
  <c r="AP7" i="27"/>
  <c r="AO7" i="27"/>
  <c r="AN7" i="27"/>
  <c r="AM7" i="27"/>
  <c r="AL7" i="27"/>
  <c r="AK7" i="27"/>
  <c r="AJ7" i="27"/>
  <c r="AI7" i="27"/>
  <c r="AH7" i="27"/>
  <c r="AG7" i="27"/>
  <c r="AF7" i="27"/>
  <c r="AE7" i="27"/>
  <c r="AD7" i="27"/>
  <c r="AC7" i="27"/>
  <c r="AB7" i="27"/>
  <c r="AA7" i="27"/>
  <c r="Z7" i="27"/>
  <c r="Y7" i="27"/>
  <c r="X7" i="27"/>
  <c r="W7" i="27"/>
  <c r="V7" i="27"/>
  <c r="U7" i="27"/>
  <c r="T7" i="27"/>
  <c r="S7" i="27"/>
  <c r="R7" i="27"/>
  <c r="Q7" i="27"/>
  <c r="P7" i="27"/>
  <c r="O7" i="27"/>
  <c r="N7" i="27"/>
  <c r="M7" i="27"/>
  <c r="L7" i="27"/>
  <c r="K7" i="27"/>
  <c r="J7" i="27"/>
  <c r="I7" i="27"/>
  <c r="H7" i="27"/>
  <c r="G7" i="27"/>
  <c r="F7" i="27"/>
  <c r="E7" i="27"/>
  <c r="D7" i="27"/>
  <c r="CU6" i="27"/>
  <c r="CT6" i="27"/>
  <c r="CS6" i="27"/>
  <c r="CR6" i="27"/>
  <c r="CQ6" i="27"/>
  <c r="CP6" i="27"/>
  <c r="CO6" i="27"/>
  <c r="CN6" i="27"/>
  <c r="CM6" i="27"/>
  <c r="CL6" i="27"/>
  <c r="CK6" i="27"/>
  <c r="CJ6" i="27"/>
  <c r="CI6" i="27"/>
  <c r="CH6" i="27"/>
  <c r="CG6" i="27"/>
  <c r="CF6" i="27"/>
  <c r="CE6" i="27"/>
  <c r="CD6" i="27"/>
  <c r="CC6" i="27"/>
  <c r="CB6" i="27"/>
  <c r="CA6" i="27"/>
  <c r="BZ6" i="27"/>
  <c r="BY6" i="27"/>
  <c r="BX6" i="27"/>
  <c r="BW6" i="27"/>
  <c r="BV6" i="27"/>
  <c r="BU6" i="27"/>
  <c r="BT6" i="27"/>
  <c r="BS6" i="27"/>
  <c r="BR6" i="27"/>
  <c r="BQ6" i="27"/>
  <c r="BP6" i="27"/>
  <c r="BO6" i="27"/>
  <c r="BN6" i="27"/>
  <c r="BM6" i="27"/>
  <c r="BL6" i="27"/>
  <c r="BK6" i="27"/>
  <c r="BJ6" i="27"/>
  <c r="BI6" i="27"/>
  <c r="BH6" i="27"/>
  <c r="BG6" i="27"/>
  <c r="BF6" i="27"/>
  <c r="BE6" i="27"/>
  <c r="BD6" i="27"/>
  <c r="BC6" i="27"/>
  <c r="BB6" i="27"/>
  <c r="BA6" i="27"/>
  <c r="AZ6" i="27"/>
  <c r="AY6" i="27"/>
  <c r="AX6" i="27"/>
  <c r="AW6" i="27"/>
  <c r="AV6" i="27"/>
  <c r="AU6" i="27"/>
  <c r="AT6" i="27"/>
  <c r="AS6" i="27"/>
  <c r="AR6" i="27"/>
  <c r="AQ6" i="27"/>
  <c r="AP6" i="27"/>
  <c r="AO6" i="27"/>
  <c r="AN6" i="27"/>
  <c r="AM6" i="27"/>
  <c r="AL6" i="27"/>
  <c r="AK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U5" i="27"/>
  <c r="CT5" i="27"/>
  <c r="CS5" i="27"/>
  <c r="CR5" i="27"/>
  <c r="CQ5" i="27"/>
  <c r="CP5" i="27"/>
  <c r="CO5" i="27"/>
  <c r="CN5" i="27"/>
  <c r="CM5" i="27"/>
  <c r="CL5" i="27"/>
  <c r="CK5" i="27"/>
  <c r="CJ5" i="27"/>
  <c r="CI5" i="27"/>
  <c r="CH5" i="27"/>
  <c r="CG5" i="27"/>
  <c r="CF5" i="27"/>
  <c r="CE5" i="27"/>
  <c r="CD5" i="27"/>
  <c r="CC5" i="27"/>
  <c r="CB5" i="27"/>
  <c r="CA5" i="27"/>
  <c r="BZ5" i="27"/>
  <c r="BY5" i="27"/>
  <c r="BX5" i="27"/>
  <c r="BW5" i="27"/>
  <c r="BV5" i="27"/>
  <c r="BU5" i="27"/>
  <c r="BT5" i="27"/>
  <c r="BS5" i="27"/>
  <c r="BR5" i="27"/>
  <c r="BQ5" i="27"/>
  <c r="BP5" i="27"/>
  <c r="BO5" i="27"/>
  <c r="BN5" i="27"/>
  <c r="BM5" i="27"/>
  <c r="BL5" i="27"/>
  <c r="BK5" i="27"/>
  <c r="BJ5" i="27"/>
  <c r="BI5" i="27"/>
  <c r="BH5" i="27"/>
  <c r="BG5" i="27"/>
  <c r="BF5" i="27"/>
  <c r="BE5" i="27"/>
  <c r="BD5" i="27"/>
  <c r="BC5" i="27"/>
  <c r="BB5" i="27"/>
  <c r="BA5" i="27"/>
  <c r="AZ5" i="27"/>
  <c r="AY5" i="27"/>
  <c r="AX5" i="27"/>
  <c r="AW5" i="27"/>
  <c r="AV5" i="27"/>
  <c r="AU5" i="27"/>
  <c r="AT5" i="27"/>
  <c r="AS5" i="27"/>
  <c r="AR5" i="27"/>
  <c r="AQ5" i="27"/>
  <c r="AP5" i="27"/>
  <c r="AO5" i="27"/>
  <c r="AN5" i="27"/>
  <c r="AM5" i="27"/>
  <c r="AK5" i="27"/>
  <c r="AJ5" i="27"/>
  <c r="AI5" i="27"/>
  <c r="AH5" i="27"/>
  <c r="AG5" i="27"/>
  <c r="AF5" i="27"/>
  <c r="AE5" i="27"/>
  <c r="AD5" i="27"/>
  <c r="AC5" i="27"/>
  <c r="AB5" i="27"/>
  <c r="AE86" i="26"/>
  <c r="AE85" i="26"/>
  <c r="AE84" i="26"/>
  <c r="AE83" i="26"/>
  <c r="AF81" i="26"/>
  <c r="AF80" i="26"/>
  <c r="AF79" i="26"/>
  <c r="AF78" i="26"/>
  <c r="AF77" i="26"/>
  <c r="AF76" i="26"/>
  <c r="CD56" i="26"/>
  <c r="CC56" i="26"/>
  <c r="CB56" i="26"/>
  <c r="CA56" i="26"/>
  <c r="BZ56" i="26"/>
  <c r="BY56" i="26"/>
  <c r="BX56" i="26"/>
  <c r="BW56" i="26"/>
  <c r="BV56" i="26"/>
  <c r="BU56" i="26"/>
  <c r="BT56" i="26"/>
  <c r="BS56" i="26"/>
  <c r="BR56" i="26"/>
  <c r="BQ56" i="26"/>
  <c r="BP56" i="26"/>
  <c r="BO56" i="26"/>
  <c r="BN56" i="26"/>
  <c r="BM56" i="26"/>
  <c r="BL56" i="26"/>
  <c r="BK56" i="26"/>
  <c r="BJ56" i="26"/>
  <c r="BI56" i="26"/>
  <c r="BH56" i="26"/>
  <c r="BG56" i="26"/>
  <c r="BF56" i="26"/>
  <c r="BE56" i="26"/>
  <c r="BD56" i="26"/>
  <c r="BC56" i="26"/>
  <c r="BB56" i="26"/>
  <c r="BA56" i="26"/>
  <c r="AZ56" i="26"/>
  <c r="AY56" i="26"/>
  <c r="AX56" i="26"/>
  <c r="AW56" i="26"/>
  <c r="AV56" i="26"/>
  <c r="AU56" i="26"/>
  <c r="AT56" i="26"/>
  <c r="AS56" i="26"/>
  <c r="AR56" i="26"/>
  <c r="AQ56" i="26"/>
  <c r="AP56" i="26"/>
  <c r="AO56" i="26"/>
  <c r="AN56" i="26"/>
  <c r="AM56" i="26"/>
  <c r="AL56" i="26"/>
  <c r="AK56" i="26"/>
  <c r="AJ56" i="26"/>
  <c r="AI56" i="26"/>
  <c r="AH56" i="26"/>
  <c r="AG56" i="26"/>
  <c r="AF56" i="26"/>
  <c r="AE56" i="26"/>
  <c r="AD56" i="26"/>
  <c r="AC56" i="26"/>
  <c r="AB56" i="26"/>
  <c r="AA56" i="26"/>
  <c r="Z56" i="26"/>
  <c r="Y56" i="26"/>
  <c r="X56" i="26"/>
  <c r="W56" i="26"/>
  <c r="V56" i="26"/>
  <c r="U56" i="26"/>
  <c r="T56" i="26"/>
  <c r="S56" i="26"/>
  <c r="R56" i="26"/>
  <c r="Q56" i="26"/>
  <c r="P56" i="26"/>
  <c r="O56" i="26"/>
  <c r="N56" i="26"/>
  <c r="M56" i="26"/>
  <c r="L56" i="26"/>
  <c r="K56" i="26"/>
  <c r="J56" i="26"/>
  <c r="I56" i="26"/>
  <c r="H56" i="26"/>
  <c r="G56" i="26"/>
  <c r="F56" i="26"/>
  <c r="E56" i="26"/>
  <c r="D56" i="26"/>
  <c r="B42" i="26"/>
  <c r="A42" i="26"/>
  <c r="B41" i="26"/>
  <c r="A41" i="26"/>
  <c r="D36" i="26"/>
  <c r="D38" i="26" s="1"/>
  <c r="D57" i="26" s="1"/>
  <c r="A34" i="26"/>
  <c r="B33" i="26"/>
  <c r="A33" i="26"/>
  <c r="CD30" i="26"/>
  <c r="CC30" i="26"/>
  <c r="CB30" i="26"/>
  <c r="CA30" i="26"/>
  <c r="BZ30" i="26"/>
  <c r="BY30" i="26"/>
  <c r="BX30" i="26"/>
  <c r="BW30" i="26"/>
  <c r="BV30" i="26"/>
  <c r="BU30" i="26"/>
  <c r="BT30" i="26"/>
  <c r="BS30" i="26"/>
  <c r="BR30" i="26"/>
  <c r="BQ30" i="26"/>
  <c r="BP30" i="26"/>
  <c r="BO30" i="26"/>
  <c r="BN30" i="26"/>
  <c r="BM30" i="26"/>
  <c r="BL30" i="26"/>
  <c r="BK30" i="26"/>
  <c r="BJ30" i="26"/>
  <c r="BI30" i="26"/>
  <c r="BH30" i="26"/>
  <c r="BG30" i="26"/>
  <c r="BF30" i="26"/>
  <c r="BE30" i="26"/>
  <c r="BD30" i="26"/>
  <c r="BC30" i="26"/>
  <c r="BB30" i="26"/>
  <c r="BA30" i="26"/>
  <c r="AZ30" i="26"/>
  <c r="AY30" i="26"/>
  <c r="AX30" i="26"/>
  <c r="AW30" i="26"/>
  <c r="AV30" i="26"/>
  <c r="AU30" i="26"/>
  <c r="AT30" i="26"/>
  <c r="AS30" i="26"/>
  <c r="AR30" i="26"/>
  <c r="AQ30" i="26"/>
  <c r="AP30" i="26"/>
  <c r="AO30"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I30" i="26"/>
  <c r="H30" i="26"/>
  <c r="G30" i="26"/>
  <c r="F30" i="26"/>
  <c r="E30" i="26"/>
  <c r="CD7" i="26"/>
  <c r="CC7" i="26"/>
  <c r="CB7" i="26"/>
  <c r="CA7" i="26"/>
  <c r="BZ7" i="26"/>
  <c r="BY7" i="26"/>
  <c r="BX7" i="26"/>
  <c r="BW7" i="26"/>
  <c r="BV7" i="26"/>
  <c r="BU7" i="26"/>
  <c r="BT7" i="26"/>
  <c r="BS7" i="26"/>
  <c r="BR7" i="26"/>
  <c r="BQ7" i="26"/>
  <c r="BP7" i="26"/>
  <c r="BO7" i="26"/>
  <c r="BN7" i="26"/>
  <c r="BM7" i="26"/>
  <c r="BL7" i="26"/>
  <c r="BK7" i="26"/>
  <c r="BJ7" i="26"/>
  <c r="BI7" i="26"/>
  <c r="BH7" i="26"/>
  <c r="BG7" i="26"/>
  <c r="BF7" i="26"/>
  <c r="BE7" i="26"/>
  <c r="BD7" i="26"/>
  <c r="BC7" i="26"/>
  <c r="BB7" i="26"/>
  <c r="BA7" i="26"/>
  <c r="AZ7" i="26"/>
  <c r="AY7" i="26"/>
  <c r="AX7" i="26"/>
  <c r="AW7" i="26"/>
  <c r="AV7" i="26"/>
  <c r="AU7" i="26"/>
  <c r="AT7" i="26"/>
  <c r="AS7" i="26"/>
  <c r="AR7" i="26"/>
  <c r="AQ7" i="26"/>
  <c r="AP7" i="26"/>
  <c r="AO7" i="26"/>
  <c r="AN7" i="26"/>
  <c r="AM7" i="26"/>
  <c r="AL7" i="26"/>
  <c r="AK7" i="26"/>
  <c r="AJ7" i="26"/>
  <c r="AI7" i="26"/>
  <c r="AH7" i="26"/>
  <c r="AG7" i="26"/>
  <c r="AF7" i="26"/>
  <c r="AE7" i="26"/>
  <c r="AD7" i="26"/>
  <c r="AC7" i="26"/>
  <c r="AB7" i="26"/>
  <c r="AA7" i="26"/>
  <c r="Z7" i="26"/>
  <c r="Y7" i="26"/>
  <c r="X7" i="26"/>
  <c r="W7" i="26"/>
  <c r="V7" i="26"/>
  <c r="U7" i="26"/>
  <c r="T7" i="26"/>
  <c r="S7" i="26"/>
  <c r="R7" i="26"/>
  <c r="Q7" i="26"/>
  <c r="P7" i="26"/>
  <c r="O7" i="26"/>
  <c r="N7" i="26"/>
  <c r="M7" i="26"/>
  <c r="L7" i="26"/>
  <c r="K7" i="26"/>
  <c r="J7" i="26"/>
  <c r="I7" i="26"/>
  <c r="H7" i="26"/>
  <c r="G7" i="26"/>
  <c r="F7" i="26"/>
  <c r="E7" i="26"/>
  <c r="D7" i="26"/>
  <c r="CD6" i="26"/>
  <c r="CC6" i="26"/>
  <c r="CB6" i="26"/>
  <c r="CA6" i="26"/>
  <c r="BZ6" i="26"/>
  <c r="BY6" i="26"/>
  <c r="BX6" i="26"/>
  <c r="BW6" i="26"/>
  <c r="BV6" i="26"/>
  <c r="BU6" i="26"/>
  <c r="BT6" i="26"/>
  <c r="BS6" i="26"/>
  <c r="BR6" i="26"/>
  <c r="BQ6" i="26"/>
  <c r="BP6" i="26"/>
  <c r="BO6" i="26"/>
  <c r="BN6" i="26"/>
  <c r="BM6" i="26"/>
  <c r="BL6" i="26"/>
  <c r="BK6" i="26"/>
  <c r="BJ6" i="26"/>
  <c r="BI6" i="26"/>
  <c r="BH6" i="26"/>
  <c r="BG6" i="26"/>
  <c r="BF6" i="26"/>
  <c r="BE6" i="26"/>
  <c r="BD6" i="26"/>
  <c r="BC6" i="26"/>
  <c r="BB6" i="26"/>
  <c r="BA6" i="26"/>
  <c r="AZ6" i="26"/>
  <c r="AY6" i="26"/>
  <c r="AX6" i="26"/>
  <c r="AW6" i="26"/>
  <c r="AV6" i="26"/>
  <c r="AU6" i="26"/>
  <c r="AT6" i="26"/>
  <c r="AS6" i="26"/>
  <c r="AR6" i="26"/>
  <c r="AQ6" i="26"/>
  <c r="AP6" i="26"/>
  <c r="AO6" i="26"/>
  <c r="AN6" i="26"/>
  <c r="AM6" i="26"/>
  <c r="AL6" i="26"/>
  <c r="AK6" i="26"/>
  <c r="AJ6" i="26"/>
  <c r="AI6" i="26"/>
  <c r="AH6" i="26"/>
  <c r="AG6" i="26"/>
  <c r="AF6" i="26"/>
  <c r="AE6" i="26"/>
  <c r="AD6" i="26"/>
  <c r="AC6" i="26"/>
  <c r="AB6" i="26"/>
  <c r="AA6" i="26"/>
  <c r="Z6" i="26"/>
  <c r="Y6" i="26"/>
  <c r="X6" i="26"/>
  <c r="W6" i="26"/>
  <c r="V6" i="26"/>
  <c r="U6" i="26"/>
  <c r="T6" i="26"/>
  <c r="S6" i="26"/>
  <c r="R6" i="26"/>
  <c r="Q6" i="26"/>
  <c r="P6" i="26"/>
  <c r="O6" i="26"/>
  <c r="N6" i="26"/>
  <c r="M6" i="26"/>
  <c r="L6" i="26"/>
  <c r="K6" i="26"/>
  <c r="J6" i="26"/>
  <c r="I6" i="26"/>
  <c r="H6" i="26"/>
  <c r="G6" i="26"/>
  <c r="F6" i="26"/>
  <c r="E6" i="26"/>
  <c r="D6" i="26"/>
  <c r="CD5" i="26"/>
  <c r="CC5" i="26"/>
  <c r="CB5" i="26"/>
  <c r="CA5" i="26"/>
  <c r="BZ5" i="26"/>
  <c r="BY5" i="26"/>
  <c r="BX5" i="26"/>
  <c r="BW5" i="26"/>
  <c r="BV5" i="26"/>
  <c r="BU5" i="26"/>
  <c r="BT5" i="26"/>
  <c r="BS5" i="26"/>
  <c r="BR5" i="26"/>
  <c r="BQ5" i="26"/>
  <c r="BP5" i="26"/>
  <c r="BO5" i="26"/>
  <c r="BN5" i="26"/>
  <c r="BM5" i="26"/>
  <c r="BL5" i="26"/>
  <c r="BK5" i="26"/>
  <c r="BJ5" i="26"/>
  <c r="BI5" i="26"/>
  <c r="BH5" i="26"/>
  <c r="BG5" i="26"/>
  <c r="BF5" i="26"/>
  <c r="BE5" i="26"/>
  <c r="BD5" i="26"/>
  <c r="BC5" i="26"/>
  <c r="BB5" i="26"/>
  <c r="BA5" i="26"/>
  <c r="AZ5" i="26"/>
  <c r="AY5" i="26"/>
  <c r="AX5" i="26"/>
  <c r="AW5" i="26"/>
  <c r="AV5" i="26"/>
  <c r="AU5" i="26"/>
  <c r="AT5" i="26"/>
  <c r="AS5" i="26"/>
  <c r="AR5" i="26"/>
  <c r="AQ5" i="26"/>
  <c r="AP5" i="26"/>
  <c r="AO5" i="26"/>
  <c r="AN5" i="26"/>
  <c r="AM5" i="26"/>
  <c r="AL5" i="26"/>
  <c r="AK5" i="26"/>
  <c r="AJ5" i="26"/>
  <c r="AI5" i="26"/>
  <c r="AH5" i="26"/>
  <c r="AG5" i="26"/>
  <c r="AF5" i="26"/>
  <c r="AE5" i="26"/>
  <c r="AD5" i="26"/>
  <c r="AC5" i="26"/>
  <c r="AB5" i="26"/>
  <c r="AA5" i="26"/>
  <c r="Z5" i="26"/>
  <c r="Y5" i="26"/>
  <c r="X5" i="26"/>
  <c r="W5" i="26"/>
  <c r="V5" i="26"/>
  <c r="T5" i="26"/>
  <c r="S5" i="26"/>
  <c r="R5" i="26"/>
  <c r="Q5" i="26"/>
  <c r="P5" i="26"/>
  <c r="O5" i="26"/>
  <c r="N5" i="26"/>
  <c r="M5" i="26"/>
  <c r="L5" i="26"/>
  <c r="K5" i="26"/>
  <c r="D184" i="28" l="1"/>
  <c r="C184" i="28"/>
  <c r="R184" i="28"/>
  <c r="I184" i="28"/>
  <c r="F184" i="28"/>
  <c r="C34" i="27"/>
  <c r="M5" i="28"/>
  <c r="N5" i="28" s="1"/>
  <c r="D10" i="27"/>
  <c r="H42" i="27" s="1"/>
  <c r="H45" i="27" s="1"/>
  <c r="Q184" i="28"/>
  <c r="AG34" i="26"/>
  <c r="AS34" i="26"/>
  <c r="BA34" i="26"/>
  <c r="BC34" i="26"/>
  <c r="BW34" i="26"/>
  <c r="S42" i="26"/>
  <c r="G184" i="28"/>
  <c r="T42" i="26"/>
  <c r="H184" i="28"/>
  <c r="AI42" i="26"/>
  <c r="O4" i="28"/>
  <c r="BI42" i="26"/>
  <c r="X88" i="28"/>
  <c r="T89" i="28"/>
  <c r="V90" i="28" s="1"/>
  <c r="CH33" i="27"/>
  <c r="AF33" i="27"/>
  <c r="AE33" i="27"/>
  <c r="M89" i="28"/>
  <c r="N89" i="28" s="1"/>
  <c r="BQ34" i="26"/>
  <c r="AR42" i="26"/>
  <c r="V89" i="28"/>
  <c r="W89" i="28" s="1"/>
  <c r="BU34" i="26"/>
  <c r="AT42" i="26"/>
  <c r="BN42" i="26"/>
  <c r="BU41" i="26"/>
  <c r="BP42" i="26"/>
  <c r="G34" i="26"/>
  <c r="G36" i="26" s="1"/>
  <c r="BN41" i="26"/>
  <c r="M34" i="26"/>
  <c r="BD41" i="26"/>
  <c r="N34" i="26"/>
  <c r="BX41" i="26"/>
  <c r="C33" i="26"/>
  <c r="BL33" i="26" s="1"/>
  <c r="AA34" i="26"/>
  <c r="AE34" i="26"/>
  <c r="J42" i="26"/>
  <c r="BT41" i="26"/>
  <c r="L30" i="26"/>
  <c r="I34" i="26"/>
  <c r="I36" i="26" s="1"/>
  <c r="AB34" i="26"/>
  <c r="AU34" i="26"/>
  <c r="BR34" i="26"/>
  <c r="AD41" i="26"/>
  <c r="AX41" i="26"/>
  <c r="L42" i="26"/>
  <c r="AJ42" i="26"/>
  <c r="BJ42" i="26"/>
  <c r="AV41" i="26"/>
  <c r="BQ41" i="26"/>
  <c r="BC41" i="26"/>
  <c r="AO41" i="26"/>
  <c r="AA41" i="26"/>
  <c r="M41" i="26"/>
  <c r="CD41" i="26"/>
  <c r="CC41" i="26"/>
  <c r="BO41" i="26"/>
  <c r="BA41" i="26"/>
  <c r="AM41" i="26"/>
  <c r="Y41" i="26"/>
  <c r="K41" i="26"/>
  <c r="CA41" i="26"/>
  <c r="BM41" i="26"/>
  <c r="AY41" i="26"/>
  <c r="AK41" i="26"/>
  <c r="W41" i="26"/>
  <c r="BY41" i="26"/>
  <c r="BK41" i="26"/>
  <c r="AW41" i="26"/>
  <c r="AI41" i="26"/>
  <c r="U41" i="26"/>
  <c r="BS41" i="26"/>
  <c r="BE41" i="26"/>
  <c r="AQ41" i="26"/>
  <c r="AC41" i="26"/>
  <c r="O41" i="26"/>
  <c r="J34" i="26"/>
  <c r="J36" i="26" s="1"/>
  <c r="AC34" i="26"/>
  <c r="AW34" i="26"/>
  <c r="BS34" i="26"/>
  <c r="AE41" i="26"/>
  <c r="AZ41" i="26"/>
  <c r="BV41" i="26"/>
  <c r="P42" i="26"/>
  <c r="AL42" i="26"/>
  <c r="BK42" i="26"/>
  <c r="AB41" i="26"/>
  <c r="K34" i="26"/>
  <c r="AD34" i="26"/>
  <c r="AY34" i="26"/>
  <c r="BT34" i="26"/>
  <c r="J41" i="26"/>
  <c r="AF41" i="26"/>
  <c r="BB41" i="26"/>
  <c r="BW41" i="26"/>
  <c r="BW45" i="26" s="1"/>
  <c r="R42" i="26"/>
  <c r="AN42" i="26"/>
  <c r="BL42" i="26"/>
  <c r="L41" i="26"/>
  <c r="N41" i="26"/>
  <c r="BF41" i="26"/>
  <c r="AI34" i="26"/>
  <c r="BY34" i="26"/>
  <c r="AJ41" i="26"/>
  <c r="CB41" i="26"/>
  <c r="AU42" i="26"/>
  <c r="D30" i="26"/>
  <c r="P34" i="26"/>
  <c r="AK34" i="26"/>
  <c r="CA34" i="26"/>
  <c r="Q41" i="26"/>
  <c r="BH41" i="26"/>
  <c r="V42" i="26"/>
  <c r="BV42" i="26"/>
  <c r="Q34" i="26"/>
  <c r="AL34" i="26"/>
  <c r="BF34" i="26"/>
  <c r="CC34" i="26"/>
  <c r="R41" i="26"/>
  <c r="AN41" i="26"/>
  <c r="BI41" i="26"/>
  <c r="X42" i="26"/>
  <c r="AW42" i="26"/>
  <c r="AG41" i="26"/>
  <c r="CE9" i="26"/>
  <c r="AH41" i="26"/>
  <c r="BS42" i="26"/>
  <c r="BE42" i="26"/>
  <c r="AQ42" i="26"/>
  <c r="AC42" i="26"/>
  <c r="O42" i="26"/>
  <c r="CB34" i="26"/>
  <c r="BN34" i="26"/>
  <c r="AZ34" i="26"/>
  <c r="BR42" i="26"/>
  <c r="BD42" i="26"/>
  <c r="AP42" i="26"/>
  <c r="AB42" i="26"/>
  <c r="N42" i="26"/>
  <c r="BQ42" i="26"/>
  <c r="BC42" i="26"/>
  <c r="AO42" i="26"/>
  <c r="AA42" i="26"/>
  <c r="M42" i="26"/>
  <c r="CC42" i="26"/>
  <c r="BO42" i="26"/>
  <c r="BA42" i="26"/>
  <c r="AM42" i="26"/>
  <c r="Y42" i="26"/>
  <c r="K42" i="26"/>
  <c r="CA42" i="26"/>
  <c r="BM42" i="26"/>
  <c r="AY42" i="26"/>
  <c r="AK42" i="26"/>
  <c r="W42" i="26"/>
  <c r="I42" i="26"/>
  <c r="I45" i="26" s="1"/>
  <c r="CE10" i="26"/>
  <c r="BU42" i="26"/>
  <c r="BG42" i="26"/>
  <c r="AS42" i="26"/>
  <c r="AE42" i="26"/>
  <c r="Q42" i="26"/>
  <c r="CD34" i="26"/>
  <c r="BP34" i="26"/>
  <c r="BB34" i="26"/>
  <c r="AN34" i="26"/>
  <c r="Z34" i="26"/>
  <c r="L34" i="26"/>
  <c r="O34" i="26"/>
  <c r="BD34" i="26"/>
  <c r="P41" i="26"/>
  <c r="BG41" i="26"/>
  <c r="U42" i="26"/>
  <c r="BT42" i="26"/>
  <c r="BE34" i="26"/>
  <c r="AL41" i="26"/>
  <c r="AV42" i="26"/>
  <c r="S34" i="26"/>
  <c r="AM34" i="26"/>
  <c r="BG34" i="26"/>
  <c r="S41" i="26"/>
  <c r="AP41" i="26"/>
  <c r="BJ41" i="26"/>
  <c r="D42" i="26"/>
  <c r="Z42" i="26"/>
  <c r="AX42" i="26"/>
  <c r="BX42" i="26"/>
  <c r="U34" i="26"/>
  <c r="AO34" i="26"/>
  <c r="BI34" i="26"/>
  <c r="T41" i="26"/>
  <c r="AR41" i="26"/>
  <c r="BL41" i="26"/>
  <c r="E42" i="26"/>
  <c r="E45" i="26" s="1"/>
  <c r="AD42" i="26"/>
  <c r="AZ42" i="26"/>
  <c r="BY42" i="26"/>
  <c r="BZ41" i="26"/>
  <c r="W34" i="26"/>
  <c r="AP34" i="26"/>
  <c r="BK34" i="26"/>
  <c r="V41" i="26"/>
  <c r="AS41" i="26"/>
  <c r="F42" i="26"/>
  <c r="F45" i="26" s="1"/>
  <c r="AF42" i="26"/>
  <c r="BZ42" i="26"/>
  <c r="BB42" i="26"/>
  <c r="BZ34" i="26"/>
  <c r="X34" i="26"/>
  <c r="AQ34" i="26"/>
  <c r="BM34" i="26"/>
  <c r="X41" i="26"/>
  <c r="AT41" i="26"/>
  <c r="BP41" i="26"/>
  <c r="G42" i="26"/>
  <c r="G45" i="26" s="1"/>
  <c r="AG42" i="26"/>
  <c r="BF42" i="26"/>
  <c r="CB42" i="26"/>
  <c r="J30" i="26"/>
  <c r="E34" i="26"/>
  <c r="Y34" i="26"/>
  <c r="AR34" i="26"/>
  <c r="BO34" i="26"/>
  <c r="Z41" i="26"/>
  <c r="AU41" i="26"/>
  <c r="BR41" i="26"/>
  <c r="H42" i="26"/>
  <c r="H45" i="26" s="1"/>
  <c r="AH42" i="26"/>
  <c r="BH42" i="26"/>
  <c r="CD42" i="26"/>
  <c r="R34" i="26"/>
  <c r="AF34" i="26"/>
  <c r="AT34" i="26"/>
  <c r="BH34" i="26"/>
  <c r="BV34" i="26"/>
  <c r="D38" i="27"/>
  <c r="F34" i="26"/>
  <c r="F36" i="26" s="1"/>
  <c r="T34" i="26"/>
  <c r="AH34" i="26"/>
  <c r="AV34" i="26"/>
  <c r="BJ34" i="26"/>
  <c r="BX34" i="26"/>
  <c r="H34" i="26"/>
  <c r="H36" i="26" s="1"/>
  <c r="V34" i="26"/>
  <c r="AJ34" i="26"/>
  <c r="AX34" i="26"/>
  <c r="BL34" i="26"/>
  <c r="AF30" i="27"/>
  <c r="CK41" i="27"/>
  <c r="BM41" i="27"/>
  <c r="AT41" i="27"/>
  <c r="CN33" i="27"/>
  <c r="BZ33" i="27"/>
  <c r="BL33" i="27"/>
  <c r="AX33" i="27"/>
  <c r="AJ33" i="27"/>
  <c r="CJ41" i="27"/>
  <c r="BL41" i="27"/>
  <c r="AS41" i="27"/>
  <c r="CM33" i="27"/>
  <c r="BY33" i="27"/>
  <c r="BK33" i="27"/>
  <c r="AW33" i="27"/>
  <c r="AI33" i="27"/>
  <c r="CI41" i="27"/>
  <c r="BK41" i="27"/>
  <c r="AR41" i="27"/>
  <c r="CL33" i="27"/>
  <c r="BX33" i="27"/>
  <c r="BJ33" i="27"/>
  <c r="AV33" i="27"/>
  <c r="AH33" i="27"/>
  <c r="CH41" i="27"/>
  <c r="BJ41" i="27"/>
  <c r="AL41" i="27"/>
  <c r="CK33" i="27"/>
  <c r="BW33" i="27"/>
  <c r="BI33" i="27"/>
  <c r="AU33" i="27"/>
  <c r="AG33" i="27"/>
  <c r="CB41" i="27"/>
  <c r="BI41" i="27"/>
  <c r="AK41" i="27"/>
  <c r="CJ33" i="27"/>
  <c r="BV33" i="27"/>
  <c r="BH33" i="27"/>
  <c r="AT33" i="27"/>
  <c r="CA41" i="27"/>
  <c r="BH41" i="27"/>
  <c r="AJ41" i="27"/>
  <c r="CI33" i="27"/>
  <c r="BU33" i="27"/>
  <c r="BG33" i="27"/>
  <c r="AS33" i="27"/>
  <c r="J84" i="28"/>
  <c r="CU41" i="27"/>
  <c r="CG41" i="27"/>
  <c r="BS41" i="27"/>
  <c r="BE41" i="27"/>
  <c r="AQ41" i="27"/>
  <c r="CT41" i="27"/>
  <c r="CF41" i="27"/>
  <c r="BR41" i="27"/>
  <c r="BD41" i="27"/>
  <c r="AP41" i="27"/>
  <c r="CS41" i="27"/>
  <c r="CE41" i="27"/>
  <c r="BQ41" i="27"/>
  <c r="BC41" i="27"/>
  <c r="AO41" i="27"/>
  <c r="CR41" i="27"/>
  <c r="CD41" i="27"/>
  <c r="BP41" i="27"/>
  <c r="BB41" i="27"/>
  <c r="AN41" i="27"/>
  <c r="CQ41" i="27"/>
  <c r="CC41" i="27"/>
  <c r="BO41" i="27"/>
  <c r="BA41" i="27"/>
  <c r="AM41" i="27"/>
  <c r="AK33" i="27"/>
  <c r="AY33" i="27"/>
  <c r="BM33" i="27"/>
  <c r="CA33" i="27"/>
  <c r="CO33" i="27"/>
  <c r="AU41" i="27"/>
  <c r="BN41" i="27"/>
  <c r="CL41" i="27"/>
  <c r="T5" i="28"/>
  <c r="X4" i="28"/>
  <c r="AL33" i="27"/>
  <c r="AZ33" i="27"/>
  <c r="BN33" i="27"/>
  <c r="CB33" i="27"/>
  <c r="CP33" i="27"/>
  <c r="AV41" i="27"/>
  <c r="BT41" i="27"/>
  <c r="CM41" i="27"/>
  <c r="AM33" i="27"/>
  <c r="BA33" i="27"/>
  <c r="BO33" i="27"/>
  <c r="CC33" i="27"/>
  <c r="CQ33" i="27"/>
  <c r="AD41" i="27"/>
  <c r="AW41" i="27"/>
  <c r="BU41" i="27"/>
  <c r="CN41" i="27"/>
  <c r="AN33" i="27"/>
  <c r="BB33" i="27"/>
  <c r="BP33" i="27"/>
  <c r="CD33" i="27"/>
  <c r="CR33" i="27"/>
  <c r="AE41" i="27"/>
  <c r="AX41" i="27"/>
  <c r="BV41" i="27"/>
  <c r="CO41" i="27"/>
  <c r="CV9" i="27"/>
  <c r="AO33" i="27"/>
  <c r="BC33" i="27"/>
  <c r="BQ33" i="27"/>
  <c r="CE33" i="27"/>
  <c r="CS33" i="27"/>
  <c r="AF41" i="27"/>
  <c r="AY41" i="27"/>
  <c r="BW41" i="27"/>
  <c r="CP41" i="27"/>
  <c r="AD30" i="27"/>
  <c r="AP33" i="27"/>
  <c r="BD33" i="27"/>
  <c r="BR33" i="27"/>
  <c r="CF33" i="27"/>
  <c r="CT33" i="27"/>
  <c r="AG41" i="27"/>
  <c r="AZ41" i="27"/>
  <c r="BX41" i="27"/>
  <c r="AQ33" i="27"/>
  <c r="BE33" i="27"/>
  <c r="BS33" i="27"/>
  <c r="CG33" i="27"/>
  <c r="CU33" i="27"/>
  <c r="AH41" i="27"/>
  <c r="BF41" i="27"/>
  <c r="BY41" i="27"/>
  <c r="V5" i="28"/>
  <c r="W5" i="28" s="1"/>
  <c r="AR33" i="27"/>
  <c r="BF33" i="27"/>
  <c r="BT33" i="27"/>
  <c r="AI41" i="27"/>
  <c r="BG41" i="27"/>
  <c r="BZ41" i="27"/>
  <c r="S182" i="28"/>
  <c r="S84" i="28"/>
  <c r="K5" i="28"/>
  <c r="M6" i="28" s="1"/>
  <c r="J182" i="28"/>
  <c r="O88" i="28"/>
  <c r="K89" i="28"/>
  <c r="E184" i="28"/>
  <c r="BJ42" i="27" l="1"/>
  <c r="BJ45" i="27" s="1"/>
  <c r="R42" i="27"/>
  <c r="R45" i="27" s="1"/>
  <c r="CI42" i="27"/>
  <c r="CI45" i="27" s="1"/>
  <c r="F42" i="27"/>
  <c r="F45" i="27" s="1"/>
  <c r="L42" i="27"/>
  <c r="L45" i="27" s="1"/>
  <c r="BK34" i="27"/>
  <c r="BK36" i="27" s="1"/>
  <c r="CL42" i="27"/>
  <c r="CL45" i="27" s="1"/>
  <c r="Z42" i="27"/>
  <c r="Z45" i="27" s="1"/>
  <c r="AF42" i="27"/>
  <c r="AF45" i="27" s="1"/>
  <c r="BN42" i="27"/>
  <c r="BN45" i="27" s="1"/>
  <c r="BO42" i="27"/>
  <c r="BO45" i="27" s="1"/>
  <c r="BP42" i="27"/>
  <c r="BP45" i="27" s="1"/>
  <c r="AU34" i="27"/>
  <c r="AU36" i="27" s="1"/>
  <c r="BS42" i="27"/>
  <c r="BS45" i="27" s="1"/>
  <c r="T42" i="27"/>
  <c r="T45" i="27" s="1"/>
  <c r="S34" i="27"/>
  <c r="S36" i="27" s="1"/>
  <c r="BC34" i="27"/>
  <c r="BC36" i="27" s="1"/>
  <c r="CH42" i="27"/>
  <c r="CH45" i="27" s="1"/>
  <c r="AL34" i="27"/>
  <c r="AL36" i="27" s="1"/>
  <c r="V34" i="27"/>
  <c r="V36" i="27" s="1"/>
  <c r="AG34" i="27"/>
  <c r="AG36" i="27" s="1"/>
  <c r="AR42" i="27"/>
  <c r="AR45" i="27" s="1"/>
  <c r="BU42" i="27"/>
  <c r="BU45" i="27" s="1"/>
  <c r="BY42" i="27"/>
  <c r="BY45" i="27" s="1"/>
  <c r="BD34" i="27"/>
  <c r="BD36" i="27" s="1"/>
  <c r="Y34" i="27"/>
  <c r="Y36" i="27" s="1"/>
  <c r="U34" i="27"/>
  <c r="U36" i="27" s="1"/>
  <c r="W90" i="28"/>
  <c r="AR45" i="26"/>
  <c r="BW34" i="27"/>
  <c r="BW36" i="27" s="1"/>
  <c r="BZ34" i="27"/>
  <c r="BZ36" i="27" s="1"/>
  <c r="CJ34" i="27"/>
  <c r="CJ36" i="27" s="1"/>
  <c r="BH34" i="27"/>
  <c r="BH36" i="27" s="1"/>
  <c r="T34" i="27"/>
  <c r="T36" i="27" s="1"/>
  <c r="BF34" i="27"/>
  <c r="BF36" i="27" s="1"/>
  <c r="R34" i="27"/>
  <c r="R36" i="27" s="1"/>
  <c r="BE34" i="27"/>
  <c r="BE36" i="27" s="1"/>
  <c r="N42" i="27"/>
  <c r="N45" i="27" s="1"/>
  <c r="CR34" i="27"/>
  <c r="CR36" i="27" s="1"/>
  <c r="CP34" i="27"/>
  <c r="CP36" i="27" s="1"/>
  <c r="AE34" i="27"/>
  <c r="AE36" i="27" s="1"/>
  <c r="BY34" i="27"/>
  <c r="BY36" i="27" s="1"/>
  <c r="AG42" i="27"/>
  <c r="AG45" i="27" s="1"/>
  <c r="AY42" i="27"/>
  <c r="AY45" i="27" s="1"/>
  <c r="CI34" i="27"/>
  <c r="CI36" i="27" s="1"/>
  <c r="BC42" i="27"/>
  <c r="BC45" i="27" s="1"/>
  <c r="BT34" i="27"/>
  <c r="BT36" i="27" s="1"/>
  <c r="BQ42" i="27"/>
  <c r="BQ45" i="27" s="1"/>
  <c r="O34" i="27"/>
  <c r="O36" i="27" s="1"/>
  <c r="AB42" i="27"/>
  <c r="AB45" i="27" s="1"/>
  <c r="CT34" i="27"/>
  <c r="CT36" i="27" s="1"/>
  <c r="W34" i="27"/>
  <c r="W36" i="27" s="1"/>
  <c r="CA34" i="27"/>
  <c r="CA36" i="27" s="1"/>
  <c r="Q34" i="27"/>
  <c r="Q36" i="27" s="1"/>
  <c r="BM42" i="27"/>
  <c r="BM45" i="27" s="1"/>
  <c r="S42" i="27"/>
  <c r="S45" i="27" s="1"/>
  <c r="J42" i="27"/>
  <c r="J45" i="27" s="1"/>
  <c r="BR42" i="27"/>
  <c r="BR45" i="27" s="1"/>
  <c r="CF34" i="27"/>
  <c r="CF36" i="27" s="1"/>
  <c r="CE34" i="27"/>
  <c r="CE36" i="27" s="1"/>
  <c r="CS34" i="27"/>
  <c r="CS36" i="27" s="1"/>
  <c r="I34" i="27"/>
  <c r="I36" i="27" s="1"/>
  <c r="BL34" i="27"/>
  <c r="BL36" i="27" s="1"/>
  <c r="BO34" i="27"/>
  <c r="BO36" i="27" s="1"/>
  <c r="T45" i="26"/>
  <c r="AP34" i="27"/>
  <c r="AP36" i="27" s="1"/>
  <c r="AO42" i="27"/>
  <c r="AO45" i="27" s="1"/>
  <c r="CV10" i="27"/>
  <c r="X42" i="27"/>
  <c r="X45" i="27" s="1"/>
  <c r="BE42" i="27"/>
  <c r="BE45" i="27" s="1"/>
  <c r="L34" i="27"/>
  <c r="L36" i="27" s="1"/>
  <c r="BP34" i="27"/>
  <c r="BP36" i="27" s="1"/>
  <c r="CD34" i="27"/>
  <c r="CD36" i="27" s="1"/>
  <c r="AJ34" i="27"/>
  <c r="AJ36" i="27" s="1"/>
  <c r="AI45" i="26"/>
  <c r="D30" i="27"/>
  <c r="D31" i="27" s="1"/>
  <c r="BH42" i="27"/>
  <c r="BH45" i="27" s="1"/>
  <c r="AM42" i="27"/>
  <c r="AM45" i="27" s="1"/>
  <c r="CG42" i="27"/>
  <c r="CG45" i="27" s="1"/>
  <c r="K34" i="27"/>
  <c r="K36" i="27" s="1"/>
  <c r="AH42" i="27"/>
  <c r="AH45" i="27" s="1"/>
  <c r="G42" i="27"/>
  <c r="G45" i="27" s="1"/>
  <c r="BX42" i="27"/>
  <c r="BX45" i="27" s="1"/>
  <c r="BA42" i="27"/>
  <c r="BA45" i="27" s="1"/>
  <c r="AD42" i="27"/>
  <c r="AD45" i="27" s="1"/>
  <c r="CN34" i="27"/>
  <c r="CN36" i="27" s="1"/>
  <c r="I42" i="27"/>
  <c r="I45" i="27" s="1"/>
  <c r="CB42" i="27"/>
  <c r="CB45" i="27" s="1"/>
  <c r="Q42" i="27"/>
  <c r="Q45" i="27" s="1"/>
  <c r="CB34" i="27"/>
  <c r="CB36" i="27" s="1"/>
  <c r="G34" i="27"/>
  <c r="G36" i="27" s="1"/>
  <c r="CM42" i="27"/>
  <c r="CM45" i="27" s="1"/>
  <c r="AE42" i="27"/>
  <c r="AE45" i="27" s="1"/>
  <c r="O42" i="27"/>
  <c r="O45" i="27" s="1"/>
  <c r="CM34" i="27"/>
  <c r="CM36" i="27" s="1"/>
  <c r="BV34" i="27"/>
  <c r="BV36" i="27" s="1"/>
  <c r="BK42" i="27"/>
  <c r="BK45" i="27" s="1"/>
  <c r="E42" i="27"/>
  <c r="E45" i="27" s="1"/>
  <c r="AO34" i="27"/>
  <c r="AO36" i="27" s="1"/>
  <c r="CD42" i="27"/>
  <c r="CD45" i="27" s="1"/>
  <c r="CF42" i="27"/>
  <c r="CF45" i="27" s="1"/>
  <c r="BQ34" i="27"/>
  <c r="BQ36" i="27" s="1"/>
  <c r="X34" i="27"/>
  <c r="X36" i="27" s="1"/>
  <c r="AU42" i="27"/>
  <c r="AU45" i="27" s="1"/>
  <c r="AA34" i="27"/>
  <c r="AA36" i="27" s="1"/>
  <c r="J34" i="27"/>
  <c r="J36" i="27" s="1"/>
  <c r="BI42" i="27"/>
  <c r="BI45" i="27" s="1"/>
  <c r="M34" i="27"/>
  <c r="M36" i="27" s="1"/>
  <c r="M42" i="27"/>
  <c r="M45" i="27" s="1"/>
  <c r="AS42" i="27"/>
  <c r="AS45" i="27" s="1"/>
  <c r="CA42" i="27"/>
  <c r="CA45" i="27" s="1"/>
  <c r="AY34" i="27"/>
  <c r="AY36" i="27" s="1"/>
  <c r="BX34" i="27"/>
  <c r="BX36" i="27" s="1"/>
  <c r="BG34" i="27"/>
  <c r="BG36" i="27" s="1"/>
  <c r="AV34" i="27"/>
  <c r="AV36" i="27" s="1"/>
  <c r="AD34" i="27"/>
  <c r="AD36" i="27" s="1"/>
  <c r="D42" i="27"/>
  <c r="D45" i="27" s="1"/>
  <c r="D48" i="27" s="1"/>
  <c r="CK34" i="27"/>
  <c r="CK36" i="27" s="1"/>
  <c r="CP42" i="27"/>
  <c r="CP45" i="27" s="1"/>
  <c r="CR42" i="27"/>
  <c r="CR45" i="27" s="1"/>
  <c r="CT42" i="27"/>
  <c r="CT45" i="27" s="1"/>
  <c r="BB34" i="27"/>
  <c r="BB36" i="27" s="1"/>
  <c r="BM34" i="27"/>
  <c r="BM36" i="27" s="1"/>
  <c r="K42" i="27"/>
  <c r="K45" i="27" s="1"/>
  <c r="AC42" i="27"/>
  <c r="AC45" i="27" s="1"/>
  <c r="AN34" i="27"/>
  <c r="AN36" i="27" s="1"/>
  <c r="W42" i="27"/>
  <c r="W45" i="27" s="1"/>
  <c r="Y42" i="27"/>
  <c r="Y45" i="27" s="1"/>
  <c r="AA42" i="27"/>
  <c r="AA45" i="27" s="1"/>
  <c r="AQ42" i="27"/>
  <c r="AQ45" i="27" s="1"/>
  <c r="BG42" i="27"/>
  <c r="BG45" i="27" s="1"/>
  <c r="Z34" i="27"/>
  <c r="Z36" i="27" s="1"/>
  <c r="AW42" i="27"/>
  <c r="AW45" i="27" s="1"/>
  <c r="AK34" i="27"/>
  <c r="AK36" i="27" s="1"/>
  <c r="BI34" i="27"/>
  <c r="BI36" i="27" s="1"/>
  <c r="AS34" i="27"/>
  <c r="AS36" i="27" s="1"/>
  <c r="BV42" i="27"/>
  <c r="BV45" i="27" s="1"/>
  <c r="AK42" i="27"/>
  <c r="AK45" i="27" s="1"/>
  <c r="F34" i="27"/>
  <c r="F36" i="27" s="1"/>
  <c r="AJ42" i="27"/>
  <c r="AJ45" i="27" s="1"/>
  <c r="BU34" i="27"/>
  <c r="BU36" i="27" s="1"/>
  <c r="AQ34" i="27"/>
  <c r="AQ36" i="27" s="1"/>
  <c r="CH34" i="27"/>
  <c r="CH36" i="27" s="1"/>
  <c r="V42" i="27"/>
  <c r="V45" i="27" s="1"/>
  <c r="CC42" i="27"/>
  <c r="CC45" i="27" s="1"/>
  <c r="CE42" i="27"/>
  <c r="CE45" i="27" s="1"/>
  <c r="CU42" i="27"/>
  <c r="CU45" i="27" s="1"/>
  <c r="U42" i="27"/>
  <c r="U45" i="27" s="1"/>
  <c r="BA34" i="27"/>
  <c r="BA36" i="27" s="1"/>
  <c r="BZ42" i="27"/>
  <c r="BZ45" i="27" s="1"/>
  <c r="E34" i="27"/>
  <c r="E36" i="27" s="1"/>
  <c r="E38" i="27" s="1"/>
  <c r="CC34" i="27"/>
  <c r="CC36" i="27" s="1"/>
  <c r="AC34" i="27"/>
  <c r="AC36" i="27" s="1"/>
  <c r="BS34" i="27"/>
  <c r="BS36" i="27" s="1"/>
  <c r="CQ42" i="27"/>
  <c r="CQ45" i="27" s="1"/>
  <c r="CS42" i="27"/>
  <c r="CS45" i="27" s="1"/>
  <c r="P42" i="27"/>
  <c r="P45" i="27" s="1"/>
  <c r="AM34" i="27"/>
  <c r="AM36" i="27" s="1"/>
  <c r="AV42" i="27"/>
  <c r="AV45" i="27" s="1"/>
  <c r="AX34" i="27"/>
  <c r="AX36" i="27" s="1"/>
  <c r="CL34" i="27"/>
  <c r="CL36" i="27" s="1"/>
  <c r="CQ34" i="27"/>
  <c r="CQ36" i="27" s="1"/>
  <c r="AI34" i="27"/>
  <c r="AI36" i="27" s="1"/>
  <c r="AB34" i="27"/>
  <c r="AB36" i="27" s="1"/>
  <c r="CG34" i="27"/>
  <c r="CG36" i="27" s="1"/>
  <c r="AL42" i="27"/>
  <c r="AL45" i="27" s="1"/>
  <c r="AN42" i="27"/>
  <c r="AN45" i="27" s="1"/>
  <c r="AP42" i="27"/>
  <c r="AP45" i="27" s="1"/>
  <c r="BF42" i="27"/>
  <c r="BF45" i="27" s="1"/>
  <c r="CJ42" i="27"/>
  <c r="CJ45" i="27" s="1"/>
  <c r="BN34" i="27"/>
  <c r="BN36" i="27" s="1"/>
  <c r="H34" i="27"/>
  <c r="H36" i="27" s="1"/>
  <c r="AT34" i="27"/>
  <c r="AT36" i="27" s="1"/>
  <c r="P34" i="27"/>
  <c r="P36" i="27" s="1"/>
  <c r="CN42" i="27"/>
  <c r="CN45" i="27" s="1"/>
  <c r="N34" i="27"/>
  <c r="N36" i="27" s="1"/>
  <c r="BR34" i="27"/>
  <c r="BR36" i="27" s="1"/>
  <c r="AZ42" i="27"/>
  <c r="AZ45" i="27" s="1"/>
  <c r="BB42" i="27"/>
  <c r="BB45" i="27" s="1"/>
  <c r="BD42" i="27"/>
  <c r="BD45" i="27" s="1"/>
  <c r="BT42" i="27"/>
  <c r="BT45" i="27" s="1"/>
  <c r="CU34" i="27"/>
  <c r="CU36" i="27" s="1"/>
  <c r="AX42" i="27"/>
  <c r="AX45" i="27" s="1"/>
  <c r="AZ34" i="27"/>
  <c r="AZ36" i="27" s="1"/>
  <c r="AF34" i="27"/>
  <c r="AF36" i="27" s="1"/>
  <c r="AH34" i="27"/>
  <c r="AH36" i="27" s="1"/>
  <c r="BK33" i="26"/>
  <c r="BK36" i="26" s="1"/>
  <c r="BL42" i="27"/>
  <c r="BL45" i="27" s="1"/>
  <c r="BJ34" i="27"/>
  <c r="BJ36" i="27" s="1"/>
  <c r="X89" i="28"/>
  <c r="AT45" i="26"/>
  <c r="AQ33" i="26"/>
  <c r="AQ36" i="26" s="1"/>
  <c r="BX45" i="26"/>
  <c r="CB33" i="26"/>
  <c r="CB36" i="26" s="1"/>
  <c r="AG33" i="26"/>
  <c r="AG36" i="26" s="1"/>
  <c r="BE33" i="26"/>
  <c r="BE36" i="26" s="1"/>
  <c r="AT42" i="27"/>
  <c r="AT45" i="27" s="1"/>
  <c r="AI42" i="27"/>
  <c r="AI45" i="27" s="1"/>
  <c r="CO42" i="27"/>
  <c r="CO45" i="27" s="1"/>
  <c r="BJ45" i="26"/>
  <c r="AR34" i="27"/>
  <c r="AR36" i="27" s="1"/>
  <c r="CO34" i="27"/>
  <c r="CO36" i="27" s="1"/>
  <c r="AL45" i="26"/>
  <c r="BP45" i="26"/>
  <c r="N6" i="28"/>
  <c r="AY33" i="26"/>
  <c r="AY36" i="26" s="1"/>
  <c r="BI45" i="26"/>
  <c r="BK45" i="26"/>
  <c r="AB33" i="26"/>
  <c r="AB36" i="26" s="1"/>
  <c r="BG45" i="26"/>
  <c r="BJ33" i="26"/>
  <c r="BJ36" i="26" s="1"/>
  <c r="BZ33" i="26"/>
  <c r="BZ36" i="26" s="1"/>
  <c r="CK42" i="27"/>
  <c r="CK45" i="27" s="1"/>
  <c r="BW42" i="27"/>
  <c r="BW45" i="27" s="1"/>
  <c r="U33" i="26"/>
  <c r="U36" i="26" s="1"/>
  <c r="BQ33" i="26"/>
  <c r="BQ36" i="26" s="1"/>
  <c r="AW34" i="27"/>
  <c r="AU33" i="26"/>
  <c r="AU36" i="26" s="1"/>
  <c r="BF33" i="26"/>
  <c r="BF36" i="26" s="1"/>
  <c r="BN45" i="26"/>
  <c r="CA33" i="26"/>
  <c r="CA36" i="26" s="1"/>
  <c r="BI33" i="26"/>
  <c r="BI36" i="26" s="1"/>
  <c r="Z33" i="26"/>
  <c r="Z36" i="26" s="1"/>
  <c r="Y33" i="26"/>
  <c r="Y36" i="26" s="1"/>
  <c r="V33" i="26"/>
  <c r="V36" i="26" s="1"/>
  <c r="K33" i="26"/>
  <c r="K36" i="26" s="1"/>
  <c r="AR33" i="26"/>
  <c r="AR36" i="26" s="1"/>
  <c r="O33" i="26"/>
  <c r="O36" i="26" s="1"/>
  <c r="BW33" i="26"/>
  <c r="BW36" i="26" s="1"/>
  <c r="BM33" i="26"/>
  <c r="BM36" i="26" s="1"/>
  <c r="AP33" i="26"/>
  <c r="AP36" i="26" s="1"/>
  <c r="AC33" i="26"/>
  <c r="AC36" i="26" s="1"/>
  <c r="BD33" i="26"/>
  <c r="BD36" i="26" s="1"/>
  <c r="CC33" i="26"/>
  <c r="CC36" i="26" s="1"/>
  <c r="Q33" i="26"/>
  <c r="Q36" i="26" s="1"/>
  <c r="W33" i="26"/>
  <c r="W36" i="26" s="1"/>
  <c r="T33" i="26"/>
  <c r="T36" i="26" s="1"/>
  <c r="AE33" i="26"/>
  <c r="AE36" i="26" s="1"/>
  <c r="BL45" i="26"/>
  <c r="S45" i="26"/>
  <c r="AM33" i="26"/>
  <c r="AM36" i="26" s="1"/>
  <c r="BL36" i="26"/>
  <c r="BP33" i="26"/>
  <c r="BP36" i="26" s="1"/>
  <c r="AS33" i="26"/>
  <c r="AS36" i="26" s="1"/>
  <c r="BY33" i="26"/>
  <c r="BY36" i="26" s="1"/>
  <c r="BQ45" i="26"/>
  <c r="AF33" i="26"/>
  <c r="AF36" i="26" s="1"/>
  <c r="BH33" i="26"/>
  <c r="BH36" i="26" s="1"/>
  <c r="AH33" i="26"/>
  <c r="AH36" i="26" s="1"/>
  <c r="AW33" i="26"/>
  <c r="AW36" i="26" s="1"/>
  <c r="BN33" i="26"/>
  <c r="BN36" i="26" s="1"/>
  <c r="BG33" i="26"/>
  <c r="BG36" i="26" s="1"/>
  <c r="AL33" i="26"/>
  <c r="AL36" i="26" s="1"/>
  <c r="BV33" i="26"/>
  <c r="BV36" i="26" s="1"/>
  <c r="AI33" i="26"/>
  <c r="AI36" i="26" s="1"/>
  <c r="T90" i="28"/>
  <c r="V91" i="28" s="1"/>
  <c r="AD33" i="26"/>
  <c r="AD36" i="26" s="1"/>
  <c r="BO33" i="26"/>
  <c r="BO36" i="26" s="1"/>
  <c r="AT33" i="26"/>
  <c r="AT36" i="26" s="1"/>
  <c r="BU33" i="26"/>
  <c r="BU36" i="26" s="1"/>
  <c r="BB33" i="26"/>
  <c r="BB36" i="26" s="1"/>
  <c r="BS33" i="26"/>
  <c r="BS36" i="26" s="1"/>
  <c r="L33" i="26"/>
  <c r="L36" i="26" s="1"/>
  <c r="AV33" i="26"/>
  <c r="AV36" i="26" s="1"/>
  <c r="AA33" i="26"/>
  <c r="AA36" i="26" s="1"/>
  <c r="S33" i="26"/>
  <c r="S36" i="26" s="1"/>
  <c r="CD33" i="26"/>
  <c r="CD36" i="26" s="1"/>
  <c r="AN33" i="26"/>
  <c r="AN36" i="26" s="1"/>
  <c r="BX33" i="26"/>
  <c r="BX36" i="26" s="1"/>
  <c r="BU45" i="26"/>
  <c r="M45" i="26"/>
  <c r="P45" i="26"/>
  <c r="AK33" i="26"/>
  <c r="AK36" i="26" s="1"/>
  <c r="AJ33" i="26"/>
  <c r="AJ36" i="26" s="1"/>
  <c r="AA45" i="26"/>
  <c r="R33" i="26"/>
  <c r="R36" i="26" s="1"/>
  <c r="BT33" i="26"/>
  <c r="BT36" i="26" s="1"/>
  <c r="W45" i="26"/>
  <c r="AO45" i="26"/>
  <c r="BR33" i="26"/>
  <c r="BR36" i="26" s="1"/>
  <c r="CB45" i="26"/>
  <c r="BA33" i="26"/>
  <c r="BA36" i="26" s="1"/>
  <c r="AK45" i="26"/>
  <c r="BC45" i="26"/>
  <c r="AZ33" i="26"/>
  <c r="AZ36" i="26" s="1"/>
  <c r="AS45" i="26"/>
  <c r="AJ45" i="26"/>
  <c r="L45" i="26"/>
  <c r="X45" i="26"/>
  <c r="V45" i="26"/>
  <c r="BD45" i="26"/>
  <c r="AG45" i="26"/>
  <c r="AO33" i="26"/>
  <c r="AO36" i="26" s="1"/>
  <c r="M33" i="26"/>
  <c r="M36" i="26" s="1"/>
  <c r="P33" i="26"/>
  <c r="P36" i="26" s="1"/>
  <c r="AV45" i="26"/>
  <c r="N33" i="26"/>
  <c r="N36" i="26" s="1"/>
  <c r="AP45" i="26"/>
  <c r="BC33" i="26"/>
  <c r="BC36" i="26" s="1"/>
  <c r="X33" i="26"/>
  <c r="X36" i="26" s="1"/>
  <c r="AX33" i="26"/>
  <c r="AX36" i="26" s="1"/>
  <c r="AF45" i="26"/>
  <c r="AC45" i="26"/>
  <c r="BY45" i="26"/>
  <c r="D45" i="26"/>
  <c r="CE42" i="26"/>
  <c r="E36" i="26"/>
  <c r="CE34" i="26"/>
  <c r="CV33" i="27"/>
  <c r="AB45" i="26"/>
  <c r="D31" i="26"/>
  <c r="CE30" i="26"/>
  <c r="J184" i="28"/>
  <c r="BM45" i="26"/>
  <c r="S184" i="28"/>
  <c r="BB45" i="26"/>
  <c r="O45" i="26"/>
  <c r="CA45" i="26"/>
  <c r="CV41" i="27"/>
  <c r="AY45" i="26"/>
  <c r="K45" i="26"/>
  <c r="BT45" i="26"/>
  <c r="BH45" i="26"/>
  <c r="CE41" i="26"/>
  <c r="J45" i="26"/>
  <c r="AQ45" i="26"/>
  <c r="Y45" i="26"/>
  <c r="Q45" i="26"/>
  <c r="BF45" i="26"/>
  <c r="BV45" i="26"/>
  <c r="BE45" i="26"/>
  <c r="AM45" i="26"/>
  <c r="O5" i="28"/>
  <c r="K6" i="28"/>
  <c r="D57" i="27"/>
  <c r="V6" i="28"/>
  <c r="W6" i="28" s="1"/>
  <c r="T6" i="28"/>
  <c r="X5" i="28"/>
  <c r="AN45" i="26"/>
  <c r="N45" i="26"/>
  <c r="AZ45" i="26"/>
  <c r="BS45" i="26"/>
  <c r="BA45" i="26"/>
  <c r="AX45" i="26"/>
  <c r="K90" i="28"/>
  <c r="M90" i="28"/>
  <c r="N90" i="28" s="1"/>
  <c r="O89" i="28"/>
  <c r="BR45" i="26"/>
  <c r="R45" i="26"/>
  <c r="AE45" i="26"/>
  <c r="U45" i="26"/>
  <c r="BO45" i="26"/>
  <c r="AD45" i="26"/>
  <c r="AU45" i="26"/>
  <c r="CC45" i="26"/>
  <c r="Z45" i="26"/>
  <c r="BZ45" i="26"/>
  <c r="AH45" i="26"/>
  <c r="AW45" i="26"/>
  <c r="CD45" i="26"/>
  <c r="CV30" i="27" l="1"/>
  <c r="W91" i="28"/>
  <c r="X90" i="28"/>
  <c r="CV42" i="27"/>
  <c r="T91" i="28"/>
  <c r="T92" i="28" s="1"/>
  <c r="CV34" i="27"/>
  <c r="AW36" i="27"/>
  <c r="CV36" i="27" s="1"/>
  <c r="CE33" i="26"/>
  <c r="O6" i="28"/>
  <c r="K7" i="28"/>
  <c r="M7" i="28"/>
  <c r="N7" i="28" s="1"/>
  <c r="M91" i="28"/>
  <c r="N91" i="28" s="1"/>
  <c r="K91" i="28"/>
  <c r="O90" i="28"/>
  <c r="CV45" i="27"/>
  <c r="E48" i="27"/>
  <c r="D58" i="27"/>
  <c r="D61" i="27" s="1"/>
  <c r="E38" i="26"/>
  <c r="CE36" i="26"/>
  <c r="CE45" i="26"/>
  <c r="D48" i="26"/>
  <c r="D65" i="26" s="1"/>
  <c r="T7" i="28"/>
  <c r="X6" i="28"/>
  <c r="V7" i="28"/>
  <c r="W7" i="28" s="1"/>
  <c r="D65" i="27"/>
  <c r="D64" i="27"/>
  <c r="E31" i="27"/>
  <c r="E31" i="26"/>
  <c r="D64" i="26"/>
  <c r="E57" i="27"/>
  <c r="F38" i="27"/>
  <c r="X91" i="28" l="1"/>
  <c r="V92" i="28"/>
  <c r="W92" i="28" s="1"/>
  <c r="X92" i="28" s="1"/>
  <c r="D66" i="27"/>
  <c r="D67" i="27" s="1"/>
  <c r="D66" i="26"/>
  <c r="F57" i="27"/>
  <c r="G38" i="27"/>
  <c r="T93" i="28"/>
  <c r="V93" i="28"/>
  <c r="E65" i="27"/>
  <c r="E64" i="27"/>
  <c r="F31" i="27"/>
  <c r="E64" i="26"/>
  <c r="F31" i="26"/>
  <c r="E58" i="27"/>
  <c r="E61" i="27" s="1"/>
  <c r="E69" i="27" s="1"/>
  <c r="F48" i="27"/>
  <c r="D69" i="27"/>
  <c r="D58" i="26"/>
  <c r="D61" i="26" s="1"/>
  <c r="E48" i="26"/>
  <c r="E65" i="26" s="1"/>
  <c r="M8" i="28"/>
  <c r="N8" i="28" s="1"/>
  <c r="K8" i="28"/>
  <c r="O7" i="28"/>
  <c r="V8" i="28"/>
  <c r="W8" i="28" s="1"/>
  <c r="X7" i="28"/>
  <c r="T8" i="28"/>
  <c r="E57" i="26"/>
  <c r="F38" i="26"/>
  <c r="K92" i="28"/>
  <c r="O91" i="28"/>
  <c r="M92" i="28"/>
  <c r="N92" i="28" s="1"/>
  <c r="W93" i="28" l="1"/>
  <c r="X93" i="28" s="1"/>
  <c r="E66" i="26"/>
  <c r="G38" i="26"/>
  <c r="F57" i="26"/>
  <c r="T9" i="28"/>
  <c r="X8" i="28"/>
  <c r="V9" i="28"/>
  <c r="W9" i="28" s="1"/>
  <c r="E66" i="27"/>
  <c r="E67" i="27" s="1"/>
  <c r="D67" i="26"/>
  <c r="D69" i="26"/>
  <c r="V94" i="28"/>
  <c r="T94" i="28"/>
  <c r="O8" i="28"/>
  <c r="K9" i="28"/>
  <c r="M9" i="28"/>
  <c r="N9" i="28" s="1"/>
  <c r="E58" i="26"/>
  <c r="E61" i="26" s="1"/>
  <c r="F48" i="26"/>
  <c r="F58" i="27"/>
  <c r="F61" i="27" s="1"/>
  <c r="G48" i="27"/>
  <c r="F64" i="27"/>
  <c r="F65" i="27"/>
  <c r="G31" i="27"/>
  <c r="G57" i="27"/>
  <c r="H38" i="27"/>
  <c r="O92" i="28"/>
  <c r="K93" i="28"/>
  <c r="M93" i="28"/>
  <c r="N93" i="28" s="1"/>
  <c r="F64" i="26"/>
  <c r="G31" i="26"/>
  <c r="W94" i="28" l="1"/>
  <c r="X94" i="28" s="1"/>
  <c r="F66" i="27"/>
  <c r="F67" i="27" s="1"/>
  <c r="O93" i="28"/>
  <c r="M94" i="28"/>
  <c r="N94" i="28" s="1"/>
  <c r="K94" i="28"/>
  <c r="K10" i="28"/>
  <c r="O9" i="28"/>
  <c r="M10" i="28"/>
  <c r="N10" i="28" s="1"/>
  <c r="H57" i="27"/>
  <c r="I38" i="27"/>
  <c r="G64" i="27"/>
  <c r="G65" i="27"/>
  <c r="H31" i="27"/>
  <c r="F69" i="27"/>
  <c r="G64" i="26"/>
  <c r="H31" i="26"/>
  <c r="G58" i="27"/>
  <c r="G61" i="27" s="1"/>
  <c r="G69" i="27" s="1"/>
  <c r="H48" i="27"/>
  <c r="V10" i="28"/>
  <c r="W10" i="28" s="1"/>
  <c r="T10" i="28"/>
  <c r="X9" i="28"/>
  <c r="T95" i="28"/>
  <c r="V95" i="28"/>
  <c r="F58" i="26"/>
  <c r="F61" i="26" s="1"/>
  <c r="G48" i="26"/>
  <c r="G65" i="26" s="1"/>
  <c r="F65" i="26"/>
  <c r="F66" i="26" s="1"/>
  <c r="E67" i="26"/>
  <c r="E69" i="26"/>
  <c r="G57" i="26"/>
  <c r="H38" i="26"/>
  <c r="W95" i="28" l="1"/>
  <c r="X95" i="28" s="1"/>
  <c r="G66" i="27"/>
  <c r="G67" i="27" s="1"/>
  <c r="G66" i="26"/>
  <c r="I57" i="27"/>
  <c r="J38" i="27"/>
  <c r="F67" i="26"/>
  <c r="F69" i="26"/>
  <c r="G58" i="26"/>
  <c r="G61" i="26" s="1"/>
  <c r="H48" i="26"/>
  <c r="H65" i="26" s="1"/>
  <c r="H65" i="27"/>
  <c r="H64" i="27"/>
  <c r="I31" i="27"/>
  <c r="X10" i="28"/>
  <c r="T11" i="28"/>
  <c r="V11" i="28"/>
  <c r="W11" i="28" s="1"/>
  <c r="O10" i="28"/>
  <c r="K11" i="28"/>
  <c r="M11" i="28"/>
  <c r="N11" i="28" s="1"/>
  <c r="T96" i="28"/>
  <c r="V96" i="28"/>
  <c r="I48" i="27"/>
  <c r="H58" i="27"/>
  <c r="H61" i="27" s="1"/>
  <c r="H69" i="27" s="1"/>
  <c r="I38" i="26"/>
  <c r="H57" i="26"/>
  <c r="H64" i="26"/>
  <c r="I31" i="26"/>
  <c r="O94" i="28"/>
  <c r="K95" i="28"/>
  <c r="M95" i="28"/>
  <c r="N95" i="28" s="1"/>
  <c r="W96" i="28" l="1"/>
  <c r="X96" i="28" s="1"/>
  <c r="H66" i="27"/>
  <c r="H67" i="27" s="1"/>
  <c r="I58" i="27"/>
  <c r="I61" i="27" s="1"/>
  <c r="I69" i="27" s="1"/>
  <c r="J48" i="27"/>
  <c r="V97" i="28"/>
  <c r="T97" i="28"/>
  <c r="G67" i="26"/>
  <c r="G69" i="26"/>
  <c r="H58" i="26"/>
  <c r="H61" i="26" s="1"/>
  <c r="I48" i="26"/>
  <c r="I65" i="26" s="1"/>
  <c r="H66" i="26"/>
  <c r="J38" i="26"/>
  <c r="I57" i="26"/>
  <c r="I65" i="27"/>
  <c r="I64" i="27"/>
  <c r="J31" i="27"/>
  <c r="O95" i="28"/>
  <c r="M96" i="28"/>
  <c r="N96" i="28" s="1"/>
  <c r="K96" i="28"/>
  <c r="O11" i="28"/>
  <c r="M12" i="28"/>
  <c r="N12" i="28" s="1"/>
  <c r="K12" i="28"/>
  <c r="K38" i="27"/>
  <c r="J57" i="27"/>
  <c r="I64" i="26"/>
  <c r="J31" i="26"/>
  <c r="T12" i="28"/>
  <c r="X11" i="28"/>
  <c r="V12" i="28"/>
  <c r="W12" i="28" s="1"/>
  <c r="W97" i="28" l="1"/>
  <c r="X97" i="28" s="1"/>
  <c r="I66" i="26"/>
  <c r="I66" i="27"/>
  <c r="I67" i="27" s="1"/>
  <c r="O12" i="28"/>
  <c r="K13" i="28"/>
  <c r="M13" i="28"/>
  <c r="N13" i="28" s="1"/>
  <c r="K97" i="28"/>
  <c r="O96" i="28"/>
  <c r="M97" i="28"/>
  <c r="N97" i="28" s="1"/>
  <c r="T98" i="28"/>
  <c r="V98" i="28"/>
  <c r="K38" i="26"/>
  <c r="J57" i="26"/>
  <c r="L38" i="27"/>
  <c r="K57" i="27"/>
  <c r="J64" i="26"/>
  <c r="K31" i="26"/>
  <c r="J58" i="27"/>
  <c r="J61" i="27" s="1"/>
  <c r="J69" i="27" s="1"/>
  <c r="K48" i="27"/>
  <c r="I58" i="26"/>
  <c r="I61" i="26" s="1"/>
  <c r="J48" i="26"/>
  <c r="J64" i="27"/>
  <c r="J65" i="27"/>
  <c r="K31" i="27"/>
  <c r="T13" i="28"/>
  <c r="V13" i="28"/>
  <c r="W13" i="28" s="1"/>
  <c r="X12" i="28"/>
  <c r="H67" i="26"/>
  <c r="H69" i="26"/>
  <c r="W98" i="28" l="1"/>
  <c r="X98" i="28" s="1"/>
  <c r="M38" i="27"/>
  <c r="L57" i="27"/>
  <c r="J58" i="26"/>
  <c r="J61" i="26" s="1"/>
  <c r="K48" i="26"/>
  <c r="K65" i="26" s="1"/>
  <c r="X13" i="28"/>
  <c r="T14" i="28"/>
  <c r="V14" i="28"/>
  <c r="W14" i="28" s="1"/>
  <c r="J66" i="27"/>
  <c r="J67" i="27" s="1"/>
  <c r="V99" i="28"/>
  <c r="T99" i="28"/>
  <c r="I67" i="26"/>
  <c r="I69" i="26"/>
  <c r="K58" i="27"/>
  <c r="K61" i="27" s="1"/>
  <c r="L48" i="27"/>
  <c r="M98" i="28"/>
  <c r="N98" i="28" s="1"/>
  <c r="K98" i="28"/>
  <c r="O97" i="28"/>
  <c r="L38" i="26"/>
  <c r="K57" i="26"/>
  <c r="K65" i="27"/>
  <c r="L31" i="27"/>
  <c r="K64" i="27"/>
  <c r="K64" i="26"/>
  <c r="L31" i="26"/>
  <c r="O13" i="28"/>
  <c r="K14" i="28"/>
  <c r="M14" i="28"/>
  <c r="N14" i="28" s="1"/>
  <c r="J65" i="26"/>
  <c r="J66" i="26" s="1"/>
  <c r="W99" i="28" l="1"/>
  <c r="X99" i="28" s="1"/>
  <c r="K66" i="26"/>
  <c r="L64" i="26"/>
  <c r="M31" i="26"/>
  <c r="M38" i="26"/>
  <c r="L57" i="26"/>
  <c r="K58" i="26"/>
  <c r="K61" i="26" s="1"/>
  <c r="L48" i="26"/>
  <c r="L65" i="26" s="1"/>
  <c r="J67" i="26"/>
  <c r="J69" i="26"/>
  <c r="T100" i="28"/>
  <c r="V100" i="28"/>
  <c r="L65" i="27"/>
  <c r="M31" i="27"/>
  <c r="L64" i="27"/>
  <c r="K66" i="27"/>
  <c r="K67" i="27" s="1"/>
  <c r="K69" i="27"/>
  <c r="X14" i="28"/>
  <c r="T15" i="28"/>
  <c r="V15" i="28"/>
  <c r="W15" i="28" s="1"/>
  <c r="K99" i="28"/>
  <c r="O98" i="28"/>
  <c r="M99" i="28"/>
  <c r="N99" i="28" s="1"/>
  <c r="K15" i="28"/>
  <c r="O14" i="28"/>
  <c r="M15" i="28"/>
  <c r="N15" i="28" s="1"/>
  <c r="L58" i="27"/>
  <c r="L61" i="27" s="1"/>
  <c r="L69" i="27" s="1"/>
  <c r="M48" i="27"/>
  <c r="M57" i="27"/>
  <c r="N38" i="27"/>
  <c r="W100" i="28" l="1"/>
  <c r="X100" i="28" s="1"/>
  <c r="L66" i="26"/>
  <c r="X15" i="28"/>
  <c r="T16" i="28"/>
  <c r="V16" i="28"/>
  <c r="W16" i="28" s="1"/>
  <c r="K16" i="28"/>
  <c r="M16" i="28"/>
  <c r="N16" i="28" s="1"/>
  <c r="O15" i="28"/>
  <c r="O99" i="28"/>
  <c r="K100" i="28"/>
  <c r="M100" i="28"/>
  <c r="N100" i="28" s="1"/>
  <c r="V101" i="28"/>
  <c r="T101" i="28"/>
  <c r="K67" i="26"/>
  <c r="K69" i="26"/>
  <c r="N38" i="26"/>
  <c r="M57" i="26"/>
  <c r="O38" i="27"/>
  <c r="N57" i="27"/>
  <c r="M64" i="26"/>
  <c r="N31" i="26"/>
  <c r="M58" i="27"/>
  <c r="M61" i="27" s="1"/>
  <c r="M69" i="27" s="1"/>
  <c r="N48" i="27"/>
  <c r="M65" i="27"/>
  <c r="M64" i="27"/>
  <c r="N31" i="27"/>
  <c r="L66" i="27"/>
  <c r="L67" i="27" s="1"/>
  <c r="L58" i="26"/>
  <c r="L61" i="26" s="1"/>
  <c r="M48" i="26"/>
  <c r="M65" i="26" s="1"/>
  <c r="W101" i="28" l="1"/>
  <c r="X101" i="28" s="1"/>
  <c r="M66" i="27"/>
  <c r="M67" i="27" s="1"/>
  <c r="N58" i="27"/>
  <c r="N61" i="27" s="1"/>
  <c r="N69" i="27" s="1"/>
  <c r="O48" i="27"/>
  <c r="T102" i="28"/>
  <c r="V102" i="28"/>
  <c r="O100" i="28"/>
  <c r="M101" i="28"/>
  <c r="N101" i="28" s="1"/>
  <c r="K101" i="28"/>
  <c r="O16" i="28"/>
  <c r="K17" i="28"/>
  <c r="M17" i="28"/>
  <c r="N17" i="28" s="1"/>
  <c r="P38" i="27"/>
  <c r="O57" i="27"/>
  <c r="X16" i="28"/>
  <c r="T17" i="28"/>
  <c r="V17" i="28"/>
  <c r="W17" i="28" s="1"/>
  <c r="N65" i="27"/>
  <c r="N64" i="27"/>
  <c r="O31" i="27"/>
  <c r="N64" i="26"/>
  <c r="O31" i="26"/>
  <c r="M66" i="26"/>
  <c r="M58" i="26"/>
  <c r="M61" i="26" s="1"/>
  <c r="N48" i="26"/>
  <c r="N65" i="26" s="1"/>
  <c r="L67" i="26"/>
  <c r="L69" i="26"/>
  <c r="O38" i="26"/>
  <c r="N57" i="26"/>
  <c r="W102" i="28" l="1"/>
  <c r="X102" i="28" s="1"/>
  <c r="N66" i="26"/>
  <c r="M67" i="26"/>
  <c r="M69" i="26"/>
  <c r="O64" i="26"/>
  <c r="P31" i="26"/>
  <c r="T103" i="28"/>
  <c r="V103" i="28"/>
  <c r="N58" i="26"/>
  <c r="N61" i="26" s="1"/>
  <c r="O48" i="26"/>
  <c r="O65" i="26" s="1"/>
  <c r="P57" i="27"/>
  <c r="Q38" i="27"/>
  <c r="O17" i="28"/>
  <c r="K18" i="28"/>
  <c r="M18" i="28"/>
  <c r="N18" i="28" s="1"/>
  <c r="O101" i="28"/>
  <c r="K102" i="28"/>
  <c r="M102" i="28"/>
  <c r="N102" i="28" s="1"/>
  <c r="O64" i="27"/>
  <c r="O65" i="27"/>
  <c r="P31" i="27"/>
  <c r="O58" i="27"/>
  <c r="O61" i="27" s="1"/>
  <c r="P48" i="27"/>
  <c r="P38" i="26"/>
  <c r="O57" i="26"/>
  <c r="N66" i="27"/>
  <c r="N67" i="27" s="1"/>
  <c r="T18" i="28"/>
  <c r="X17" i="28"/>
  <c r="V18" i="28"/>
  <c r="W18" i="28" s="1"/>
  <c r="W103" i="28" l="1"/>
  <c r="X103" i="28" s="1"/>
  <c r="O66" i="26"/>
  <c r="Q57" i="27"/>
  <c r="R38" i="27"/>
  <c r="P57" i="26"/>
  <c r="Q38" i="26"/>
  <c r="P58" i="27"/>
  <c r="P61" i="27" s="1"/>
  <c r="P69" i="27" s="1"/>
  <c r="Q48" i="27"/>
  <c r="V104" i="28"/>
  <c r="T104" i="28"/>
  <c r="O69" i="27"/>
  <c r="M103" i="28"/>
  <c r="N103" i="28" s="1"/>
  <c r="K103" i="28"/>
  <c r="O102" i="28"/>
  <c r="P64" i="26"/>
  <c r="Q31" i="26"/>
  <c r="N67" i="26"/>
  <c r="N69" i="26"/>
  <c r="O58" i="26"/>
  <c r="O61" i="26" s="1"/>
  <c r="P48" i="26"/>
  <c r="P64" i="27"/>
  <c r="P65" i="27"/>
  <c r="Q31" i="27"/>
  <c r="O66" i="27"/>
  <c r="O67" i="27" s="1"/>
  <c r="T19" i="28"/>
  <c r="X18" i="28"/>
  <c r="V19" i="28"/>
  <c r="W19" i="28" s="1"/>
  <c r="O18" i="28"/>
  <c r="M19" i="28"/>
  <c r="N19" i="28" s="1"/>
  <c r="K19" i="28"/>
  <c r="W104" i="28" l="1"/>
  <c r="X104" i="28" s="1"/>
  <c r="P66" i="27"/>
  <c r="P67" i="27" s="1"/>
  <c r="Q64" i="27"/>
  <c r="Q65" i="27"/>
  <c r="R31" i="27"/>
  <c r="T20" i="28"/>
  <c r="X19" i="28"/>
  <c r="V20" i="28"/>
  <c r="W20" i="28" s="1"/>
  <c r="K104" i="28"/>
  <c r="O103" i="28"/>
  <c r="M104" i="28"/>
  <c r="N104" i="28" s="1"/>
  <c r="V105" i="28"/>
  <c r="T105" i="28"/>
  <c r="O67" i="26"/>
  <c r="O69" i="26"/>
  <c r="R38" i="26"/>
  <c r="Q57" i="26"/>
  <c r="Q58" i="27"/>
  <c r="Q61" i="27" s="1"/>
  <c r="R48" i="27"/>
  <c r="R31" i="26"/>
  <c r="Q64" i="26"/>
  <c r="R57" i="27"/>
  <c r="S38" i="27"/>
  <c r="P58" i="26"/>
  <c r="P61" i="26" s="1"/>
  <c r="Q48" i="26"/>
  <c r="O19" i="28"/>
  <c r="K20" i="28"/>
  <c r="M20" i="28"/>
  <c r="N20" i="28" s="1"/>
  <c r="P65" i="26"/>
  <c r="P66" i="26" s="1"/>
  <c r="W105" i="28" l="1"/>
  <c r="X105" i="28" s="1"/>
  <c r="Q66" i="27"/>
  <c r="Q67" i="27" s="1"/>
  <c r="Q58" i="26"/>
  <c r="Q61" i="26" s="1"/>
  <c r="R48" i="26"/>
  <c r="R65" i="26" s="1"/>
  <c r="P67" i="26"/>
  <c r="P69" i="26"/>
  <c r="S57" i="27"/>
  <c r="T38" i="27"/>
  <c r="M105" i="28"/>
  <c r="N105" i="28" s="1"/>
  <c r="K105" i="28"/>
  <c r="O104" i="28"/>
  <c r="R64" i="26"/>
  <c r="S31" i="26"/>
  <c r="R57" i="26"/>
  <c r="S38" i="26"/>
  <c r="M21" i="28"/>
  <c r="N21" i="28" s="1"/>
  <c r="K21" i="28"/>
  <c r="O20" i="28"/>
  <c r="V106" i="28"/>
  <c r="T106" i="28"/>
  <c r="Q65" i="26"/>
  <c r="Q66" i="26" s="1"/>
  <c r="S48" i="27"/>
  <c r="R58" i="27"/>
  <c r="R61" i="27" s="1"/>
  <c r="R69" i="27" s="1"/>
  <c r="X20" i="28"/>
  <c r="T21" i="28"/>
  <c r="V21" i="28"/>
  <c r="W21" i="28" s="1"/>
  <c r="R64" i="27"/>
  <c r="R65" i="27"/>
  <c r="S31" i="27"/>
  <c r="Q69" i="27"/>
  <c r="W106" i="28" l="1"/>
  <c r="X106" i="28" s="1"/>
  <c r="R66" i="26"/>
  <c r="R66" i="27"/>
  <c r="R67" i="27" s="1"/>
  <c r="X21" i="28"/>
  <c r="T22" i="28"/>
  <c r="V22" i="28"/>
  <c r="W22" i="28" s="1"/>
  <c r="T107" i="28"/>
  <c r="V107" i="28"/>
  <c r="T57" i="27"/>
  <c r="U38" i="27"/>
  <c r="K22" i="28"/>
  <c r="M22" i="28"/>
  <c r="N22" i="28" s="1"/>
  <c r="O21" i="28"/>
  <c r="K106" i="28"/>
  <c r="O105" i="28"/>
  <c r="M106" i="28"/>
  <c r="N106" i="28" s="1"/>
  <c r="R58" i="26"/>
  <c r="R61" i="26" s="1"/>
  <c r="S48" i="26"/>
  <c r="S65" i="26" s="1"/>
  <c r="S64" i="26"/>
  <c r="T31" i="26"/>
  <c r="S58" i="27"/>
  <c r="S61" i="27" s="1"/>
  <c r="S69" i="27" s="1"/>
  <c r="T48" i="27"/>
  <c r="S65" i="27"/>
  <c r="S64" i="27"/>
  <c r="T31" i="27"/>
  <c r="S57" i="26"/>
  <c r="T38" i="26"/>
  <c r="Q67" i="26"/>
  <c r="Q69" i="26"/>
  <c r="W107" i="28" l="1"/>
  <c r="X107" i="28" s="1"/>
  <c r="S66" i="26"/>
  <c r="S66" i="27"/>
  <c r="S67" i="27" s="1"/>
  <c r="T58" i="27"/>
  <c r="T61" i="27" s="1"/>
  <c r="T69" i="27" s="1"/>
  <c r="U48" i="27"/>
  <c r="U57" i="27"/>
  <c r="V38" i="27"/>
  <c r="T64" i="26"/>
  <c r="U31" i="26"/>
  <c r="O106" i="28"/>
  <c r="K107" i="28"/>
  <c r="M107" i="28"/>
  <c r="N107" i="28" s="1"/>
  <c r="S58" i="26"/>
  <c r="S61" i="26" s="1"/>
  <c r="T48" i="26"/>
  <c r="V23" i="28"/>
  <c r="W23" i="28" s="1"/>
  <c r="T23" i="28"/>
  <c r="X22" i="28"/>
  <c r="T57" i="26"/>
  <c r="U38" i="26"/>
  <c r="T64" i="27"/>
  <c r="T65" i="27"/>
  <c r="U31" i="27"/>
  <c r="M23" i="28"/>
  <c r="N23" i="28" s="1"/>
  <c r="K23" i="28"/>
  <c r="O22" i="28"/>
  <c r="V108" i="28"/>
  <c r="T108" i="28"/>
  <c r="R67" i="26"/>
  <c r="R69" i="26"/>
  <c r="W108" i="28" l="1"/>
  <c r="X108" i="28" s="1"/>
  <c r="T66" i="27"/>
  <c r="T67" i="27" s="1"/>
  <c r="T109" i="28"/>
  <c r="V109" i="28"/>
  <c r="T58" i="26"/>
  <c r="T61" i="26" s="1"/>
  <c r="U48" i="26"/>
  <c r="U65" i="26" s="1"/>
  <c r="T65" i="26"/>
  <c r="T66" i="26" s="1"/>
  <c r="O107" i="28"/>
  <c r="M108" i="28"/>
  <c r="N108" i="28" s="1"/>
  <c r="K108" i="28"/>
  <c r="U64" i="26"/>
  <c r="V31" i="26"/>
  <c r="U57" i="26"/>
  <c r="V38" i="26"/>
  <c r="V57" i="27"/>
  <c r="W38" i="27"/>
  <c r="U64" i="27"/>
  <c r="U65" i="27"/>
  <c r="V31" i="27"/>
  <c r="X23" i="28"/>
  <c r="T24" i="28"/>
  <c r="V24" i="28"/>
  <c r="W24" i="28" s="1"/>
  <c r="U58" i="27"/>
  <c r="U61" i="27" s="1"/>
  <c r="V48" i="27"/>
  <c r="S67" i="26"/>
  <c r="S69" i="26"/>
  <c r="K24" i="28"/>
  <c r="O23" i="28"/>
  <c r="M24" i="28"/>
  <c r="N24" i="28" s="1"/>
  <c r="W109" i="28" l="1"/>
  <c r="X109" i="28" s="1"/>
  <c r="U66" i="27"/>
  <c r="U67" i="27" s="1"/>
  <c r="U66" i="26"/>
  <c r="T25" i="28"/>
  <c r="X24" i="28"/>
  <c r="V25" i="28"/>
  <c r="W25" i="28" s="1"/>
  <c r="O108" i="28"/>
  <c r="K109" i="28"/>
  <c r="M109" i="28"/>
  <c r="N109" i="28" s="1"/>
  <c r="U58" i="26"/>
  <c r="U61" i="26" s="1"/>
  <c r="V48" i="26"/>
  <c r="V64" i="26"/>
  <c r="W31" i="26"/>
  <c r="U69" i="27"/>
  <c r="V65" i="27"/>
  <c r="W31" i="27"/>
  <c r="V64" i="27"/>
  <c r="W48" i="27"/>
  <c r="V58" i="27"/>
  <c r="V61" i="27" s="1"/>
  <c r="T67" i="26"/>
  <c r="T69" i="26"/>
  <c r="W57" i="27"/>
  <c r="X38" i="27"/>
  <c r="K25" i="28"/>
  <c r="O24" i="28"/>
  <c r="M25" i="28"/>
  <c r="N25" i="28" s="1"/>
  <c r="V57" i="26"/>
  <c r="W38" i="26"/>
  <c r="T110" i="28"/>
  <c r="V110" i="28"/>
  <c r="W110" i="28" l="1"/>
  <c r="X110" i="28" s="1"/>
  <c r="M26" i="28"/>
  <c r="N26" i="28" s="1"/>
  <c r="O25" i="28"/>
  <c r="K26" i="28"/>
  <c r="X57" i="27"/>
  <c r="Y38" i="27"/>
  <c r="K110" i="28"/>
  <c r="O109" i="28"/>
  <c r="M110" i="28"/>
  <c r="N110" i="28" s="1"/>
  <c r="W58" i="27"/>
  <c r="W61" i="27" s="1"/>
  <c r="W69" i="27" s="1"/>
  <c r="X48" i="27"/>
  <c r="U67" i="26"/>
  <c r="U69" i="26"/>
  <c r="W65" i="27"/>
  <c r="X31" i="27"/>
  <c r="W64" i="27"/>
  <c r="V58" i="26"/>
  <c r="V61" i="26" s="1"/>
  <c r="W48" i="26"/>
  <c r="W65" i="26" s="1"/>
  <c r="T111" i="28"/>
  <c r="V111" i="28"/>
  <c r="V69" i="27"/>
  <c r="X25" i="28"/>
  <c r="T26" i="28"/>
  <c r="V26" i="28"/>
  <c r="W26" i="28" s="1"/>
  <c r="W64" i="26"/>
  <c r="X31" i="26"/>
  <c r="V65" i="26"/>
  <c r="V66" i="26" s="1"/>
  <c r="W57" i="26"/>
  <c r="X38" i="26"/>
  <c r="V66" i="27"/>
  <c r="V67" i="27" s="1"/>
  <c r="W111" i="28" l="1"/>
  <c r="X111" i="28" s="1"/>
  <c r="W66" i="27"/>
  <c r="W67" i="27" s="1"/>
  <c r="W66" i="26"/>
  <c r="X58" i="27"/>
  <c r="X61" i="27" s="1"/>
  <c r="X69" i="27" s="1"/>
  <c r="Y48" i="27"/>
  <c r="X57" i="26"/>
  <c r="Y38" i="26"/>
  <c r="Y57" i="27"/>
  <c r="Z38" i="27"/>
  <c r="K27" i="28"/>
  <c r="M27" i="28"/>
  <c r="N27" i="28" s="1"/>
  <c r="O26" i="28"/>
  <c r="T112" i="28"/>
  <c r="V112" i="28"/>
  <c r="K111" i="28"/>
  <c r="O110" i="28"/>
  <c r="M111" i="28"/>
  <c r="N111" i="28" s="1"/>
  <c r="W58" i="26"/>
  <c r="W61" i="26" s="1"/>
  <c r="X48" i="26"/>
  <c r="X65" i="26" s="1"/>
  <c r="V67" i="26"/>
  <c r="V69" i="26"/>
  <c r="X64" i="26"/>
  <c r="Y31" i="26"/>
  <c r="X26" i="28"/>
  <c r="T27" i="28"/>
  <c r="V27" i="28"/>
  <c r="W27" i="28" s="1"/>
  <c r="X64" i="27"/>
  <c r="X65" i="27"/>
  <c r="Y31" i="27"/>
  <c r="W112" i="28" l="1"/>
  <c r="X112" i="28" s="1"/>
  <c r="X66" i="26"/>
  <c r="X66" i="27"/>
  <c r="X67" i="27" s="1"/>
  <c r="T28" i="28"/>
  <c r="V28" i="28"/>
  <c r="W28" i="28" s="1"/>
  <c r="X27" i="28"/>
  <c r="O27" i="28"/>
  <c r="K28" i="28"/>
  <c r="M28" i="28"/>
  <c r="N28" i="28" s="1"/>
  <c r="AA38" i="27"/>
  <c r="Z57" i="27"/>
  <c r="X58" i="26"/>
  <c r="X61" i="26" s="1"/>
  <c r="Y48" i="26"/>
  <c r="Y65" i="26" s="1"/>
  <c r="Z38" i="26"/>
  <c r="Y57" i="26"/>
  <c r="Y64" i="27"/>
  <c r="Y65" i="27"/>
  <c r="Z31" i="27"/>
  <c r="W67" i="26"/>
  <c r="W69" i="26"/>
  <c r="M112" i="28"/>
  <c r="N112" i="28" s="1"/>
  <c r="K112" i="28"/>
  <c r="O111" i="28"/>
  <c r="V113" i="28"/>
  <c r="T113" i="28"/>
  <c r="Y64" i="26"/>
  <c r="Z31" i="26"/>
  <c r="Y58" i="27"/>
  <c r="Y61" i="27" s="1"/>
  <c r="Y69" i="27" s="1"/>
  <c r="Z48" i="27"/>
  <c r="W113" i="28" l="1"/>
  <c r="X113" i="28" s="1"/>
  <c r="Y66" i="26"/>
  <c r="AA57" i="27"/>
  <c r="AB38" i="27"/>
  <c r="AA38" i="26"/>
  <c r="Z57" i="26"/>
  <c r="Y58" i="26"/>
  <c r="Y61" i="26" s="1"/>
  <c r="Z48" i="26"/>
  <c r="O28" i="28"/>
  <c r="K29" i="28"/>
  <c r="M29" i="28"/>
  <c r="N29" i="28" s="1"/>
  <c r="Z58" i="27"/>
  <c r="Z61" i="27" s="1"/>
  <c r="Z69" i="27" s="1"/>
  <c r="AA48" i="27"/>
  <c r="Z65" i="27"/>
  <c r="AA31" i="27"/>
  <c r="Z64" i="27"/>
  <c r="Z64" i="26"/>
  <c r="AA31" i="26"/>
  <c r="T114" i="28"/>
  <c r="V114" i="28"/>
  <c r="X67" i="26"/>
  <c r="X69" i="26"/>
  <c r="K113" i="28"/>
  <c r="O112" i="28"/>
  <c r="M113" i="28"/>
  <c r="N113" i="28" s="1"/>
  <c r="Y66" i="27"/>
  <c r="Y67" i="27" s="1"/>
  <c r="V29" i="28"/>
  <c r="W29" i="28" s="1"/>
  <c r="T29" i="28"/>
  <c r="X28" i="28"/>
  <c r="W114" i="28" l="1"/>
  <c r="X114" i="28" s="1"/>
  <c r="Z66" i="27"/>
  <c r="Z67" i="27" s="1"/>
  <c r="Z58" i="26"/>
  <c r="Z61" i="26" s="1"/>
  <c r="AA48" i="26"/>
  <c r="V115" i="28"/>
  <c r="T115" i="28"/>
  <c r="Z65" i="26"/>
  <c r="Z66" i="26" s="1"/>
  <c r="Y67" i="26"/>
  <c r="Y69" i="26"/>
  <c r="M30" i="28"/>
  <c r="N30" i="28" s="1"/>
  <c r="K30" i="28"/>
  <c r="O29" i="28"/>
  <c r="AA58" i="27"/>
  <c r="AA61" i="27" s="1"/>
  <c r="AB48" i="27"/>
  <c r="AB38" i="26"/>
  <c r="AA57" i="26"/>
  <c r="AB31" i="27"/>
  <c r="AA64" i="27"/>
  <c r="AA65" i="27"/>
  <c r="O113" i="28"/>
  <c r="K114" i="28"/>
  <c r="M114" i="28"/>
  <c r="N114" i="28" s="1"/>
  <c r="AB57" i="27"/>
  <c r="AC38" i="27"/>
  <c r="AA64" i="26"/>
  <c r="AB31" i="26"/>
  <c r="X29" i="28"/>
  <c r="T30" i="28"/>
  <c r="V30" i="28"/>
  <c r="W30" i="28" s="1"/>
  <c r="W115" i="28" l="1"/>
  <c r="X115" i="28" s="1"/>
  <c r="AA66" i="27"/>
  <c r="AA67" i="27" s="1"/>
  <c r="AB58" i="27"/>
  <c r="AB61" i="27" s="1"/>
  <c r="AB69" i="27" s="1"/>
  <c r="AC48" i="27"/>
  <c r="T116" i="28"/>
  <c r="V116" i="28"/>
  <c r="AB64" i="26"/>
  <c r="AC31" i="26"/>
  <c r="O114" i="28"/>
  <c r="M115" i="28"/>
  <c r="N115" i="28" s="1"/>
  <c r="K115" i="28"/>
  <c r="X30" i="28"/>
  <c r="V31" i="28"/>
  <c r="W31" i="28" s="1"/>
  <c r="T31" i="28"/>
  <c r="AA69" i="27"/>
  <c r="AA58" i="26"/>
  <c r="AA61" i="26" s="1"/>
  <c r="AB48" i="26"/>
  <c r="AB65" i="26" s="1"/>
  <c r="AD38" i="27"/>
  <c r="AC57" i="27"/>
  <c r="K31" i="28"/>
  <c r="O30" i="28"/>
  <c r="M31" i="28"/>
  <c r="N31" i="28" s="1"/>
  <c r="AB65" i="27"/>
  <c r="AB64" i="27"/>
  <c r="AC31" i="27"/>
  <c r="AA65" i="26"/>
  <c r="AA66" i="26" s="1"/>
  <c r="AC38" i="26"/>
  <c r="AB57" i="26"/>
  <c r="Z67" i="26"/>
  <c r="Z69" i="26"/>
  <c r="W116" i="28" l="1"/>
  <c r="X116" i="28" s="1"/>
  <c r="AB66" i="26"/>
  <c r="AC64" i="26"/>
  <c r="AD31" i="26"/>
  <c r="O115" i="28"/>
  <c r="M116" i="28"/>
  <c r="N116" i="28" s="1"/>
  <c r="K116" i="28"/>
  <c r="AB66" i="27"/>
  <c r="AB67" i="27" s="1"/>
  <c r="T117" i="28"/>
  <c r="V117" i="28"/>
  <c r="AC65" i="27"/>
  <c r="AC64" i="27"/>
  <c r="AD31" i="27"/>
  <c r="AD57" i="27"/>
  <c r="AE38" i="27"/>
  <c r="AB58" i="26"/>
  <c r="AB61" i="26" s="1"/>
  <c r="AC48" i="26"/>
  <c r="AA67" i="26"/>
  <c r="AA69" i="26"/>
  <c r="AC58" i="27"/>
  <c r="AC61" i="27" s="1"/>
  <c r="AC69" i="27" s="1"/>
  <c r="AD48" i="27"/>
  <c r="K32" i="28"/>
  <c r="O31" i="28"/>
  <c r="M32" i="28"/>
  <c r="N32" i="28" s="1"/>
  <c r="AD38" i="26"/>
  <c r="AC57" i="26"/>
  <c r="T32" i="28"/>
  <c r="X31" i="28"/>
  <c r="V32" i="28"/>
  <c r="W32" i="28" s="1"/>
  <c r="W117" i="28" l="1"/>
  <c r="X117" i="28" s="1"/>
  <c r="AC66" i="27"/>
  <c r="AC67" i="27" s="1"/>
  <c r="O116" i="28"/>
  <c r="M117" i="28"/>
  <c r="N117" i="28" s="1"/>
  <c r="K117" i="28"/>
  <c r="M33" i="28"/>
  <c r="N33" i="28" s="1"/>
  <c r="O32" i="28"/>
  <c r="K33" i="28"/>
  <c r="AC58" i="26"/>
  <c r="AC61" i="26" s="1"/>
  <c r="AD48" i="26"/>
  <c r="AD65" i="26" s="1"/>
  <c r="AB67" i="26"/>
  <c r="AB69" i="26"/>
  <c r="AC65" i="26"/>
  <c r="AC66" i="26" s="1"/>
  <c r="AE38" i="26"/>
  <c r="AD57" i="26"/>
  <c r="AD58" i="27"/>
  <c r="AD61" i="27" s="1"/>
  <c r="AD69" i="27" s="1"/>
  <c r="AE48" i="27"/>
  <c r="AE57" i="27"/>
  <c r="AF38" i="27"/>
  <c r="AE31" i="26"/>
  <c r="AD64" i="26"/>
  <c r="T118" i="28"/>
  <c r="V118" i="28"/>
  <c r="T33" i="28"/>
  <c r="X32" i="28"/>
  <c r="V33" i="28"/>
  <c r="W33" i="28" s="1"/>
  <c r="AD64" i="27"/>
  <c r="AE31" i="27"/>
  <c r="AD65" i="27"/>
  <c r="W118" i="28" l="1"/>
  <c r="X118" i="28" s="1"/>
  <c r="AD66" i="26"/>
  <c r="AD66" i="27"/>
  <c r="AD67" i="27" s="1"/>
  <c r="AF38" i="26"/>
  <c r="AE57" i="26"/>
  <c r="O33" i="28"/>
  <c r="K34" i="28"/>
  <c r="M34" i="28"/>
  <c r="N34" i="28" s="1"/>
  <c r="AF31" i="26"/>
  <c r="AE64" i="26"/>
  <c r="AF57" i="27"/>
  <c r="AG38" i="27"/>
  <c r="K118" i="28"/>
  <c r="O117" i="28"/>
  <c r="M118" i="28"/>
  <c r="N118" i="28" s="1"/>
  <c r="AD58" i="26"/>
  <c r="AD61" i="26" s="1"/>
  <c r="AE48" i="26"/>
  <c r="AE65" i="26" s="1"/>
  <c r="T34" i="28"/>
  <c r="V34" i="28"/>
  <c r="W34" i="28" s="1"/>
  <c r="X33" i="28"/>
  <c r="T119" i="28"/>
  <c r="V119" i="28"/>
  <c r="AC67" i="26"/>
  <c r="AC69" i="26"/>
  <c r="AE64" i="27"/>
  <c r="AE65" i="27"/>
  <c r="AF31" i="27"/>
  <c r="AE58" i="27"/>
  <c r="AE61" i="27" s="1"/>
  <c r="AE69" i="27" s="1"/>
  <c r="AF48" i="27"/>
  <c r="W119" i="28" l="1"/>
  <c r="X119" i="28" s="1"/>
  <c r="AE66" i="27"/>
  <c r="AE67" i="27" s="1"/>
  <c r="AG57" i="27"/>
  <c r="AH38" i="27"/>
  <c r="O34" i="28"/>
  <c r="K35" i="28"/>
  <c r="M35" i="28"/>
  <c r="N35" i="28" s="1"/>
  <c r="AG31" i="26"/>
  <c r="AF64" i="26"/>
  <c r="AE66" i="26"/>
  <c r="AF58" i="27"/>
  <c r="AF61" i="27" s="1"/>
  <c r="AG48" i="27"/>
  <c r="AE58" i="26"/>
  <c r="AE61" i="26" s="1"/>
  <c r="AF48" i="26"/>
  <c r="AF65" i="26" s="1"/>
  <c r="AF64" i="27"/>
  <c r="AF65" i="27"/>
  <c r="AG31" i="27"/>
  <c r="M119" i="28"/>
  <c r="N119" i="28" s="1"/>
  <c r="K119" i="28"/>
  <c r="O118" i="28"/>
  <c r="T120" i="28"/>
  <c r="V120" i="28"/>
  <c r="T35" i="28"/>
  <c r="X34" i="28"/>
  <c r="V35" i="28"/>
  <c r="W35" i="28" s="1"/>
  <c r="AD67" i="26"/>
  <c r="AD69" i="26"/>
  <c r="AF57" i="26"/>
  <c r="AG38" i="26"/>
  <c r="W120" i="28" l="1"/>
  <c r="X120" i="28" s="1"/>
  <c r="AF66" i="26"/>
  <c r="AF66" i="27"/>
  <c r="AF67" i="27" s="1"/>
  <c r="K120" i="28"/>
  <c r="O119" i="28"/>
  <c r="M120" i="28"/>
  <c r="N120" i="28" s="1"/>
  <c r="V36" i="28"/>
  <c r="W36" i="28" s="1"/>
  <c r="T36" i="28"/>
  <c r="X35" i="28"/>
  <c r="AH31" i="26"/>
  <c r="AG64" i="26"/>
  <c r="AG65" i="27"/>
  <c r="AG64" i="27"/>
  <c r="AH31" i="27"/>
  <c r="O35" i="28"/>
  <c r="K36" i="28"/>
  <c r="M36" i="28"/>
  <c r="N36" i="28" s="1"/>
  <c r="AE67" i="26"/>
  <c r="AE69" i="26"/>
  <c r="AG58" i="27"/>
  <c r="AG61" i="27" s="1"/>
  <c r="AG69" i="27" s="1"/>
  <c r="AH48" i="27"/>
  <c r="AG57" i="26"/>
  <c r="AH38" i="26"/>
  <c r="AF69" i="27"/>
  <c r="AH57" i="27"/>
  <c r="AI38" i="27"/>
  <c r="AF58" i="26"/>
  <c r="AF61" i="26" s="1"/>
  <c r="AG48" i="26"/>
  <c r="T121" i="28"/>
  <c r="V121" i="28"/>
  <c r="W121" i="28" l="1"/>
  <c r="AF67" i="26"/>
  <c r="AF69" i="26"/>
  <c r="AG66" i="27"/>
  <c r="AG67" i="27" s="1"/>
  <c r="AI38" i="26"/>
  <c r="AH57" i="26"/>
  <c r="AH58" i="27"/>
  <c r="AH61" i="27" s="1"/>
  <c r="AI48" i="27"/>
  <c r="X36" i="28"/>
  <c r="T37" i="28"/>
  <c r="V37" i="28"/>
  <c r="W37" i="28" s="1"/>
  <c r="AG58" i="26"/>
  <c r="AG61" i="26" s="1"/>
  <c r="AH48" i="26"/>
  <c r="AI57" i="27"/>
  <c r="AJ38" i="27"/>
  <c r="AG65" i="26"/>
  <c r="AG66" i="26" s="1"/>
  <c r="AH64" i="27"/>
  <c r="AH65" i="27"/>
  <c r="AI31" i="27"/>
  <c r="AI31" i="26"/>
  <c r="AH64" i="26"/>
  <c r="O36" i="28"/>
  <c r="K37" i="28"/>
  <c r="M37" i="28"/>
  <c r="N37" i="28" s="1"/>
  <c r="V122" i="28"/>
  <c r="W122" i="28" s="1"/>
  <c r="T122" i="28"/>
  <c r="X121" i="28"/>
  <c r="O120" i="28"/>
  <c r="K121" i="28"/>
  <c r="M121" i="28"/>
  <c r="N121" i="28" s="1"/>
  <c r="AH66" i="27" l="1"/>
  <c r="AH67" i="27" s="1"/>
  <c r="AI64" i="26"/>
  <c r="AJ31" i="26"/>
  <c r="AH58" i="26"/>
  <c r="AH61" i="26" s="1"/>
  <c r="AI48" i="26"/>
  <c r="AI58" i="27"/>
  <c r="AI61" i="27" s="1"/>
  <c r="AI69" i="27" s="1"/>
  <c r="AJ48" i="27"/>
  <c r="O121" i="28"/>
  <c r="M122" i="28"/>
  <c r="N122" i="28" s="1"/>
  <c r="K122" i="28"/>
  <c r="AG67" i="26"/>
  <c r="AG69" i="26"/>
  <c r="AH69" i="27"/>
  <c r="K38" i="28"/>
  <c r="M38" i="28"/>
  <c r="N38" i="28" s="1"/>
  <c r="O37" i="28"/>
  <c r="X37" i="28"/>
  <c r="T38" i="28"/>
  <c r="V38" i="28"/>
  <c r="W38" i="28" s="1"/>
  <c r="AH65" i="26"/>
  <c r="AH66" i="26" s="1"/>
  <c r="AI64" i="27"/>
  <c r="AI65" i="27"/>
  <c r="AJ31" i="27"/>
  <c r="AI57" i="26"/>
  <c r="AJ38" i="26"/>
  <c r="T123" i="28"/>
  <c r="X122" i="28"/>
  <c r="V123" i="28"/>
  <c r="W123" i="28" s="1"/>
  <c r="AJ57" i="27"/>
  <c r="AK38" i="27"/>
  <c r="AI66" i="27" l="1"/>
  <c r="AI67" i="27" s="1"/>
  <c r="X123" i="28"/>
  <c r="T124" i="28"/>
  <c r="V124" i="28"/>
  <c r="W124" i="28" s="1"/>
  <c r="AK38" i="26"/>
  <c r="AJ57" i="26"/>
  <c r="O122" i="28"/>
  <c r="K123" i="28"/>
  <c r="M123" i="28"/>
  <c r="N123" i="28" s="1"/>
  <c r="AI58" i="26"/>
  <c r="AI61" i="26" s="1"/>
  <c r="AJ48" i="26"/>
  <c r="T39" i="28"/>
  <c r="X38" i="28"/>
  <c r="V39" i="28"/>
  <c r="W39" i="28" s="1"/>
  <c r="AH67" i="26"/>
  <c r="AH69" i="26"/>
  <c r="AJ64" i="27"/>
  <c r="AJ65" i="27"/>
  <c r="AK31" i="27"/>
  <c r="AJ58" i="27"/>
  <c r="AJ61" i="27" s="1"/>
  <c r="AK48" i="27"/>
  <c r="AK31" i="26"/>
  <c r="AJ64" i="26"/>
  <c r="AK57" i="27"/>
  <c r="AL38" i="27"/>
  <c r="AI65" i="26"/>
  <c r="AI66" i="26" s="1"/>
  <c r="K39" i="28"/>
  <c r="O38" i="28"/>
  <c r="M39" i="28"/>
  <c r="N39" i="28" s="1"/>
  <c r="AJ66" i="27" l="1"/>
  <c r="AJ67" i="27" s="1"/>
  <c r="T40" i="28"/>
  <c r="X39" i="28"/>
  <c r="V40" i="28"/>
  <c r="W40" i="28" s="1"/>
  <c r="AK64" i="26"/>
  <c r="AL31" i="26"/>
  <c r="AI67" i="26"/>
  <c r="AI69" i="26"/>
  <c r="AK58" i="27"/>
  <c r="AK61" i="27" s="1"/>
  <c r="AK69" i="27" s="1"/>
  <c r="AL48" i="27"/>
  <c r="AK65" i="27"/>
  <c r="AK64" i="27"/>
  <c r="AL31" i="27"/>
  <c r="AM38" i="27"/>
  <c r="AL57" i="27"/>
  <c r="AJ58" i="26"/>
  <c r="AJ61" i="26" s="1"/>
  <c r="AK48" i="26"/>
  <c r="AK65" i="26" s="1"/>
  <c r="M124" i="28"/>
  <c r="N124" i="28" s="1"/>
  <c r="K124" i="28"/>
  <c r="O123" i="28"/>
  <c r="AJ65" i="26"/>
  <c r="AJ66" i="26" s="1"/>
  <c r="AJ69" i="27"/>
  <c r="AK57" i="26"/>
  <c r="AL38" i="26"/>
  <c r="M40" i="28"/>
  <c r="N40" i="28" s="1"/>
  <c r="O39" i="28"/>
  <c r="K40" i="28"/>
  <c r="X124" i="28"/>
  <c r="V125" i="28"/>
  <c r="W125" i="28" s="1"/>
  <c r="T125" i="28"/>
  <c r="AK66" i="26" l="1"/>
  <c r="AL58" i="27"/>
  <c r="AL61" i="27" s="1"/>
  <c r="AL69" i="27" s="1"/>
  <c r="AM48" i="27"/>
  <c r="AK66" i="27"/>
  <c r="AK67" i="27" s="1"/>
  <c r="AL57" i="26"/>
  <c r="AM38" i="26"/>
  <c r="K125" i="28"/>
  <c r="O124" i="28"/>
  <c r="M125" i="28"/>
  <c r="N125" i="28" s="1"/>
  <c r="AM31" i="26"/>
  <c r="AL64" i="26"/>
  <c r="AK58" i="26"/>
  <c r="AK61" i="26" s="1"/>
  <c r="AL48" i="26"/>
  <c r="AL65" i="26" s="1"/>
  <c r="X125" i="28"/>
  <c r="T126" i="28"/>
  <c r="V126" i="28"/>
  <c r="W126" i="28" s="1"/>
  <c r="AJ67" i="26"/>
  <c r="AJ69" i="26"/>
  <c r="AN38" i="27"/>
  <c r="AM57" i="27"/>
  <c r="O40" i="28"/>
  <c r="K41" i="28"/>
  <c r="M41" i="28"/>
  <c r="N41" i="28" s="1"/>
  <c r="AL65" i="27"/>
  <c r="AL64" i="27"/>
  <c r="AM31" i="27"/>
  <c r="T41" i="28"/>
  <c r="X40" i="28"/>
  <c r="V41" i="28"/>
  <c r="W41" i="28" s="1"/>
  <c r="AL66" i="27" l="1"/>
  <c r="AL67" i="27" s="1"/>
  <c r="AL66" i="26"/>
  <c r="AK67" i="26"/>
  <c r="AK69" i="26"/>
  <c r="AM64" i="26"/>
  <c r="AN31" i="26"/>
  <c r="AO38" i="27"/>
  <c r="AN57" i="27"/>
  <c r="M126" i="28"/>
  <c r="N126" i="28" s="1"/>
  <c r="K126" i="28"/>
  <c r="O125" i="28"/>
  <c r="AN38" i="26"/>
  <c r="AM57" i="26"/>
  <c r="O41" i="28"/>
  <c r="K42" i="28"/>
  <c r="M42" i="28"/>
  <c r="N42" i="28" s="1"/>
  <c r="V127" i="28"/>
  <c r="W127" i="28" s="1"/>
  <c r="T127" i="28"/>
  <c r="X126" i="28"/>
  <c r="T42" i="28"/>
  <c r="X41" i="28"/>
  <c r="V42" i="28"/>
  <c r="W42" i="28" s="1"/>
  <c r="AM58" i="27"/>
  <c r="AM61" i="27" s="1"/>
  <c r="AM69" i="27" s="1"/>
  <c r="AN48" i="27"/>
  <c r="AM65" i="27"/>
  <c r="AM64" i="27"/>
  <c r="AN31" i="27"/>
  <c r="AL58" i="26"/>
  <c r="AL61" i="26" s="1"/>
  <c r="AM48" i="26"/>
  <c r="AM65" i="26" s="1"/>
  <c r="AM66" i="26" l="1"/>
  <c r="AN57" i="26"/>
  <c r="AO38" i="26"/>
  <c r="K127" i="28"/>
  <c r="O126" i="28"/>
  <c r="M127" i="28"/>
  <c r="N127" i="28" s="1"/>
  <c r="AO57" i="27"/>
  <c r="AP38" i="27"/>
  <c r="V43" i="28"/>
  <c r="W43" i="28" s="1"/>
  <c r="T43" i="28"/>
  <c r="X42" i="28"/>
  <c r="AN64" i="26"/>
  <c r="AO31" i="26"/>
  <c r="T128" i="28"/>
  <c r="X127" i="28"/>
  <c r="V128" i="28"/>
  <c r="W128" i="28" s="1"/>
  <c r="AM58" i="26"/>
  <c r="AM61" i="26" s="1"/>
  <c r="AN48" i="26"/>
  <c r="AN65" i="26" s="1"/>
  <c r="AN58" i="27"/>
  <c r="AN61" i="27" s="1"/>
  <c r="AO48" i="27"/>
  <c r="AM66" i="27"/>
  <c r="AM67" i="27" s="1"/>
  <c r="AL67" i="26"/>
  <c r="AL69" i="26"/>
  <c r="O42" i="28"/>
  <c r="K43" i="28"/>
  <c r="M43" i="28"/>
  <c r="N43" i="28" s="1"/>
  <c r="AN64" i="27"/>
  <c r="AO31" i="27"/>
  <c r="AN65" i="27"/>
  <c r="AN66" i="26" l="1"/>
  <c r="AN66" i="27"/>
  <c r="AN67" i="27" s="1"/>
  <c r="AO64" i="26"/>
  <c r="AP31" i="26"/>
  <c r="X43" i="28"/>
  <c r="T44" i="28"/>
  <c r="V44" i="28"/>
  <c r="W44" i="28" s="1"/>
  <c r="AP57" i="27"/>
  <c r="AQ38" i="27"/>
  <c r="K44" i="28"/>
  <c r="O43" i="28"/>
  <c r="M44" i="28"/>
  <c r="N44" i="28" s="1"/>
  <c r="O127" i="28"/>
  <c r="K128" i="28"/>
  <c r="M128" i="28"/>
  <c r="N128" i="28" s="1"/>
  <c r="AN58" i="26"/>
  <c r="AN61" i="26" s="1"/>
  <c r="AO48" i="26"/>
  <c r="AM67" i="26"/>
  <c r="AM69" i="26"/>
  <c r="AP38" i="26"/>
  <c r="AO57" i="26"/>
  <c r="AO58" i="27"/>
  <c r="AO61" i="27" s="1"/>
  <c r="AO69" i="27" s="1"/>
  <c r="AP48" i="27"/>
  <c r="AO64" i="27"/>
  <c r="AP31" i="27"/>
  <c r="AO65" i="27"/>
  <c r="AN69" i="27"/>
  <c r="V129" i="28"/>
  <c r="W129" i="28" s="1"/>
  <c r="T129" i="28"/>
  <c r="X128" i="28"/>
  <c r="AO66" i="27" l="1"/>
  <c r="AO67" i="27" s="1"/>
  <c r="AR38" i="27"/>
  <c r="AQ57" i="27"/>
  <c r="AP57" i="26"/>
  <c r="AQ38" i="26"/>
  <c r="X44" i="28"/>
  <c r="T45" i="28"/>
  <c r="V45" i="28"/>
  <c r="W45" i="28" s="1"/>
  <c r="AP58" i="27"/>
  <c r="AP61" i="27" s="1"/>
  <c r="AQ48" i="27"/>
  <c r="AO58" i="26"/>
  <c r="AO61" i="26" s="1"/>
  <c r="AP48" i="26"/>
  <c r="AO65" i="26"/>
  <c r="AO66" i="26" s="1"/>
  <c r="O128" i="28"/>
  <c r="M129" i="28"/>
  <c r="N129" i="28" s="1"/>
  <c r="K129" i="28"/>
  <c r="AP65" i="27"/>
  <c r="AP64" i="27"/>
  <c r="AQ31" i="27"/>
  <c r="T130" i="28"/>
  <c r="X129" i="28"/>
  <c r="V130" i="28"/>
  <c r="W130" i="28" s="1"/>
  <c r="AN67" i="26"/>
  <c r="AN69" i="26"/>
  <c r="K45" i="28"/>
  <c r="M45" i="28"/>
  <c r="N45" i="28" s="1"/>
  <c r="O44" i="28"/>
  <c r="AP64" i="26"/>
  <c r="AQ31" i="26"/>
  <c r="AP58" i="26" l="1"/>
  <c r="AP61" i="26" s="1"/>
  <c r="AQ48" i="26"/>
  <c r="AQ65" i="26" s="1"/>
  <c r="AQ58" i="27"/>
  <c r="AQ61" i="27" s="1"/>
  <c r="AQ69" i="27" s="1"/>
  <c r="AR48" i="27"/>
  <c r="K46" i="28"/>
  <c r="O45" i="28"/>
  <c r="M46" i="28"/>
  <c r="N46" i="28" s="1"/>
  <c r="T46" i="28"/>
  <c r="X45" i="28"/>
  <c r="V46" i="28"/>
  <c r="W46" i="28" s="1"/>
  <c r="AQ65" i="27"/>
  <c r="AQ64" i="27"/>
  <c r="AR31" i="27"/>
  <c r="X130" i="28"/>
  <c r="T131" i="28"/>
  <c r="V131" i="28"/>
  <c r="W131" i="28" s="1"/>
  <c r="AO67" i="26"/>
  <c r="AO69" i="26"/>
  <c r="AQ64" i="26"/>
  <c r="AR31" i="26"/>
  <c r="AR38" i="26"/>
  <c r="AQ57" i="26"/>
  <c r="AP65" i="26"/>
  <c r="AP66" i="26" s="1"/>
  <c r="AP66" i="27"/>
  <c r="AP67" i="27" s="1"/>
  <c r="AP69" i="27"/>
  <c r="O129" i="28"/>
  <c r="K130" i="28"/>
  <c r="M130" i="28"/>
  <c r="N130" i="28" s="1"/>
  <c r="AS38" i="27"/>
  <c r="AR57" i="27"/>
  <c r="AQ66" i="26" l="1"/>
  <c r="AR57" i="26"/>
  <c r="AS38" i="26"/>
  <c r="AR65" i="27"/>
  <c r="AR64" i="27"/>
  <c r="AS31" i="27"/>
  <c r="X46" i="28"/>
  <c r="T47" i="28"/>
  <c r="V47" i="28"/>
  <c r="W47" i="28" s="1"/>
  <c r="AS57" i="27"/>
  <c r="AT38" i="27"/>
  <c r="M47" i="28"/>
  <c r="N47" i="28" s="1"/>
  <c r="K47" i="28"/>
  <c r="O46" i="28"/>
  <c r="AQ66" i="27"/>
  <c r="AQ67" i="27" s="1"/>
  <c r="AR64" i="26"/>
  <c r="AS31" i="26"/>
  <c r="AR58" i="27"/>
  <c r="AR61" i="27" s="1"/>
  <c r="AR69" i="27" s="1"/>
  <c r="AS48" i="27"/>
  <c r="M131" i="28"/>
  <c r="N131" i="28" s="1"/>
  <c r="K131" i="28"/>
  <c r="O130" i="28"/>
  <c r="X131" i="28"/>
  <c r="V132" i="28"/>
  <c r="W132" i="28" s="1"/>
  <c r="T132" i="28"/>
  <c r="AQ58" i="26"/>
  <c r="AQ61" i="26" s="1"/>
  <c r="AR48" i="26"/>
  <c r="AR65" i="26" s="1"/>
  <c r="AP67" i="26"/>
  <c r="AP69" i="26"/>
  <c r="AR66" i="26" l="1"/>
  <c r="AR66" i="27"/>
  <c r="AR67" i="27" s="1"/>
  <c r="X132" i="28"/>
  <c r="T133" i="28"/>
  <c r="V133" i="28"/>
  <c r="W133" i="28" s="1"/>
  <c r="T48" i="28"/>
  <c r="X47" i="28"/>
  <c r="V48" i="28"/>
  <c r="W48" i="28" s="1"/>
  <c r="AT57" i="27"/>
  <c r="AU38" i="27"/>
  <c r="K132" i="28"/>
  <c r="O131" i="28"/>
  <c r="M132" i="28"/>
  <c r="N132" i="28" s="1"/>
  <c r="AS58" i="27"/>
  <c r="AS61" i="27" s="1"/>
  <c r="AT48" i="27"/>
  <c r="AS64" i="27"/>
  <c r="AS65" i="27"/>
  <c r="AT31" i="27"/>
  <c r="AT31" i="26"/>
  <c r="AS64" i="26"/>
  <c r="AR58" i="26"/>
  <c r="AR61" i="26" s="1"/>
  <c r="AS48" i="26"/>
  <c r="AT38" i="26"/>
  <c r="AS57" i="26"/>
  <c r="O47" i="28"/>
  <c r="M48" i="28"/>
  <c r="N48" i="28" s="1"/>
  <c r="K48" i="28"/>
  <c r="AQ67" i="26"/>
  <c r="AQ69" i="26"/>
  <c r="AS66" i="27" l="1"/>
  <c r="AS67" i="27" s="1"/>
  <c r="AT58" i="27"/>
  <c r="AT61" i="27" s="1"/>
  <c r="AT69" i="27" s="1"/>
  <c r="AU48" i="27"/>
  <c r="AT57" i="26"/>
  <c r="AU38" i="26"/>
  <c r="AS58" i="26"/>
  <c r="AS61" i="26" s="1"/>
  <c r="AT48" i="26"/>
  <c r="AR67" i="26"/>
  <c r="AR69" i="26"/>
  <c r="M133" i="28"/>
  <c r="N133" i="28" s="1"/>
  <c r="K133" i="28"/>
  <c r="O132" i="28"/>
  <c r="AS65" i="26"/>
  <c r="AS66" i="26" s="1"/>
  <c r="AU57" i="27"/>
  <c r="AV38" i="27"/>
  <c r="AU31" i="26"/>
  <c r="AT64" i="26"/>
  <c r="T49" i="28"/>
  <c r="X48" i="28"/>
  <c r="V49" i="28"/>
  <c r="W49" i="28" s="1"/>
  <c r="AT64" i="27"/>
  <c r="AU31" i="27"/>
  <c r="AT65" i="27"/>
  <c r="AS69" i="27"/>
  <c r="T134" i="28"/>
  <c r="X133" i="28"/>
  <c r="V134" i="28"/>
  <c r="W134" i="28" s="1"/>
  <c r="O48" i="28"/>
  <c r="K49" i="28"/>
  <c r="M49" i="28"/>
  <c r="N49" i="28" s="1"/>
  <c r="AT66" i="27" l="1"/>
  <c r="AT67" i="27" s="1"/>
  <c r="AV57" i="27"/>
  <c r="AW38" i="27"/>
  <c r="T135" i="28"/>
  <c r="X134" i="28"/>
  <c r="V135" i="28"/>
  <c r="W135" i="28" s="1"/>
  <c r="K134" i="28"/>
  <c r="O133" i="28"/>
  <c r="M134" i="28"/>
  <c r="N134" i="28" s="1"/>
  <c r="AU65" i="27"/>
  <c r="AU64" i="27"/>
  <c r="AV31" i="27"/>
  <c r="AT58" i="26"/>
  <c r="AT61" i="26" s="1"/>
  <c r="AU48" i="26"/>
  <c r="V50" i="28"/>
  <c r="W50" i="28" s="1"/>
  <c r="X49" i="28"/>
  <c r="T50" i="28"/>
  <c r="AS67" i="26"/>
  <c r="AS69" i="26"/>
  <c r="O49" i="28"/>
  <c r="M50" i="28"/>
  <c r="N50" i="28" s="1"/>
  <c r="K50" i="28"/>
  <c r="AV31" i="26"/>
  <c r="AU64" i="26"/>
  <c r="AU58" i="27"/>
  <c r="AU61" i="27" s="1"/>
  <c r="AV48" i="27"/>
  <c r="AU57" i="26"/>
  <c r="AV38" i="26"/>
  <c r="AT65" i="26"/>
  <c r="AT66" i="26" s="1"/>
  <c r="AT67" i="26" l="1"/>
  <c r="AT69" i="26"/>
  <c r="AV64" i="27"/>
  <c r="AV65" i="27"/>
  <c r="AW31" i="27"/>
  <c r="AW31" i="26"/>
  <c r="AV64" i="26"/>
  <c r="AU69" i="27"/>
  <c r="AU58" i="26"/>
  <c r="AU61" i="26" s="1"/>
  <c r="AV48" i="26"/>
  <c r="AV65" i="26" s="1"/>
  <c r="K51" i="28"/>
  <c r="O50" i="28"/>
  <c r="M51" i="28"/>
  <c r="N51" i="28" s="1"/>
  <c r="O134" i="28"/>
  <c r="K135" i="28"/>
  <c r="M135" i="28"/>
  <c r="N135" i="28" s="1"/>
  <c r="AU65" i="26"/>
  <c r="AU66" i="26" s="1"/>
  <c r="X50" i="28"/>
  <c r="T51" i="28"/>
  <c r="V51" i="28"/>
  <c r="W51" i="28" s="1"/>
  <c r="V136" i="28"/>
  <c r="W136" i="28" s="1"/>
  <c r="T136" i="28"/>
  <c r="X135" i="28"/>
  <c r="AV58" i="27"/>
  <c r="AV61" i="27" s="1"/>
  <c r="AV69" i="27" s="1"/>
  <c r="AW48" i="27"/>
  <c r="AU66" i="27"/>
  <c r="AU67" i="27" s="1"/>
  <c r="AV57" i="26"/>
  <c r="AW38" i="26"/>
  <c r="AW57" i="27"/>
  <c r="AX38" i="27"/>
  <c r="AV66" i="26" l="1"/>
  <c r="AU67" i="26"/>
  <c r="AU69" i="26"/>
  <c r="AX31" i="26"/>
  <c r="AW64" i="26"/>
  <c r="AV58" i="26"/>
  <c r="AV61" i="26" s="1"/>
  <c r="AW48" i="26"/>
  <c r="X51" i="28"/>
  <c r="V52" i="28"/>
  <c r="W52" i="28" s="1"/>
  <c r="T52" i="28"/>
  <c r="AW64" i="27"/>
  <c r="AW65" i="27"/>
  <c r="AX31" i="27"/>
  <c r="AX57" i="27"/>
  <c r="AY38" i="27"/>
  <c r="AV66" i="27"/>
  <c r="AV67" i="27" s="1"/>
  <c r="O135" i="28"/>
  <c r="K136" i="28"/>
  <c r="M136" i="28"/>
  <c r="N136" i="28" s="1"/>
  <c r="T137" i="28"/>
  <c r="X136" i="28"/>
  <c r="V137" i="28"/>
  <c r="W137" i="28" s="1"/>
  <c r="AW57" i="26"/>
  <c r="AX38" i="26"/>
  <c r="AW58" i="27"/>
  <c r="AW61" i="27" s="1"/>
  <c r="AX48" i="27"/>
  <c r="K52" i="28"/>
  <c r="O51" i="28"/>
  <c r="M52" i="28"/>
  <c r="N52" i="28" s="1"/>
  <c r="AW66" i="27" l="1"/>
  <c r="AW67" i="27" s="1"/>
  <c r="AW58" i="26"/>
  <c r="AW61" i="26" s="1"/>
  <c r="AX48" i="26"/>
  <c r="AX65" i="26" s="1"/>
  <c r="O136" i="28"/>
  <c r="K137" i="28"/>
  <c r="M137" i="28"/>
  <c r="N137" i="28" s="1"/>
  <c r="X137" i="28"/>
  <c r="T138" i="28"/>
  <c r="V138" i="28"/>
  <c r="W138" i="28" s="1"/>
  <c r="AW69" i="27"/>
  <c r="T53" i="28"/>
  <c r="X52" i="28"/>
  <c r="V53" i="28"/>
  <c r="W53" i="28" s="1"/>
  <c r="AY57" i="27"/>
  <c r="AZ38" i="27"/>
  <c r="K53" i="28"/>
  <c r="O52" i="28"/>
  <c r="M53" i="28"/>
  <c r="N53" i="28" s="1"/>
  <c r="AX57" i="26"/>
  <c r="AY38" i="26"/>
  <c r="AV67" i="26"/>
  <c r="AV69" i="26"/>
  <c r="AY31" i="26"/>
  <c r="AX64" i="26"/>
  <c r="AW65" i="26"/>
  <c r="AW66" i="26" s="1"/>
  <c r="AX58" i="27"/>
  <c r="AX61" i="27" s="1"/>
  <c r="AY48" i="27"/>
  <c r="AX64" i="27"/>
  <c r="AX65" i="27"/>
  <c r="AY31" i="27"/>
  <c r="AX66" i="26" l="1"/>
  <c r="AX66" i="27"/>
  <c r="AX67" i="27" s="1"/>
  <c r="AZ57" i="27"/>
  <c r="BA38" i="27"/>
  <c r="AY57" i="26"/>
  <c r="AZ38" i="26"/>
  <c r="X53" i="28"/>
  <c r="T54" i="28"/>
  <c r="V54" i="28"/>
  <c r="W54" i="28" s="1"/>
  <c r="X138" i="28"/>
  <c r="T139" i="28"/>
  <c r="V139" i="28"/>
  <c r="W139" i="28" s="1"/>
  <c r="AY58" i="27"/>
  <c r="AY61" i="27" s="1"/>
  <c r="AY69" i="27" s="1"/>
  <c r="AZ48" i="27"/>
  <c r="AX69" i="27"/>
  <c r="AX58" i="26"/>
  <c r="AX61" i="26" s="1"/>
  <c r="AY48" i="26"/>
  <c r="AY65" i="26" s="1"/>
  <c r="AZ31" i="26"/>
  <c r="AY64" i="26"/>
  <c r="O137" i="28"/>
  <c r="M138" i="28"/>
  <c r="N138" i="28" s="1"/>
  <c r="K138" i="28"/>
  <c r="AY64" i="27"/>
  <c r="AY65" i="27"/>
  <c r="AZ31" i="27"/>
  <c r="M54" i="28"/>
  <c r="N54" i="28" s="1"/>
  <c r="K54" i="28"/>
  <c r="O53" i="28"/>
  <c r="AW67" i="26"/>
  <c r="AW69" i="26"/>
  <c r="AY66" i="27" l="1"/>
  <c r="AY67" i="27" s="1"/>
  <c r="AY66" i="26"/>
  <c r="O54" i="28"/>
  <c r="K55" i="28"/>
  <c r="M55" i="28"/>
  <c r="N55" i="28" s="1"/>
  <c r="AZ64" i="27"/>
  <c r="AZ65" i="27"/>
  <c r="BA31" i="27"/>
  <c r="X139" i="28"/>
  <c r="V140" i="28"/>
  <c r="W140" i="28" s="1"/>
  <c r="T140" i="28"/>
  <c r="K139" i="28"/>
  <c r="M139" i="28"/>
  <c r="N139" i="28" s="1"/>
  <c r="O138" i="28"/>
  <c r="T55" i="28"/>
  <c r="V55" i="28"/>
  <c r="W55" i="28" s="1"/>
  <c r="X54" i="28"/>
  <c r="BA31" i="26"/>
  <c r="AZ64" i="26"/>
  <c r="BA38" i="26"/>
  <c r="AZ57" i="26"/>
  <c r="BA57" i="27"/>
  <c r="BB38" i="27"/>
  <c r="AX67" i="26"/>
  <c r="AX69" i="26"/>
  <c r="AZ58" i="27"/>
  <c r="AZ61" i="27" s="1"/>
  <c r="BA48" i="27"/>
  <c r="AY58" i="26"/>
  <c r="AY61" i="26" s="1"/>
  <c r="AZ48" i="26"/>
  <c r="AZ65" i="26" s="1"/>
  <c r="AZ66" i="27" l="1"/>
  <c r="AZ67" i="27" s="1"/>
  <c r="T56" i="28"/>
  <c r="X55" i="28"/>
  <c r="V56" i="28"/>
  <c r="W56" i="28" s="1"/>
  <c r="M140" i="28"/>
  <c r="N140" i="28" s="1"/>
  <c r="K140" i="28"/>
  <c r="O139" i="28"/>
  <c r="X140" i="28"/>
  <c r="V141" i="28"/>
  <c r="W141" i="28" s="1"/>
  <c r="T141" i="28"/>
  <c r="AZ66" i="26"/>
  <c r="BC38" i="27"/>
  <c r="BB57" i="27"/>
  <c r="BB38" i="26"/>
  <c r="BA57" i="26"/>
  <c r="BB31" i="26"/>
  <c r="BA64" i="26"/>
  <c r="AZ69" i="27"/>
  <c r="AZ58" i="26"/>
  <c r="AZ61" i="26" s="1"/>
  <c r="BA48" i="26"/>
  <c r="AY67" i="26"/>
  <c r="AY69" i="26"/>
  <c r="O55" i="28"/>
  <c r="M56" i="28"/>
  <c r="N56" i="28" s="1"/>
  <c r="K56" i="28"/>
  <c r="BA65" i="27"/>
  <c r="BA64" i="27"/>
  <c r="BB31" i="27"/>
  <c r="BA58" i="27"/>
  <c r="BA61" i="27" s="1"/>
  <c r="BA69" i="27" s="1"/>
  <c r="BB48" i="27"/>
  <c r="BA66" i="27" l="1"/>
  <c r="BA67" i="27" s="1"/>
  <c r="BC38" i="26"/>
  <c r="BB57" i="26"/>
  <c r="BC57" i="27"/>
  <c r="BD38" i="27"/>
  <c r="BA58" i="26"/>
  <c r="BA61" i="26" s="1"/>
  <c r="BB48" i="26"/>
  <c r="BB65" i="26" s="1"/>
  <c r="AZ67" i="26"/>
  <c r="AZ69" i="26"/>
  <c r="K141" i="28"/>
  <c r="O140" i="28"/>
  <c r="M141" i="28"/>
  <c r="N141" i="28" s="1"/>
  <c r="BB64" i="26"/>
  <c r="BC31" i="26"/>
  <c r="T142" i="28"/>
  <c r="X141" i="28"/>
  <c r="V142" i="28"/>
  <c r="W142" i="28" s="1"/>
  <c r="BB58" i="27"/>
  <c r="BB61" i="27" s="1"/>
  <c r="BB69" i="27" s="1"/>
  <c r="BC48" i="27"/>
  <c r="BB65" i="27"/>
  <c r="BB64" i="27"/>
  <c r="BC31" i="27"/>
  <c r="M57" i="28"/>
  <c r="N57" i="28" s="1"/>
  <c r="K57" i="28"/>
  <c r="O56" i="28"/>
  <c r="BA65" i="26"/>
  <c r="BA66" i="26" s="1"/>
  <c r="V57" i="28"/>
  <c r="W57" i="28" s="1"/>
  <c r="X56" i="28"/>
  <c r="T57" i="28"/>
  <c r="BB66" i="26" l="1"/>
  <c r="BB66" i="27"/>
  <c r="BB67" i="27" s="1"/>
  <c r="BB58" i="26"/>
  <c r="BB61" i="26" s="1"/>
  <c r="BC48" i="26"/>
  <c r="BA67" i="26"/>
  <c r="BA69" i="26"/>
  <c r="M58" i="28"/>
  <c r="N58" i="28" s="1"/>
  <c r="K58" i="28"/>
  <c r="O57" i="28"/>
  <c r="BC65" i="27"/>
  <c r="BC64" i="27"/>
  <c r="BD31" i="27"/>
  <c r="O141" i="28"/>
  <c r="K142" i="28"/>
  <c r="M142" i="28"/>
  <c r="N142" i="28" s="1"/>
  <c r="BC58" i="27"/>
  <c r="BC61" i="27" s="1"/>
  <c r="BC69" i="27" s="1"/>
  <c r="BD48" i="27"/>
  <c r="X57" i="28"/>
  <c r="T58" i="28"/>
  <c r="V58" i="28"/>
  <c r="W58" i="28" s="1"/>
  <c r="BD57" i="27"/>
  <c r="BE38" i="27"/>
  <c r="T143" i="28"/>
  <c r="X142" i="28"/>
  <c r="V143" i="28"/>
  <c r="W143" i="28" s="1"/>
  <c r="BC64" i="26"/>
  <c r="BD31" i="26"/>
  <c r="BD38" i="26"/>
  <c r="BC57" i="26"/>
  <c r="K59" i="28" l="1"/>
  <c r="O58" i="28"/>
  <c r="M59" i="28"/>
  <c r="N59" i="28" s="1"/>
  <c r="BC66" i="27"/>
  <c r="BC67" i="27" s="1"/>
  <c r="BF38" i="27"/>
  <c r="BE57" i="27"/>
  <c r="X58" i="28"/>
  <c r="T59" i="28"/>
  <c r="V59" i="28"/>
  <c r="W59" i="28" s="1"/>
  <c r="BD58" i="27"/>
  <c r="BD61" i="27" s="1"/>
  <c r="BE48" i="27"/>
  <c r="BE38" i="26"/>
  <c r="BD57" i="26"/>
  <c r="BD64" i="26"/>
  <c r="BE31" i="26"/>
  <c r="BB67" i="26"/>
  <c r="BB69" i="26"/>
  <c r="BD65" i="27"/>
  <c r="BD64" i="27"/>
  <c r="BE31" i="27"/>
  <c r="T144" i="28"/>
  <c r="X143" i="28"/>
  <c r="V144" i="28"/>
  <c r="W144" i="28" s="1"/>
  <c r="BC58" i="26"/>
  <c r="BC61" i="26" s="1"/>
  <c r="BD48" i="26"/>
  <c r="BD65" i="26" s="1"/>
  <c r="BC65" i="26"/>
  <c r="BC66" i="26" s="1"/>
  <c r="O142" i="28"/>
  <c r="M143" i="28"/>
  <c r="N143" i="28" s="1"/>
  <c r="K143" i="28"/>
  <c r="BD66" i="26" l="1"/>
  <c r="BC67" i="26"/>
  <c r="BC69" i="26"/>
  <c r="BF38" i="26"/>
  <c r="BE57" i="26"/>
  <c r="BD66" i="27"/>
  <c r="BD67" i="27" s="1"/>
  <c r="BD69" i="27"/>
  <c r="O143" i="28"/>
  <c r="K144" i="28"/>
  <c r="M144" i="28"/>
  <c r="N144" i="28" s="1"/>
  <c r="BG38" i="27"/>
  <c r="BF57" i="27"/>
  <c r="BE58" i="27"/>
  <c r="BE61" i="27" s="1"/>
  <c r="BF48" i="27"/>
  <c r="X144" i="28"/>
  <c r="T145" i="28"/>
  <c r="V145" i="28"/>
  <c r="W145" i="28" s="1"/>
  <c r="X59" i="28"/>
  <c r="T60" i="28"/>
  <c r="V60" i="28"/>
  <c r="W60" i="28" s="1"/>
  <c r="BE64" i="27"/>
  <c r="BF31" i="27"/>
  <c r="BE65" i="27"/>
  <c r="BE64" i="26"/>
  <c r="BF31" i="26"/>
  <c r="BD58" i="26"/>
  <c r="BD61" i="26" s="1"/>
  <c r="BE48" i="26"/>
  <c r="BE65" i="26" s="1"/>
  <c r="K60" i="28"/>
  <c r="O59" i="28"/>
  <c r="M60" i="28"/>
  <c r="N60" i="28" s="1"/>
  <c r="BE66" i="27" l="1"/>
  <c r="BE67" i="27" s="1"/>
  <c r="BE66" i="26"/>
  <c r="BF64" i="26"/>
  <c r="BG31" i="26"/>
  <c r="M145" i="28"/>
  <c r="N145" i="28" s="1"/>
  <c r="O144" i="28"/>
  <c r="K145" i="28"/>
  <c r="BF58" i="27"/>
  <c r="BF61" i="27" s="1"/>
  <c r="BF69" i="27" s="1"/>
  <c r="BG48" i="27"/>
  <c r="BF65" i="27"/>
  <c r="BF64" i="27"/>
  <c r="BG31" i="27"/>
  <c r="BG57" i="27"/>
  <c r="BH38" i="27"/>
  <c r="BE69" i="27"/>
  <c r="V61" i="28"/>
  <c r="W61" i="28" s="1"/>
  <c r="T61" i="28"/>
  <c r="X60" i="28"/>
  <c r="X145" i="28"/>
  <c r="T146" i="28"/>
  <c r="V146" i="28"/>
  <c r="W146" i="28" s="1"/>
  <c r="M61" i="28"/>
  <c r="N61" i="28" s="1"/>
  <c r="O60" i="28"/>
  <c r="K61" i="28"/>
  <c r="BG38" i="26"/>
  <c r="BF57" i="26"/>
  <c r="BE58" i="26"/>
  <c r="BE61" i="26" s="1"/>
  <c r="BF48" i="26"/>
  <c r="BF65" i="26" s="1"/>
  <c r="BD67" i="26"/>
  <c r="BD69" i="26"/>
  <c r="BF66" i="27" l="1"/>
  <c r="BF67" i="27" s="1"/>
  <c r="X146" i="28"/>
  <c r="T147" i="28"/>
  <c r="V147" i="28"/>
  <c r="W147" i="28" s="1"/>
  <c r="T62" i="28"/>
  <c r="X61" i="28"/>
  <c r="V62" i="28"/>
  <c r="W62" i="28" s="1"/>
  <c r="BG64" i="26"/>
  <c r="BH31" i="26"/>
  <c r="O61" i="28"/>
  <c r="M62" i="28"/>
  <c r="N62" i="28" s="1"/>
  <c r="K62" i="28"/>
  <c r="BG58" i="27"/>
  <c r="BG61" i="27" s="1"/>
  <c r="BH48" i="27"/>
  <c r="K146" i="28"/>
  <c r="O145" i="28"/>
  <c r="M146" i="28"/>
  <c r="N146" i="28" s="1"/>
  <c r="BF66" i="26"/>
  <c r="BH38" i="26"/>
  <c r="BG57" i="26"/>
  <c r="BF58" i="26"/>
  <c r="BF61" i="26" s="1"/>
  <c r="BG48" i="26"/>
  <c r="BH57" i="27"/>
  <c r="BI38" i="27"/>
  <c r="BG64" i="27"/>
  <c r="BG65" i="27"/>
  <c r="BH31" i="27"/>
  <c r="BE67" i="26"/>
  <c r="BE69" i="26"/>
  <c r="BG66" i="27" l="1"/>
  <c r="BG67" i="27" s="1"/>
  <c r="BI31" i="26"/>
  <c r="BH64" i="26"/>
  <c r="BH57" i="26"/>
  <c r="BI38" i="26"/>
  <c r="O62" i="28"/>
  <c r="K63" i="28"/>
  <c r="M63" i="28"/>
  <c r="N63" i="28" s="1"/>
  <c r="BI57" i="27"/>
  <c r="BJ38" i="27"/>
  <c r="BG58" i="26"/>
  <c r="BG61" i="26" s="1"/>
  <c r="BH48" i="26"/>
  <c r="BG65" i="26"/>
  <c r="BG66" i="26" s="1"/>
  <c r="BG69" i="27"/>
  <c r="V148" i="28"/>
  <c r="W148" i="28" s="1"/>
  <c r="X147" i="28"/>
  <c r="T148" i="28"/>
  <c r="BF67" i="26"/>
  <c r="BF69" i="26"/>
  <c r="T63" i="28"/>
  <c r="X62" i="28"/>
  <c r="V63" i="28"/>
  <c r="W63" i="28" s="1"/>
  <c r="K147" i="28"/>
  <c r="O146" i="28"/>
  <c r="M147" i="28"/>
  <c r="N147" i="28" s="1"/>
  <c r="BH64" i="27"/>
  <c r="BI31" i="27"/>
  <c r="BH65" i="27"/>
  <c r="BH58" i="27"/>
  <c r="BH61" i="27" s="1"/>
  <c r="BH69" i="27" s="1"/>
  <c r="BI48" i="27"/>
  <c r="BG67" i="26" l="1"/>
  <c r="BG69" i="26"/>
  <c r="BI58" i="27"/>
  <c r="BI61" i="27" s="1"/>
  <c r="BJ48" i="27"/>
  <c r="BI64" i="26"/>
  <c r="BJ31" i="26"/>
  <c r="BH58" i="26"/>
  <c r="BH61" i="26" s="1"/>
  <c r="BI48" i="26"/>
  <c r="BI65" i="26" s="1"/>
  <c r="K148" i="28"/>
  <c r="O147" i="28"/>
  <c r="M148" i="28"/>
  <c r="N148" i="28" s="1"/>
  <c r="V64" i="28"/>
  <c r="W64" i="28" s="1"/>
  <c r="T64" i="28"/>
  <c r="X63" i="28"/>
  <c r="T149" i="28"/>
  <c r="X148" i="28"/>
  <c r="V149" i="28"/>
  <c r="W149" i="28" s="1"/>
  <c r="BJ57" i="27"/>
  <c r="BK38" i="27"/>
  <c r="K64" i="28"/>
  <c r="O63" i="28"/>
  <c r="M64" i="28"/>
  <c r="N64" i="28" s="1"/>
  <c r="BI57" i="26"/>
  <c r="BJ38" i="26"/>
  <c r="BH66" i="27"/>
  <c r="BH67" i="27" s="1"/>
  <c r="BI65" i="27"/>
  <c r="BI64" i="27"/>
  <c r="BJ31" i="27"/>
  <c r="BH65" i="26"/>
  <c r="BH66" i="26" s="1"/>
  <c r="BI66" i="26" l="1"/>
  <c r="BJ57" i="26"/>
  <c r="BK38" i="26"/>
  <c r="O148" i="28"/>
  <c r="K149" i="28"/>
  <c r="M149" i="28"/>
  <c r="N149" i="28" s="1"/>
  <c r="BK57" i="27"/>
  <c r="BL38" i="27"/>
  <c r="BH67" i="26"/>
  <c r="BH69" i="26"/>
  <c r="BJ65" i="27"/>
  <c r="BJ64" i="27"/>
  <c r="BK31" i="27"/>
  <c r="O64" i="28"/>
  <c r="K65" i="28"/>
  <c r="M65" i="28"/>
  <c r="N65" i="28" s="1"/>
  <c r="T150" i="28"/>
  <c r="X149" i="28"/>
  <c r="V150" i="28"/>
  <c r="W150" i="28" s="1"/>
  <c r="BI69" i="27"/>
  <c r="X64" i="28"/>
  <c r="T65" i="28"/>
  <c r="V65" i="28"/>
  <c r="W65" i="28" s="1"/>
  <c r="BI58" i="26"/>
  <c r="BI61" i="26" s="1"/>
  <c r="BJ48" i="26"/>
  <c r="BJ65" i="26" s="1"/>
  <c r="BK31" i="26"/>
  <c r="BJ64" i="26"/>
  <c r="BJ58" i="27"/>
  <c r="BJ61" i="27" s="1"/>
  <c r="BJ69" i="27" s="1"/>
  <c r="BK48" i="27"/>
  <c r="BI66" i="27"/>
  <c r="BI67" i="27" s="1"/>
  <c r="BJ66" i="26" l="1"/>
  <c r="BK64" i="26"/>
  <c r="BL31" i="26"/>
  <c r="BJ66" i="27"/>
  <c r="BJ67" i="27" s="1"/>
  <c r="O149" i="28"/>
  <c r="M150" i="28"/>
  <c r="N150" i="28" s="1"/>
  <c r="K150" i="28"/>
  <c r="BK64" i="27"/>
  <c r="BK65" i="27"/>
  <c r="BL31" i="27"/>
  <c r="BI67" i="26"/>
  <c r="BI69" i="26"/>
  <c r="BK58" i="27"/>
  <c r="BK61" i="27" s="1"/>
  <c r="BK69" i="27" s="1"/>
  <c r="BL48" i="27"/>
  <c r="K66" i="28"/>
  <c r="M66" i="28"/>
  <c r="N66" i="28" s="1"/>
  <c r="O65" i="28"/>
  <c r="BK57" i="26"/>
  <c r="BL38" i="26"/>
  <c r="BJ58" i="26"/>
  <c r="BJ61" i="26" s="1"/>
  <c r="BK48" i="26"/>
  <c r="X65" i="28"/>
  <c r="T66" i="28"/>
  <c r="V66" i="28"/>
  <c r="W66" i="28" s="1"/>
  <c r="BL57" i="27"/>
  <c r="BM38" i="27"/>
  <c r="T151" i="28"/>
  <c r="X150" i="28"/>
  <c r="V151" i="28"/>
  <c r="W151" i="28" s="1"/>
  <c r="BK66" i="27" l="1"/>
  <c r="BK67" i="27" s="1"/>
  <c r="X66" i="28"/>
  <c r="T67" i="28"/>
  <c r="V67" i="28"/>
  <c r="W67" i="28" s="1"/>
  <c r="K67" i="28"/>
  <c r="M67" i="28"/>
  <c r="N67" i="28" s="1"/>
  <c r="O66" i="28"/>
  <c r="BM31" i="26"/>
  <c r="BL64" i="26"/>
  <c r="BK58" i="26"/>
  <c r="BK61" i="26" s="1"/>
  <c r="BL48" i="26"/>
  <c r="BL58" i="27"/>
  <c r="BL61" i="27" s="1"/>
  <c r="BM48" i="27"/>
  <c r="BL64" i="27"/>
  <c r="BL65" i="27"/>
  <c r="BM31" i="27"/>
  <c r="BJ67" i="26"/>
  <c r="BJ69" i="26"/>
  <c r="O150" i="28"/>
  <c r="M151" i="28"/>
  <c r="N151" i="28" s="1"/>
  <c r="K151" i="28"/>
  <c r="BK65" i="26"/>
  <c r="BK66" i="26" s="1"/>
  <c r="BL57" i="26"/>
  <c r="BM38" i="26"/>
  <c r="X151" i="28"/>
  <c r="T152" i="28"/>
  <c r="V152" i="28"/>
  <c r="W152" i="28" s="1"/>
  <c r="BM57" i="27"/>
  <c r="BN38" i="27"/>
  <c r="BL66" i="27" l="1"/>
  <c r="BL67" i="27" s="1"/>
  <c r="BL58" i="26"/>
  <c r="BL61" i="26" s="1"/>
  <c r="BM48" i="26"/>
  <c r="BM65" i="26" s="1"/>
  <c r="BM64" i="27"/>
  <c r="BM65" i="27"/>
  <c r="BN31" i="27"/>
  <c r="O67" i="28"/>
  <c r="K68" i="28"/>
  <c r="M68" i="28"/>
  <c r="N68" i="28" s="1"/>
  <c r="BL65" i="26"/>
  <c r="BL66" i="26" s="1"/>
  <c r="BK67" i="26"/>
  <c r="BK69" i="26"/>
  <c r="M152" i="28"/>
  <c r="N152" i="28" s="1"/>
  <c r="K152" i="28"/>
  <c r="O151" i="28"/>
  <c r="BM58" i="27"/>
  <c r="BM61" i="27" s="1"/>
  <c r="BM69" i="27" s="1"/>
  <c r="BN48" i="27"/>
  <c r="BM57" i="26"/>
  <c r="BN38" i="26"/>
  <c r="BM64" i="26"/>
  <c r="BN31" i="26"/>
  <c r="BN57" i="27"/>
  <c r="BO38" i="27"/>
  <c r="BL69" i="27"/>
  <c r="T68" i="28"/>
  <c r="X67" i="28"/>
  <c r="V68" i="28"/>
  <c r="W68" i="28" s="1"/>
  <c r="X152" i="28"/>
  <c r="V153" i="28"/>
  <c r="W153" i="28" s="1"/>
  <c r="T153" i="28"/>
  <c r="X68" i="28" l="1"/>
  <c r="T69" i="28"/>
  <c r="V69" i="28"/>
  <c r="W69" i="28" s="1"/>
  <c r="O68" i="28"/>
  <c r="K69" i="28"/>
  <c r="M69" i="28"/>
  <c r="N69" i="28" s="1"/>
  <c r="BN64" i="27"/>
  <c r="BN65" i="27"/>
  <c r="BO31" i="27"/>
  <c r="BO38" i="26"/>
  <c r="BN57" i="26"/>
  <c r="BM66" i="27"/>
  <c r="BM67" i="27" s="1"/>
  <c r="BO57" i="27"/>
  <c r="BP38" i="27"/>
  <c r="X153" i="28"/>
  <c r="T154" i="28"/>
  <c r="V154" i="28"/>
  <c r="W154" i="28" s="1"/>
  <c r="K153" i="28"/>
  <c r="O152" i="28"/>
  <c r="M153" i="28"/>
  <c r="N153" i="28" s="1"/>
  <c r="BM66" i="26"/>
  <c r="BN58" i="27"/>
  <c r="BN61" i="27" s="1"/>
  <c r="BN69" i="27" s="1"/>
  <c r="BO48" i="27"/>
  <c r="BO31" i="26"/>
  <c r="BN64" i="26"/>
  <c r="BM58" i="26"/>
  <c r="BM61" i="26" s="1"/>
  <c r="BN48" i="26"/>
  <c r="BN65" i="26" s="1"/>
  <c r="BL67" i="26"/>
  <c r="BL69" i="26"/>
  <c r="BO64" i="26" l="1"/>
  <c r="BP31" i="26"/>
  <c r="BO58" i="27"/>
  <c r="BO61" i="27" s="1"/>
  <c r="BO69" i="27" s="1"/>
  <c r="BP48" i="27"/>
  <c r="K154" i="28"/>
  <c r="O153" i="28"/>
  <c r="M154" i="28"/>
  <c r="N154" i="28" s="1"/>
  <c r="O69" i="28"/>
  <c r="K70" i="28"/>
  <c r="M70" i="28"/>
  <c r="N70" i="28" s="1"/>
  <c r="BP38" i="26"/>
  <c r="BO57" i="26"/>
  <c r="V155" i="28"/>
  <c r="W155" i="28" s="1"/>
  <c r="T155" i="28"/>
  <c r="X154" i="28"/>
  <c r="BN66" i="26"/>
  <c r="BN66" i="27"/>
  <c r="BN67" i="27" s="1"/>
  <c r="BM67" i="26"/>
  <c r="BM69" i="26"/>
  <c r="T70" i="28"/>
  <c r="X69" i="28"/>
  <c r="V70" i="28"/>
  <c r="W70" i="28" s="1"/>
  <c r="BO64" i="27"/>
  <c r="BO65" i="27"/>
  <c r="BP31" i="27"/>
  <c r="BN58" i="26"/>
  <c r="BN61" i="26" s="1"/>
  <c r="BO48" i="26"/>
  <c r="BQ38" i="27"/>
  <c r="BP57" i="27"/>
  <c r="BO66" i="27" l="1"/>
  <c r="BO67" i="27" s="1"/>
  <c r="BP57" i="26"/>
  <c r="BQ38" i="26"/>
  <c r="T71" i="28"/>
  <c r="X70" i="28"/>
  <c r="V71" i="28"/>
  <c r="W71" i="28" s="1"/>
  <c r="BR38" i="27"/>
  <c r="BQ57" i="27"/>
  <c r="BP58" i="27"/>
  <c r="BP61" i="27" s="1"/>
  <c r="BQ48" i="27"/>
  <c r="BO58" i="26"/>
  <c r="BO61" i="26" s="1"/>
  <c r="BP48" i="26"/>
  <c r="T156" i="28"/>
  <c r="X155" i="28"/>
  <c r="V156" i="28"/>
  <c r="W156" i="28" s="1"/>
  <c r="BQ31" i="26"/>
  <c r="BP64" i="26"/>
  <c r="O70" i="28"/>
  <c r="K71" i="28"/>
  <c r="M71" i="28"/>
  <c r="N71" i="28" s="1"/>
  <c r="K155" i="28"/>
  <c r="O154" i="28"/>
  <c r="M155" i="28"/>
  <c r="N155" i="28" s="1"/>
  <c r="BN67" i="26"/>
  <c r="BN69" i="26"/>
  <c r="BP64" i="27"/>
  <c r="BP65" i="27"/>
  <c r="BQ31" i="27"/>
  <c r="BO65" i="26"/>
  <c r="BO66" i="26" s="1"/>
  <c r="BP58" i="26" l="1"/>
  <c r="BP61" i="26" s="1"/>
  <c r="BQ48" i="26"/>
  <c r="BQ65" i="26" s="1"/>
  <c r="O155" i="28"/>
  <c r="K156" i="28"/>
  <c r="M156" i="28"/>
  <c r="N156" i="28" s="1"/>
  <c r="BR57" i="27"/>
  <c r="BS38" i="27"/>
  <c r="BO67" i="26"/>
  <c r="BO69" i="26"/>
  <c r="V72" i="28"/>
  <c r="W72" i="28" s="1"/>
  <c r="X71" i="28"/>
  <c r="T72" i="28"/>
  <c r="BQ58" i="27"/>
  <c r="BQ61" i="27" s="1"/>
  <c r="BR48" i="27"/>
  <c r="BR38" i="26"/>
  <c r="BQ57" i="26"/>
  <c r="T157" i="28"/>
  <c r="X156" i="28"/>
  <c r="V157" i="28"/>
  <c r="W157" i="28" s="1"/>
  <c r="O71" i="28"/>
  <c r="K72" i="28"/>
  <c r="M72" i="28"/>
  <c r="N72" i="28" s="1"/>
  <c r="BQ65" i="27"/>
  <c r="BR31" i="27"/>
  <c r="BQ64" i="27"/>
  <c r="BP66" i="27"/>
  <c r="BP67" i="27" s="1"/>
  <c r="BP65" i="26"/>
  <c r="BP66" i="26" s="1"/>
  <c r="BQ64" i="26"/>
  <c r="BR31" i="26"/>
  <c r="BP69" i="27"/>
  <c r="BQ66" i="26" l="1"/>
  <c r="X72" i="28"/>
  <c r="T73" i="28"/>
  <c r="V73" i="28"/>
  <c r="W73" i="28" s="1"/>
  <c r="BQ66" i="27"/>
  <c r="BQ67" i="27" s="1"/>
  <c r="O72" i="28"/>
  <c r="K73" i="28"/>
  <c r="M73" i="28"/>
  <c r="N73" i="28" s="1"/>
  <c r="BR64" i="26"/>
  <c r="BS31" i="26"/>
  <c r="O156" i="28"/>
  <c r="M157" i="28"/>
  <c r="N157" i="28" s="1"/>
  <c r="K157" i="28"/>
  <c r="BR65" i="27"/>
  <c r="BS31" i="27"/>
  <c r="BR64" i="27"/>
  <c r="BQ69" i="27"/>
  <c r="BQ58" i="26"/>
  <c r="BQ61" i="26" s="1"/>
  <c r="BR48" i="26"/>
  <c r="BR65" i="26" s="1"/>
  <c r="BR58" i="27"/>
  <c r="BR61" i="27" s="1"/>
  <c r="BR69" i="27" s="1"/>
  <c r="BS48" i="27"/>
  <c r="BT38" i="27"/>
  <c r="BS57" i="27"/>
  <c r="T158" i="28"/>
  <c r="X157" i="28"/>
  <c r="V158" i="28"/>
  <c r="W158" i="28" s="1"/>
  <c r="BR57" i="26"/>
  <c r="BS38" i="26"/>
  <c r="BP67" i="26"/>
  <c r="BP69" i="26"/>
  <c r="BR66" i="26" l="1"/>
  <c r="BS64" i="26"/>
  <c r="BT31" i="26"/>
  <c r="O157" i="28"/>
  <c r="M158" i="28"/>
  <c r="N158" i="28" s="1"/>
  <c r="K158" i="28"/>
  <c r="BQ67" i="26"/>
  <c r="BQ69" i="26"/>
  <c r="X158" i="28"/>
  <c r="T159" i="28"/>
  <c r="V159" i="28"/>
  <c r="W159" i="28" s="1"/>
  <c r="BU38" i="27"/>
  <c r="BT57" i="27"/>
  <c r="BS58" i="27"/>
  <c r="BS61" i="27" s="1"/>
  <c r="BS69" i="27" s="1"/>
  <c r="BT48" i="27"/>
  <c r="BR58" i="26"/>
  <c r="BR61" i="26" s="1"/>
  <c r="BS48" i="26"/>
  <c r="K74" i="28"/>
  <c r="M74" i="28"/>
  <c r="N74" i="28" s="1"/>
  <c r="O73" i="28"/>
  <c r="BS65" i="27"/>
  <c r="BS64" i="27"/>
  <c r="BT31" i="27"/>
  <c r="BT38" i="26"/>
  <c r="BS57" i="26"/>
  <c r="BR66" i="27"/>
  <c r="BR67" i="27" s="1"/>
  <c r="T74" i="28"/>
  <c r="X73" i="28"/>
  <c r="V74" i="28"/>
  <c r="W74" i="28" s="1"/>
  <c r="X159" i="28" l="1"/>
  <c r="T160" i="28"/>
  <c r="V160" i="28"/>
  <c r="W160" i="28" s="1"/>
  <c r="BT64" i="26"/>
  <c r="BU31" i="26"/>
  <c r="BS66" i="27"/>
  <c r="BS67" i="27" s="1"/>
  <c r="K159" i="28"/>
  <c r="O158" i="28"/>
  <c r="M159" i="28"/>
  <c r="N159" i="28" s="1"/>
  <c r="O74" i="28"/>
  <c r="K75" i="28"/>
  <c r="M75" i="28"/>
  <c r="N75" i="28" s="1"/>
  <c r="BS58" i="26"/>
  <c r="BS61" i="26" s="1"/>
  <c r="BT48" i="26"/>
  <c r="BT65" i="26" s="1"/>
  <c r="BR67" i="26"/>
  <c r="BR69" i="26"/>
  <c r="BS65" i="26"/>
  <c r="BS66" i="26" s="1"/>
  <c r="BT57" i="26"/>
  <c r="BU38" i="26"/>
  <c r="BT58" i="27"/>
  <c r="BT61" i="27" s="1"/>
  <c r="BT69" i="27" s="1"/>
  <c r="BU48" i="27"/>
  <c r="BU57" i="27"/>
  <c r="BV38" i="27"/>
  <c r="BT65" i="27"/>
  <c r="BT64" i="27"/>
  <c r="BU31" i="27"/>
  <c r="T75" i="28"/>
  <c r="X74" i="28"/>
  <c r="V75" i="28"/>
  <c r="W75" i="28" s="1"/>
  <c r="BT66" i="26" l="1"/>
  <c r="BU58" i="27"/>
  <c r="BU61" i="27" s="1"/>
  <c r="BU69" i="27" s="1"/>
  <c r="BV48" i="27"/>
  <c r="BV31" i="26"/>
  <c r="BU64" i="26"/>
  <c r="BV57" i="27"/>
  <c r="BW38" i="27"/>
  <c r="K160" i="28"/>
  <c r="O159" i="28"/>
  <c r="M160" i="28"/>
  <c r="N160" i="28" s="1"/>
  <c r="BV38" i="26"/>
  <c r="BU57" i="26"/>
  <c r="BT58" i="26"/>
  <c r="BT61" i="26" s="1"/>
  <c r="BU48" i="26"/>
  <c r="BU65" i="26" s="1"/>
  <c r="X160" i="28"/>
  <c r="T161" i="28"/>
  <c r="V161" i="28"/>
  <c r="W161" i="28" s="1"/>
  <c r="BT66" i="27"/>
  <c r="BT67" i="27" s="1"/>
  <c r="K76" i="28"/>
  <c r="M76" i="28"/>
  <c r="N76" i="28" s="1"/>
  <c r="O75" i="28"/>
  <c r="X75" i="28"/>
  <c r="T76" i="28"/>
  <c r="V76" i="28"/>
  <c r="W76" i="28" s="1"/>
  <c r="BU64" i="27"/>
  <c r="BU65" i="27"/>
  <c r="BV31" i="27"/>
  <c r="BS67" i="26"/>
  <c r="BS69" i="26"/>
  <c r="BU66" i="26" l="1"/>
  <c r="K161" i="28"/>
  <c r="O160" i="28"/>
  <c r="M161" i="28"/>
  <c r="N161" i="28" s="1"/>
  <c r="BV57" i="26"/>
  <c r="BW38" i="26"/>
  <c r="BW57" i="27"/>
  <c r="BX38" i="27"/>
  <c r="O76" i="28"/>
  <c r="K77" i="28"/>
  <c r="M77" i="28"/>
  <c r="N77" i="28" s="1"/>
  <c r="BV64" i="26"/>
  <c r="BW31" i="26"/>
  <c r="X161" i="28"/>
  <c r="V162" i="28"/>
  <c r="W162" i="28" s="1"/>
  <c r="T162" i="28"/>
  <c r="T77" i="28"/>
  <c r="V77" i="28"/>
  <c r="W77" i="28" s="1"/>
  <c r="X76" i="28"/>
  <c r="BV65" i="27"/>
  <c r="BW31" i="27"/>
  <c r="BV64" i="27"/>
  <c r="BU58" i="26"/>
  <c r="BU61" i="26" s="1"/>
  <c r="E206" i="7" s="1"/>
  <c r="Q225" i="7" s="1"/>
  <c r="BV48" i="26"/>
  <c r="BV58" i="27"/>
  <c r="BV61" i="27" s="1"/>
  <c r="BW48" i="27"/>
  <c r="BU66" i="27"/>
  <c r="BU67" i="27" s="1"/>
  <c r="BT67" i="26"/>
  <c r="BT69" i="26"/>
  <c r="BU67" i="26" l="1"/>
  <c r="BU69" i="26"/>
  <c r="BW65" i="27"/>
  <c r="BW64" i="27"/>
  <c r="BX31" i="27"/>
  <c r="BV69" i="27"/>
  <c r="BW57" i="26"/>
  <c r="BX38" i="26"/>
  <c r="T78" i="28"/>
  <c r="X77" i="28"/>
  <c r="V78" i="28"/>
  <c r="W78" i="28" s="1"/>
  <c r="O77" i="28"/>
  <c r="K78" i="28"/>
  <c r="M78" i="28"/>
  <c r="N78" i="28" s="1"/>
  <c r="T163" i="28"/>
  <c r="V163" i="28"/>
  <c r="W163" i="28" s="1"/>
  <c r="X162" i="28"/>
  <c r="BW58" i="27"/>
  <c r="BW61" i="27" s="1"/>
  <c r="BW69" i="27" s="1"/>
  <c r="BX48" i="27"/>
  <c r="BV58" i="26"/>
  <c r="BV61" i="26" s="1"/>
  <c r="BW48" i="26"/>
  <c r="BW65" i="26" s="1"/>
  <c r="BX31" i="26"/>
  <c r="BW64" i="26"/>
  <c r="BV65" i="26"/>
  <c r="BV66" i="26" s="1"/>
  <c r="BV66" i="27"/>
  <c r="BV67" i="27" s="1"/>
  <c r="BX57" i="27"/>
  <c r="BY38" i="27"/>
  <c r="K162" i="28"/>
  <c r="O161" i="28"/>
  <c r="M162" i="28"/>
  <c r="N162" i="28" s="1"/>
  <c r="BX65" i="27" l="1"/>
  <c r="BX64" i="27"/>
  <c r="BY31" i="27"/>
  <c r="O162" i="28"/>
  <c r="K163" i="28"/>
  <c r="M163" i="28"/>
  <c r="N163" i="28" s="1"/>
  <c r="BW66" i="27"/>
  <c r="BW67" i="27" s="1"/>
  <c r="BY31" i="26"/>
  <c r="BX64" i="26"/>
  <c r="BX57" i="26"/>
  <c r="BY38" i="26"/>
  <c r="BV67" i="26"/>
  <c r="BV69" i="26"/>
  <c r="BY57" i="27"/>
  <c r="BZ38" i="27"/>
  <c r="T164" i="28"/>
  <c r="X163" i="28"/>
  <c r="V164" i="28"/>
  <c r="W164" i="28" s="1"/>
  <c r="BW66" i="26"/>
  <c r="X78" i="28"/>
  <c r="V79" i="28"/>
  <c r="W79" i="28" s="1"/>
  <c r="T79" i="28"/>
  <c r="BW58" i="26"/>
  <c r="BW61" i="26" s="1"/>
  <c r="BX48" i="26"/>
  <c r="BX58" i="27"/>
  <c r="BX61" i="27" s="1"/>
  <c r="BX69" i="27" s="1"/>
  <c r="BY48" i="27"/>
  <c r="K79" i="28"/>
  <c r="O78" i="28"/>
  <c r="M79" i="28"/>
  <c r="N79" i="28" s="1"/>
  <c r="BY57" i="26" l="1"/>
  <c r="BZ38" i="26"/>
  <c r="T165" i="28"/>
  <c r="X164" i="28"/>
  <c r="V165" i="28"/>
  <c r="W165" i="28" s="1"/>
  <c r="O163" i="28"/>
  <c r="M164" i="28"/>
  <c r="N164" i="28" s="1"/>
  <c r="K164" i="28"/>
  <c r="BX58" i="26"/>
  <c r="BX61" i="26" s="1"/>
  <c r="BY48" i="26"/>
  <c r="BY65" i="26" s="1"/>
  <c r="BZ57" i="27"/>
  <c r="CA38" i="27"/>
  <c r="BX65" i="26"/>
  <c r="BX66" i="26" s="1"/>
  <c r="BY65" i="27"/>
  <c r="BY64" i="27"/>
  <c r="BZ31" i="27"/>
  <c r="BW67" i="26"/>
  <c r="BW69" i="26"/>
  <c r="BZ31" i="26"/>
  <c r="BY64" i="26"/>
  <c r="O79" i="28"/>
  <c r="K80" i="28"/>
  <c r="M80" i="28"/>
  <c r="N80" i="28" s="1"/>
  <c r="BY58" i="27"/>
  <c r="BY61" i="27" s="1"/>
  <c r="BZ48" i="27"/>
  <c r="X79" i="28"/>
  <c r="T80" i="28"/>
  <c r="V80" i="28"/>
  <c r="W80" i="28" s="1"/>
  <c r="BX66" i="27"/>
  <c r="BX67" i="27" s="1"/>
  <c r="BY66" i="26" l="1"/>
  <c r="BY66" i="27"/>
  <c r="BY67" i="27" s="1"/>
  <c r="BZ58" i="27"/>
  <c r="BZ61" i="27" s="1"/>
  <c r="BZ69" i="27" s="1"/>
  <c r="CA48" i="27"/>
  <c r="CA57" i="27"/>
  <c r="CB38" i="27"/>
  <c r="CA31" i="26"/>
  <c r="BZ64" i="26"/>
  <c r="O164" i="28"/>
  <c r="M165" i="28"/>
  <c r="N165" i="28" s="1"/>
  <c r="K165" i="28"/>
  <c r="X165" i="28"/>
  <c r="T166" i="28"/>
  <c r="V166" i="28"/>
  <c r="W166" i="28" s="1"/>
  <c r="K81" i="28"/>
  <c r="O80" i="28"/>
  <c r="M81" i="28"/>
  <c r="N81" i="28" s="1"/>
  <c r="BY69" i="27"/>
  <c r="CA38" i="26"/>
  <c r="BZ57" i="26"/>
  <c r="BY58" i="26"/>
  <c r="BY61" i="26" s="1"/>
  <c r="BZ48" i="26"/>
  <c r="BZ65" i="26" s="1"/>
  <c r="BX67" i="26"/>
  <c r="BX69" i="26"/>
  <c r="BZ65" i="27"/>
  <c r="BZ64" i="27"/>
  <c r="CA31" i="27"/>
  <c r="T81" i="28"/>
  <c r="X80" i="28"/>
  <c r="V81" i="28"/>
  <c r="W81" i="28" s="1"/>
  <c r="BZ66" i="26" l="1"/>
  <c r="BZ66" i="27"/>
  <c r="BZ67" i="27" s="1"/>
  <c r="CA64" i="27"/>
  <c r="CA65" i="27"/>
  <c r="CB31" i="27"/>
  <c r="CB38" i="26"/>
  <c r="CA57" i="26"/>
  <c r="CA64" i="26"/>
  <c r="CB31" i="26"/>
  <c r="BY67" i="26"/>
  <c r="BY69" i="26"/>
  <c r="CB57" i="27"/>
  <c r="CC38" i="27"/>
  <c r="BZ58" i="26"/>
  <c r="BZ61" i="26" s="1"/>
  <c r="CA48" i="26"/>
  <c r="CA65" i="26" s="1"/>
  <c r="X166" i="28"/>
  <c r="T167" i="28"/>
  <c r="V167" i="28"/>
  <c r="W167" i="28" s="1"/>
  <c r="O165" i="28"/>
  <c r="M166" i="28"/>
  <c r="N166" i="28" s="1"/>
  <c r="K166" i="28"/>
  <c r="CA58" i="27"/>
  <c r="CA61" i="27" s="1"/>
  <c r="CB48" i="27"/>
  <c r="X81" i="28"/>
  <c r="V82" i="28"/>
  <c r="W82" i="28" s="1"/>
  <c r="T82" i="28"/>
  <c r="K82" i="28"/>
  <c r="O81" i="28"/>
  <c r="M82" i="28"/>
  <c r="N82" i="28" s="1"/>
  <c r="O82" i="28" l="1"/>
  <c r="CA66" i="27"/>
  <c r="CA67" i="27" s="1"/>
  <c r="CB57" i="26"/>
  <c r="CC38" i="26"/>
  <c r="X82" i="28"/>
  <c r="K167" i="28"/>
  <c r="O166" i="28"/>
  <c r="M167" i="28"/>
  <c r="N167" i="28" s="1"/>
  <c r="X167" i="28"/>
  <c r="T168" i="28"/>
  <c r="V168" i="28"/>
  <c r="W168" i="28" s="1"/>
  <c r="CB64" i="27"/>
  <c r="CB65" i="27"/>
  <c r="CC31" i="27"/>
  <c r="CB58" i="27"/>
  <c r="CB61" i="27" s="1"/>
  <c r="CC48" i="27"/>
  <c r="CA66" i="26"/>
  <c r="CC57" i="27"/>
  <c r="CD38" i="27"/>
  <c r="CC31" i="26"/>
  <c r="CB64" i="26"/>
  <c r="CA58" i="26"/>
  <c r="CA61" i="26" s="1"/>
  <c r="CB48" i="26"/>
  <c r="CA69" i="27"/>
  <c r="BZ67" i="26"/>
  <c r="BZ69" i="26"/>
  <c r="CB66" i="27" l="1"/>
  <c r="CB67" i="27" s="1"/>
  <c r="CB58" i="26"/>
  <c r="CB61" i="26" s="1"/>
  <c r="CC48" i="26"/>
  <c r="CC65" i="26" s="1"/>
  <c r="CA67" i="26"/>
  <c r="CA69" i="26"/>
  <c r="CB65" i="26"/>
  <c r="CB66" i="26" s="1"/>
  <c r="CD57" i="27"/>
  <c r="CE38" i="27"/>
  <c r="K168" i="28"/>
  <c r="O167" i="28"/>
  <c r="M168" i="28"/>
  <c r="N168" i="28" s="1"/>
  <c r="CB69" i="27"/>
  <c r="X168" i="28"/>
  <c r="T169" i="28"/>
  <c r="V169" i="28"/>
  <c r="W169" i="28" s="1"/>
  <c r="CD38" i="26"/>
  <c r="CD57" i="26" s="1"/>
  <c r="CC57" i="26"/>
  <c r="CC64" i="27"/>
  <c r="CC65" i="27"/>
  <c r="CD31" i="27"/>
  <c r="CC64" i="26"/>
  <c r="CD31" i="26"/>
  <c r="CC58" i="27"/>
  <c r="CC61" i="27" s="1"/>
  <c r="CD48" i="27"/>
  <c r="CC66" i="27" l="1"/>
  <c r="CC67" i="27" s="1"/>
  <c r="CD58" i="27"/>
  <c r="CD61" i="27" s="1"/>
  <c r="CD69" i="27" s="1"/>
  <c r="CE48" i="27"/>
  <c r="CD64" i="27"/>
  <c r="CD65" i="27"/>
  <c r="CE31" i="27"/>
  <c r="T170" i="28"/>
  <c r="X169" i="28"/>
  <c r="V170" i="28"/>
  <c r="W170" i="28" s="1"/>
  <c r="CD64" i="26"/>
  <c r="CE31" i="26"/>
  <c r="K169" i="28"/>
  <c r="O168" i="28"/>
  <c r="M169" i="28"/>
  <c r="N169" i="28" s="1"/>
  <c r="CC58" i="26"/>
  <c r="CC61" i="26" s="1"/>
  <c r="CD48" i="26"/>
  <c r="CD58" i="26" s="1"/>
  <c r="CD61" i="26" s="1"/>
  <c r="CD69" i="26" s="1"/>
  <c r="CC66" i="26"/>
  <c r="CE57" i="27"/>
  <c r="CF38" i="27"/>
  <c r="CC69" i="27"/>
  <c r="CB67" i="26"/>
  <c r="CB69" i="26"/>
  <c r="CD65" i="26" l="1"/>
  <c r="E220" i="7"/>
  <c r="B10" i="20"/>
  <c r="CD66" i="27"/>
  <c r="CD67" i="27" s="1"/>
  <c r="CF57" i="27"/>
  <c r="CG38" i="27"/>
  <c r="CE64" i="27"/>
  <c r="CE65" i="27"/>
  <c r="CF31" i="27"/>
  <c r="CC67" i="26"/>
  <c r="CC69" i="26"/>
  <c r="O169" i="28"/>
  <c r="K170" i="28"/>
  <c r="M170" i="28"/>
  <c r="N170" i="28" s="1"/>
  <c r="CD66" i="26"/>
  <c r="CD67" i="26" s="1"/>
  <c r="T171" i="28"/>
  <c r="X170" i="28"/>
  <c r="V171" i="28"/>
  <c r="W171" i="28" s="1"/>
  <c r="CE58" i="27"/>
  <c r="CE61" i="27" s="1"/>
  <c r="CE69" i="27" s="1"/>
  <c r="CF48" i="27"/>
  <c r="CE66" i="27" l="1"/>
  <c r="CE67" i="27" s="1"/>
  <c r="T172" i="28"/>
  <c r="X171" i="28"/>
  <c r="V172" i="28"/>
  <c r="W172" i="28" s="1"/>
  <c r="O170" i="28"/>
  <c r="M171" i="28"/>
  <c r="N171" i="28" s="1"/>
  <c r="K171" i="28"/>
  <c r="CF64" i="27"/>
  <c r="CF65" i="27"/>
  <c r="CG31" i="27"/>
  <c r="CH38" i="27"/>
  <c r="CG57" i="27"/>
  <c r="CF58" i="27"/>
  <c r="CF61" i="27" s="1"/>
  <c r="CG48" i="27"/>
  <c r="CF66" i="27" l="1"/>
  <c r="CF67" i="27" s="1"/>
  <c r="CF69" i="27"/>
  <c r="O171" i="28"/>
  <c r="K172" i="28"/>
  <c r="M172" i="28"/>
  <c r="N172" i="28" s="1"/>
  <c r="CI38" i="27"/>
  <c r="CH57" i="27"/>
  <c r="CG65" i="27"/>
  <c r="CH31" i="27"/>
  <c r="CG64" i="27"/>
  <c r="CG58" i="27"/>
  <c r="CG61" i="27" s="1"/>
  <c r="CH48" i="27"/>
  <c r="X172" i="28"/>
  <c r="T173" i="28"/>
  <c r="V173" i="28"/>
  <c r="W173" i="28" s="1"/>
  <c r="CH65" i="27" l="1"/>
  <c r="CI31" i="27"/>
  <c r="CH64" i="27"/>
  <c r="CH58" i="27"/>
  <c r="CH61" i="27" s="1"/>
  <c r="CI48" i="27"/>
  <c r="M173" i="28"/>
  <c r="N173" i="28" s="1"/>
  <c r="K173" i="28"/>
  <c r="O172" i="28"/>
  <c r="X173" i="28"/>
  <c r="V174" i="28"/>
  <c r="W174" i="28" s="1"/>
  <c r="T174" i="28"/>
  <c r="CG66" i="27"/>
  <c r="CG67" i="27" s="1"/>
  <c r="CG69" i="27"/>
  <c r="CI57" i="27"/>
  <c r="CJ38" i="27"/>
  <c r="X174" i="28" l="1"/>
  <c r="T175" i="28"/>
  <c r="V175" i="28"/>
  <c r="W175" i="28" s="1"/>
  <c r="CK38" i="27"/>
  <c r="CJ57" i="27"/>
  <c r="CI64" i="27"/>
  <c r="CI65" i="27"/>
  <c r="CJ31" i="27"/>
  <c r="K174" i="28"/>
  <c r="O173" i="28"/>
  <c r="M174" i="28"/>
  <c r="N174" i="28" s="1"/>
  <c r="CI58" i="27"/>
  <c r="CI61" i="27" s="1"/>
  <c r="CJ48" i="27"/>
  <c r="CH66" i="27"/>
  <c r="CH67" i="27" s="1"/>
  <c r="CH69" i="27"/>
  <c r="CI66" i="27" l="1"/>
  <c r="CI67" i="27" s="1"/>
  <c r="CJ65" i="27"/>
  <c r="CJ64" i="27"/>
  <c r="CK31" i="27"/>
  <c r="K175" i="28"/>
  <c r="O174" i="28"/>
  <c r="M175" i="28"/>
  <c r="N175" i="28" s="1"/>
  <c r="CI69" i="27"/>
  <c r="CL38" i="27"/>
  <c r="CK57" i="27"/>
  <c r="V176" i="28"/>
  <c r="W176" i="28" s="1"/>
  <c r="T176" i="28"/>
  <c r="X175" i="28"/>
  <c r="CJ58" i="27"/>
  <c r="CJ61" i="27" s="1"/>
  <c r="CK48" i="27"/>
  <c r="T177" i="28" l="1"/>
  <c r="X176" i="28"/>
  <c r="V177" i="28"/>
  <c r="W177" i="28" s="1"/>
  <c r="K176" i="28"/>
  <c r="O175" i="28"/>
  <c r="M176" i="28"/>
  <c r="N176" i="28" s="1"/>
  <c r="CK65" i="27"/>
  <c r="CK64" i="27"/>
  <c r="CL31" i="27"/>
  <c r="CJ69" i="27"/>
  <c r="CL57" i="27"/>
  <c r="CM38" i="27"/>
  <c r="CK58" i="27"/>
  <c r="CK61" i="27" s="1"/>
  <c r="CK69" i="27" s="1"/>
  <c r="CL48" i="27"/>
  <c r="CJ66" i="27"/>
  <c r="CJ67" i="27" s="1"/>
  <c r="CL65" i="27" l="1"/>
  <c r="CL64" i="27"/>
  <c r="CM31" i="27"/>
  <c r="O176" i="28"/>
  <c r="K177" i="28"/>
  <c r="M177" i="28"/>
  <c r="N177" i="28" s="1"/>
  <c r="CM57" i="27"/>
  <c r="CN38" i="27"/>
  <c r="CL58" i="27"/>
  <c r="CL61" i="27" s="1"/>
  <c r="G206" i="7" s="1"/>
  <c r="CM48" i="27"/>
  <c r="T178" i="28"/>
  <c r="X177" i="28"/>
  <c r="V178" i="28"/>
  <c r="W178" i="28" s="1"/>
  <c r="CK66" i="27"/>
  <c r="CK67" i="27" s="1"/>
  <c r="CM58" i="27" l="1"/>
  <c r="CM61" i="27" s="1"/>
  <c r="CM69" i="27" s="1"/>
  <c r="CN48" i="27"/>
  <c r="T179" i="28"/>
  <c r="X178" i="28"/>
  <c r="V179" i="28"/>
  <c r="W179" i="28" s="1"/>
  <c r="CN57" i="27"/>
  <c r="CO38" i="27"/>
  <c r="O177" i="28"/>
  <c r="M178" i="28"/>
  <c r="N178" i="28" s="1"/>
  <c r="K178" i="28"/>
  <c r="CL66" i="27"/>
  <c r="CL67" i="27" s="1"/>
  <c r="CM65" i="27"/>
  <c r="CM64" i="27"/>
  <c r="CN31" i="27"/>
  <c r="CL69" i="27"/>
  <c r="CM66" i="27" l="1"/>
  <c r="CM67" i="27" s="1"/>
  <c r="CO57" i="27"/>
  <c r="CP38" i="27"/>
  <c r="X179" i="28"/>
  <c r="T180" i="28"/>
  <c r="V180" i="28"/>
  <c r="W180" i="28" s="1"/>
  <c r="W184" i="28" s="1"/>
  <c r="O178" i="28"/>
  <c r="K179" i="28"/>
  <c r="M179" i="28"/>
  <c r="N179" i="28" s="1"/>
  <c r="CN65" i="27"/>
  <c r="CN64" i="27"/>
  <c r="CO31" i="27"/>
  <c r="CN58" i="27"/>
  <c r="CN61" i="27" s="1"/>
  <c r="CO48" i="27"/>
  <c r="CN69" i="27" l="1"/>
  <c r="CO65" i="27"/>
  <c r="CO64" i="27"/>
  <c r="CP31" i="27"/>
  <c r="CO58" i="27"/>
  <c r="CO61" i="27" s="1"/>
  <c r="CO69" i="27" s="1"/>
  <c r="CP48" i="27"/>
  <c r="CN66" i="27"/>
  <c r="CN67" i="27" s="1"/>
  <c r="X180" i="28"/>
  <c r="X184" i="28" s="1"/>
  <c r="CP57" i="27"/>
  <c r="CQ38" i="27"/>
  <c r="M180" i="28"/>
  <c r="N180" i="28" s="1"/>
  <c r="N184" i="28" s="1"/>
  <c r="K180" i="28"/>
  <c r="O179" i="28"/>
  <c r="O180" i="28" l="1"/>
  <c r="O184" i="28" s="1"/>
  <c r="CQ57" i="27"/>
  <c r="CR38" i="27"/>
  <c r="CP58" i="27"/>
  <c r="CP61" i="27" s="1"/>
  <c r="CP69" i="27" s="1"/>
  <c r="CQ48" i="27"/>
  <c r="CP64" i="27"/>
  <c r="CP65" i="27"/>
  <c r="CQ31" i="27"/>
  <c r="CO66" i="27"/>
  <c r="CO67" i="27" s="1"/>
  <c r="CP66" i="27" l="1"/>
  <c r="CP67" i="27" s="1"/>
  <c r="CQ65" i="27"/>
  <c r="CQ64" i="27"/>
  <c r="CR31" i="27"/>
  <c r="CR57" i="27"/>
  <c r="CS38" i="27"/>
  <c r="CQ58" i="27"/>
  <c r="CQ61" i="27" s="1"/>
  <c r="CR48" i="27"/>
  <c r="CR58" i="27" l="1"/>
  <c r="CR61" i="27" s="1"/>
  <c r="CR69" i="27" s="1"/>
  <c r="CS48" i="27"/>
  <c r="CQ66" i="27"/>
  <c r="CQ67" i="27" s="1"/>
  <c r="CS57" i="27"/>
  <c r="CT38" i="27"/>
  <c r="CR65" i="27"/>
  <c r="CR64" i="27"/>
  <c r="CS31" i="27"/>
  <c r="CQ69" i="27"/>
  <c r="CS64" i="27" l="1"/>
  <c r="CT31" i="27"/>
  <c r="CS65" i="27"/>
  <c r="CT57" i="27"/>
  <c r="CU38" i="27"/>
  <c r="CU57" i="27" s="1"/>
  <c r="CS58" i="27"/>
  <c r="CS61" i="27" s="1"/>
  <c r="CT48" i="27"/>
  <c r="CR66" i="27"/>
  <c r="CR67" i="27" s="1"/>
  <c r="CS66" i="27" l="1"/>
  <c r="CS67" i="27" s="1"/>
  <c r="CT58" i="27"/>
  <c r="CT61" i="27" s="1"/>
  <c r="CT69" i="27" s="1"/>
  <c r="CU48" i="27"/>
  <c r="CU58" i="27" s="1"/>
  <c r="CU61" i="27" s="1"/>
  <c r="CT64" i="27"/>
  <c r="CU31" i="27"/>
  <c r="CT65" i="27"/>
  <c r="CS69" i="27"/>
  <c r="CT66" i="27" l="1"/>
  <c r="CT67" i="27" s="1"/>
  <c r="G220" i="7"/>
  <c r="B19" i="20"/>
  <c r="CU69" i="27"/>
  <c r="CU64" i="27"/>
  <c r="CU65" i="27"/>
  <c r="CV31" i="27"/>
  <c r="CU66" i="27" l="1"/>
  <c r="CU67" i="27" s="1"/>
  <c r="R194" i="7"/>
  <c r="R195" i="7"/>
  <c r="R196" i="7"/>
  <c r="R197" i="7"/>
  <c r="R198" i="7"/>
  <c r="R199" i="7"/>
  <c r="R200" i="7"/>
  <c r="R201" i="7"/>
  <c r="R193" i="7"/>
  <c r="S193" i="7" s="1"/>
  <c r="G253" i="7"/>
  <c r="D207" i="7"/>
  <c r="S194" i="7" l="1"/>
  <c r="S195" i="7" s="1"/>
  <c r="R202" i="7"/>
  <c r="S196" i="7" l="1"/>
  <c r="E526" i="25"/>
  <c r="C526" i="25"/>
  <c r="D525" i="25"/>
  <c r="D36" i="25" s="1"/>
  <c r="D524" i="25"/>
  <c r="D35" i="25" s="1"/>
  <c r="D523" i="25"/>
  <c r="D34" i="25" s="1"/>
  <c r="G522" i="25"/>
  <c r="D522" i="25"/>
  <c r="D33" i="25" s="1"/>
  <c r="G521" i="25"/>
  <c r="D521" i="25"/>
  <c r="D27" i="25" s="1"/>
  <c r="C515" i="25"/>
  <c r="D515" i="25" s="1"/>
  <c r="C513" i="25"/>
  <c r="J513" i="25" s="1"/>
  <c r="E513" i="25" s="1"/>
  <c r="C511" i="25"/>
  <c r="D510" i="25"/>
  <c r="D509" i="25"/>
  <c r="D506" i="25"/>
  <c r="D28" i="25" s="1"/>
  <c r="C497" i="25"/>
  <c r="C496" i="25"/>
  <c r="D495" i="25"/>
  <c r="C494" i="25"/>
  <c r="C493" i="25"/>
  <c r="E492" i="25"/>
  <c r="C491" i="25"/>
  <c r="D490" i="25"/>
  <c r="C488" i="25"/>
  <c r="C485" i="25"/>
  <c r="C484" i="25"/>
  <c r="C483" i="25"/>
  <c r="C476" i="25"/>
  <c r="C477" i="25" s="1"/>
  <c r="C468" i="25"/>
  <c r="C473" i="25" s="1"/>
  <c r="C464" i="25"/>
  <c r="C461" i="25"/>
  <c r="C460" i="25"/>
  <c r="E456" i="25"/>
  <c r="D456" i="25"/>
  <c r="C456" i="25"/>
  <c r="C442" i="25"/>
  <c r="C439" i="25"/>
  <c r="C436" i="25"/>
  <c r="C435" i="25"/>
  <c r="C420" i="25"/>
  <c r="J413" i="25"/>
  <c r="C413" i="25"/>
  <c r="C416" i="25" s="1"/>
  <c r="C20" i="25" s="1"/>
  <c r="C405" i="25"/>
  <c r="C404" i="25"/>
  <c r="E391" i="25"/>
  <c r="C389" i="25"/>
  <c r="C398" i="25" s="1"/>
  <c r="C384" i="25"/>
  <c r="C385" i="25" s="1"/>
  <c r="C369" i="25"/>
  <c r="C364" i="25"/>
  <c r="C358" i="25"/>
  <c r="D357" i="25"/>
  <c r="D355" i="25"/>
  <c r="D354" i="25"/>
  <c r="C350" i="25"/>
  <c r="C349" i="25"/>
  <c r="C342" i="25"/>
  <c r="C343" i="25" s="1"/>
  <c r="C339" i="25"/>
  <c r="J337" i="25"/>
  <c r="C328" i="25"/>
  <c r="C327" i="25"/>
  <c r="C322" i="25"/>
  <c r="C319" i="25"/>
  <c r="C315" i="25"/>
  <c r="D314" i="25"/>
  <c r="C313" i="25"/>
  <c r="C312" i="25"/>
  <c r="C311" i="25"/>
  <c r="C299" i="25"/>
  <c r="D299" i="25" s="1"/>
  <c r="C298" i="25"/>
  <c r="E297" i="25"/>
  <c r="D297" i="25" s="1"/>
  <c r="E296" i="25"/>
  <c r="D296" i="25" s="1"/>
  <c r="D295" i="25"/>
  <c r="E294" i="25"/>
  <c r="D294" i="25" s="1"/>
  <c r="C290" i="25"/>
  <c r="D279" i="25"/>
  <c r="D274" i="25"/>
  <c r="D272" i="25"/>
  <c r="D269" i="25"/>
  <c r="E269" i="25" s="1"/>
  <c r="E9" i="25" s="1"/>
  <c r="C268" i="25"/>
  <c r="D268" i="25" s="1"/>
  <c r="E268" i="25" s="1"/>
  <c r="C267" i="25"/>
  <c r="C7" i="25" s="1"/>
  <c r="D261" i="25"/>
  <c r="E260" i="25"/>
  <c r="D260" i="25" s="1"/>
  <c r="D259" i="25"/>
  <c r="C259" i="25"/>
  <c r="C258" i="25"/>
  <c r="D258" i="25" s="1"/>
  <c r="C257" i="25"/>
  <c r="D256" i="25"/>
  <c r="D255" i="25"/>
  <c r="D254" i="25"/>
  <c r="D52" i="25" s="1"/>
  <c r="C248" i="25"/>
  <c r="C250" i="25" s="1"/>
  <c r="C240" i="25"/>
  <c r="C237" i="25"/>
  <c r="C46" i="25" s="1"/>
  <c r="D233" i="25"/>
  <c r="C229" i="25"/>
  <c r="C223" i="25"/>
  <c r="C219" i="25"/>
  <c r="C215" i="25"/>
  <c r="C217" i="25" s="1"/>
  <c r="C211" i="25"/>
  <c r="C213" i="25" s="1"/>
  <c r="G209" i="25"/>
  <c r="F209" i="25"/>
  <c r="E209" i="25"/>
  <c r="D208" i="25"/>
  <c r="C207" i="25"/>
  <c r="D207" i="25" s="1"/>
  <c r="G200" i="25"/>
  <c r="E200" i="25"/>
  <c r="C200" i="25"/>
  <c r="D199" i="25"/>
  <c r="D200" i="25" s="1"/>
  <c r="C197" i="25"/>
  <c r="D195" i="25"/>
  <c r="D194" i="25"/>
  <c r="C188" i="25"/>
  <c r="C187" i="25"/>
  <c r="C186" i="25"/>
  <c r="C185" i="25"/>
  <c r="F170" i="25"/>
  <c r="E170" i="25"/>
  <c r="G169" i="25"/>
  <c r="C169" i="25"/>
  <c r="C170" i="25" s="1"/>
  <c r="G168" i="25"/>
  <c r="D168" i="25"/>
  <c r="C166" i="25"/>
  <c r="D164" i="25"/>
  <c r="E164" i="25" s="1"/>
  <c r="C158" i="25"/>
  <c r="D157" i="25"/>
  <c r="C143" i="25"/>
  <c r="C176" i="25" s="1"/>
  <c r="E142" i="25"/>
  <c r="E141" i="25"/>
  <c r="E140" i="25"/>
  <c r="E139" i="25"/>
  <c r="D138" i="25"/>
  <c r="E138" i="25" s="1"/>
  <c r="E137" i="25"/>
  <c r="E136" i="25"/>
  <c r="E135" i="25"/>
  <c r="E134" i="25"/>
  <c r="E133" i="25"/>
  <c r="E132" i="25"/>
  <c r="E131" i="25"/>
  <c r="D130" i="25"/>
  <c r="E130" i="25" s="1"/>
  <c r="D129" i="25"/>
  <c r="E129" i="25" s="1"/>
  <c r="D128" i="25"/>
  <c r="C125" i="25"/>
  <c r="C108" i="25"/>
  <c r="C110" i="25" s="1"/>
  <c r="E104" i="25"/>
  <c r="D104" i="25"/>
  <c r="C104" i="25"/>
  <c r="E94" i="25"/>
  <c r="D94" i="25"/>
  <c r="C94" i="25"/>
  <c r="E83" i="25"/>
  <c r="D83" i="25"/>
  <c r="C83" i="25"/>
  <c r="C74" i="25"/>
  <c r="D73" i="25"/>
  <c r="C62" i="25"/>
  <c r="E52" i="25"/>
  <c r="C52" i="25"/>
  <c r="E49" i="25"/>
  <c r="D49" i="25"/>
  <c r="C49" i="25"/>
  <c r="E36" i="25"/>
  <c r="C36" i="25"/>
  <c r="E35" i="25"/>
  <c r="C35" i="25"/>
  <c r="E34" i="25"/>
  <c r="C34" i="25"/>
  <c r="F33" i="25"/>
  <c r="E33" i="25"/>
  <c r="C33" i="25"/>
  <c r="E28" i="25"/>
  <c r="C28" i="25"/>
  <c r="F27" i="25"/>
  <c r="E27" i="25"/>
  <c r="C27" i="25"/>
  <c r="G22" i="25"/>
  <c r="F9" i="25"/>
  <c r="C9" i="25"/>
  <c r="A8" i="25"/>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A370" i="25" s="1"/>
  <c r="A371" i="25" s="1"/>
  <c r="A372" i="25" s="1"/>
  <c r="A373" i="25" s="1"/>
  <c r="A374" i="25" s="1"/>
  <c r="A375" i="25" s="1"/>
  <c r="A376" i="25" s="1"/>
  <c r="A377" i="25" s="1"/>
  <c r="A378" i="25" s="1"/>
  <c r="A379" i="25" s="1"/>
  <c r="A380" i="25" s="1"/>
  <c r="A381" i="25" s="1"/>
  <c r="A382" i="25" s="1"/>
  <c r="A383" i="25" s="1"/>
  <c r="A384" i="25" s="1"/>
  <c r="A385" i="25" s="1"/>
  <c r="A386" i="25" s="1"/>
  <c r="A387" i="25" s="1"/>
  <c r="A388" i="25" s="1"/>
  <c r="A389" i="25" s="1"/>
  <c r="A390" i="25" s="1"/>
  <c r="A391" i="25" s="1"/>
  <c r="A392" i="25" s="1"/>
  <c r="A393" i="25" s="1"/>
  <c r="A394" i="25" s="1"/>
  <c r="A395" i="25" s="1"/>
  <c r="A396" i="25" s="1"/>
  <c r="A397" i="25" s="1"/>
  <c r="A398" i="25" s="1"/>
  <c r="A399" i="25" s="1"/>
  <c r="A400" i="25" s="1"/>
  <c r="A401" i="25" s="1"/>
  <c r="A402" i="25" s="1"/>
  <c r="A403" i="25" s="1"/>
  <c r="A404" i="25" s="1"/>
  <c r="A405" i="25" s="1"/>
  <c r="A406" i="25" s="1"/>
  <c r="A407" i="25" s="1"/>
  <c r="A408" i="25" s="1"/>
  <c r="A409" i="25" s="1"/>
  <c r="A410" i="25" s="1"/>
  <c r="A411" i="25" s="1"/>
  <c r="A412" i="25" s="1"/>
  <c r="A413" i="25" s="1"/>
  <c r="A414" i="25" s="1"/>
  <c r="A415" i="25" s="1"/>
  <c r="A416" i="25" s="1"/>
  <c r="A417" i="25" s="1"/>
  <c r="A418" i="25" s="1"/>
  <c r="A419" i="25" s="1"/>
  <c r="A420" i="25" s="1"/>
  <c r="A421" i="25" s="1"/>
  <c r="A422" i="25" s="1"/>
  <c r="A423" i="25" s="1"/>
  <c r="A424" i="25" s="1"/>
  <c r="A425" i="25" s="1"/>
  <c r="A426" i="25" s="1"/>
  <c r="A427" i="25" s="1"/>
  <c r="A428" i="25" s="1"/>
  <c r="A429" i="25" s="1"/>
  <c r="A430" i="25" s="1"/>
  <c r="A431" i="25" s="1"/>
  <c r="A432" i="25" s="1"/>
  <c r="A433" i="25" s="1"/>
  <c r="A434" i="25" s="1"/>
  <c r="A435" i="25" s="1"/>
  <c r="A436" i="25" s="1"/>
  <c r="A437" i="25" s="1"/>
  <c r="A438" i="25" s="1"/>
  <c r="A439" i="25" s="1"/>
  <c r="A440" i="25" s="1"/>
  <c r="A441" i="25" s="1"/>
  <c r="A442" i="25" s="1"/>
  <c r="A443" i="25" s="1"/>
  <c r="A444" i="25" s="1"/>
  <c r="A445" i="25" s="1"/>
  <c r="A446" i="25" s="1"/>
  <c r="A447" i="25" s="1"/>
  <c r="A448" i="25" s="1"/>
  <c r="A449" i="25" s="1"/>
  <c r="A450" i="25" s="1"/>
  <c r="A451" i="25" s="1"/>
  <c r="A452" i="25" s="1"/>
  <c r="A453" i="25" s="1"/>
  <c r="A454" i="25" s="1"/>
  <c r="A455" i="25" s="1"/>
  <c r="A456" i="25" s="1"/>
  <c r="A457" i="25" s="1"/>
  <c r="A458" i="25" s="1"/>
  <c r="A459" i="25" s="1"/>
  <c r="A460" i="25" s="1"/>
  <c r="A461" i="25" s="1"/>
  <c r="A462" i="25" s="1"/>
  <c r="A463" i="25" s="1"/>
  <c r="A464" i="25" s="1"/>
  <c r="A465" i="25" s="1"/>
  <c r="A466" i="25" s="1"/>
  <c r="A467" i="25" s="1"/>
  <c r="A468" i="25" s="1"/>
  <c r="A469" i="25" s="1"/>
  <c r="A470" i="25" s="1"/>
  <c r="A471" i="25" s="1"/>
  <c r="A472" i="25" s="1"/>
  <c r="A473" i="25" s="1"/>
  <c r="A474" i="25" s="1"/>
  <c r="A475" i="25" s="1"/>
  <c r="A476" i="25" s="1"/>
  <c r="A477" i="25" s="1"/>
  <c r="A478" i="25" s="1"/>
  <c r="A479" i="25" s="1"/>
  <c r="A480" i="25" s="1"/>
  <c r="A481" i="25" s="1"/>
  <c r="A482" i="25" s="1"/>
  <c r="A483" i="25" s="1"/>
  <c r="A484" i="25" s="1"/>
  <c r="A485" i="25" s="1"/>
  <c r="A486" i="25" s="1"/>
  <c r="A487" i="25" s="1"/>
  <c r="A488" i="25" s="1"/>
  <c r="A489" i="25" s="1"/>
  <c r="A490" i="25" s="1"/>
  <c r="A491" i="25" s="1"/>
  <c r="A492" i="25" s="1"/>
  <c r="A493" i="25" s="1"/>
  <c r="A494" i="25" s="1"/>
  <c r="A495" i="25" s="1"/>
  <c r="A496" i="25" s="1"/>
  <c r="A497" i="25" s="1"/>
  <c r="A498" i="25" s="1"/>
  <c r="A499" i="25" s="1"/>
  <c r="A500" i="25" s="1"/>
  <c r="A501" i="25" s="1"/>
  <c r="A502" i="25" s="1"/>
  <c r="A503" i="25" s="1"/>
  <c r="A504" i="25" s="1"/>
  <c r="A505" i="25" s="1"/>
  <c r="A506" i="25" s="1"/>
  <c r="A507" i="25" s="1"/>
  <c r="A508" i="25" s="1"/>
  <c r="A509" i="25" s="1"/>
  <c r="A510" i="25" s="1"/>
  <c r="A511" i="25" s="1"/>
  <c r="A512" i="25" s="1"/>
  <c r="A513" i="25" s="1"/>
  <c r="A514" i="25" s="1"/>
  <c r="A515" i="25" s="1"/>
  <c r="A516" i="25" s="1"/>
  <c r="A517" i="25" s="1"/>
  <c r="A518" i="25" s="1"/>
  <c r="A519" i="25" s="1"/>
  <c r="A520" i="25" s="1"/>
  <c r="A521" i="25" s="1"/>
  <c r="A522" i="25" s="1"/>
  <c r="A523" i="25" s="1"/>
  <c r="A524" i="25" s="1"/>
  <c r="A525" i="25" s="1"/>
  <c r="A526" i="25" s="1"/>
  <c r="F11" i="1"/>
  <c r="S197" i="7" l="1"/>
  <c r="G170" i="25"/>
  <c r="C400" i="25"/>
  <c r="C17" i="25" s="1"/>
  <c r="D209" i="25"/>
  <c r="C273" i="25"/>
  <c r="C275" i="25" s="1"/>
  <c r="C11" i="25" s="1"/>
  <c r="C8" i="25"/>
  <c r="C209" i="25"/>
  <c r="D8" i="25"/>
  <c r="C465" i="25"/>
  <c r="C479" i="25" s="1"/>
  <c r="C25" i="25" s="1"/>
  <c r="D513" i="25"/>
  <c r="C37" i="25"/>
  <c r="E259" i="25"/>
  <c r="G9" i="25"/>
  <c r="C47" i="25"/>
  <c r="D248" i="25"/>
  <c r="E248" i="25" s="1"/>
  <c r="C517" i="25"/>
  <c r="C29" i="25" s="1"/>
  <c r="D9" i="25"/>
  <c r="E267" i="25"/>
  <c r="E7" i="25" s="1"/>
  <c r="D526" i="25"/>
  <c r="C106" i="25"/>
  <c r="C172" i="25" s="1"/>
  <c r="C302" i="25"/>
  <c r="C304" i="25" s="1"/>
  <c r="C10" i="25" s="1"/>
  <c r="E37" i="25"/>
  <c r="D169" i="25"/>
  <c r="D170" i="25" s="1"/>
  <c r="D143" i="25"/>
  <c r="D176" i="25" s="1"/>
  <c r="E128" i="25"/>
  <c r="E143" i="25" s="1"/>
  <c r="E176" i="25" s="1"/>
  <c r="H176" i="25" s="1"/>
  <c r="D37" i="25"/>
  <c r="G27" i="25"/>
  <c r="C262" i="25"/>
  <c r="E257" i="25"/>
  <c r="C370" i="25"/>
  <c r="D278" i="25"/>
  <c r="D492" i="25"/>
  <c r="G33" i="25"/>
  <c r="E436" i="25"/>
  <c r="D436" i="25" s="1"/>
  <c r="C440" i="25"/>
  <c r="C444" i="25" s="1"/>
  <c r="C189" i="25"/>
  <c r="C44" i="25" s="1"/>
  <c r="C51" i="25"/>
  <c r="C178" i="25"/>
  <c r="C174" i="25"/>
  <c r="C230" i="25"/>
  <c r="C50" i="25" s="1"/>
  <c r="E8" i="25"/>
  <c r="C225" i="25"/>
  <c r="C360" i="25"/>
  <c r="C409" i="25"/>
  <c r="C18" i="25" s="1"/>
  <c r="D435" i="25"/>
  <c r="C245" i="25"/>
  <c r="C48" i="25" s="1"/>
  <c r="C330" i="25"/>
  <c r="C323" i="25"/>
  <c r="C486" i="25"/>
  <c r="C498" i="25" s="1"/>
  <c r="C26" i="25" s="1"/>
  <c r="C221" i="25"/>
  <c r="C423" i="25"/>
  <c r="C19" i="25" s="1"/>
  <c r="E509" i="25"/>
  <c r="D494" i="25"/>
  <c r="S198" i="7" l="1"/>
  <c r="C180" i="25"/>
  <c r="C227" i="25"/>
  <c r="C12" i="25"/>
  <c r="D267" i="25"/>
  <c r="D7" i="25" s="1"/>
  <c r="C182" i="25"/>
  <c r="C202" i="25"/>
  <c r="C204" i="25" s="1"/>
  <c r="C264" i="25" s="1"/>
  <c r="C372" i="25"/>
  <c r="C16" i="25" s="1"/>
  <c r="C21" i="25"/>
  <c r="E262" i="25"/>
  <c r="E51" i="25"/>
  <c r="C332" i="25"/>
  <c r="C401" i="25"/>
  <c r="C43" i="25"/>
  <c r="C45" i="25" s="1"/>
  <c r="C53" i="25" s="1"/>
  <c r="D257" i="25"/>
  <c r="C306" i="25"/>
  <c r="S199" i="7" l="1"/>
  <c r="D51" i="25"/>
  <c r="D262" i="25"/>
  <c r="S200" i="7" l="1"/>
  <c r="G515" i="25"/>
  <c r="G513" i="25"/>
  <c r="G510" i="25"/>
  <c r="F40" i="25"/>
  <c r="G495" i="25"/>
  <c r="G494" i="25"/>
  <c r="G492" i="25"/>
  <c r="G490" i="25"/>
  <c r="F486" i="25"/>
  <c r="F477" i="25"/>
  <c r="F473" i="25"/>
  <c r="G455" i="25"/>
  <c r="G454" i="25"/>
  <c r="G453" i="25"/>
  <c r="G452" i="25"/>
  <c r="G436" i="25"/>
  <c r="G435" i="25"/>
  <c r="F423" i="25"/>
  <c r="F19" i="25" s="1"/>
  <c r="G391" i="25"/>
  <c r="F2" i="25"/>
  <c r="G357" i="25"/>
  <c r="G355" i="25"/>
  <c r="G299" i="25"/>
  <c r="G297" i="25"/>
  <c r="G295" i="25"/>
  <c r="G294" i="25"/>
  <c r="G279" i="25"/>
  <c r="G274" i="25"/>
  <c r="G261" i="25"/>
  <c r="G260" i="25"/>
  <c r="G259" i="25"/>
  <c r="G256" i="25"/>
  <c r="G255" i="25"/>
  <c r="F245" i="25"/>
  <c r="F48" i="25" s="1"/>
  <c r="F225" i="25"/>
  <c r="F221" i="25"/>
  <c r="F200" i="25"/>
  <c r="G164" i="25"/>
  <c r="G157" i="25"/>
  <c r="G142" i="25"/>
  <c r="G141" i="25"/>
  <c r="G140" i="25"/>
  <c r="G139" i="25"/>
  <c r="G138" i="25"/>
  <c r="G137" i="25"/>
  <c r="G136" i="25"/>
  <c r="G135" i="25"/>
  <c r="G134" i="25"/>
  <c r="G133" i="25"/>
  <c r="G132" i="25"/>
  <c r="G131" i="25"/>
  <c r="G130" i="25"/>
  <c r="G129" i="25"/>
  <c r="G109" i="25"/>
  <c r="F110" i="25"/>
  <c r="G103" i="25"/>
  <c r="G102" i="25"/>
  <c r="G101" i="25"/>
  <c r="G100" i="25"/>
  <c r="G99" i="25"/>
  <c r="G98" i="25"/>
  <c r="G93" i="25"/>
  <c r="G92" i="25"/>
  <c r="G91" i="25"/>
  <c r="G90" i="25"/>
  <c r="G89" i="25"/>
  <c r="G88" i="25"/>
  <c r="G87" i="25"/>
  <c r="G82" i="25"/>
  <c r="G81" i="25"/>
  <c r="G80" i="25"/>
  <c r="G79" i="25"/>
  <c r="G78" i="25"/>
  <c r="G73" i="25"/>
  <c r="F62" i="25"/>
  <c r="S201" i="7" l="1"/>
  <c r="F385" i="25"/>
  <c r="F229" i="25"/>
  <c r="F217" i="25"/>
  <c r="F275" i="25"/>
  <c r="F11" i="25" s="1"/>
  <c r="G272" i="25"/>
  <c r="F370" i="25"/>
  <c r="F409" i="25"/>
  <c r="F18" i="25" s="1"/>
  <c r="F440" i="25"/>
  <c r="F444" i="25" s="1"/>
  <c r="F230" i="25"/>
  <c r="F50" i="25" s="1"/>
  <c r="F213" i="25"/>
  <c r="G451" i="25"/>
  <c r="G456" i="25" s="1"/>
  <c r="G457" i="25" s="1"/>
  <c r="F456" i="25"/>
  <c r="F398" i="25"/>
  <c r="F197" i="25"/>
  <c r="F498" i="25"/>
  <c r="F26" i="25" s="1"/>
  <c r="F8" i="25"/>
  <c r="G8" i="25" s="1"/>
  <c r="G268" i="25"/>
  <c r="F517" i="25"/>
  <c r="F29" i="25" s="1"/>
  <c r="G509" i="25"/>
  <c r="F94" i="25"/>
  <c r="G86" i="25"/>
  <c r="G94" i="25" s="1"/>
  <c r="F143" i="25"/>
  <c r="F176" i="25" s="1"/>
  <c r="G128" i="25"/>
  <c r="G143" i="25" s="1"/>
  <c r="G176" i="25" s="1"/>
  <c r="F125" i="25"/>
  <c r="G278" i="25"/>
  <c r="G524" i="25"/>
  <c r="F35" i="25"/>
  <c r="G35" i="25" s="1"/>
  <c r="F47" i="25"/>
  <c r="F250" i="25"/>
  <c r="G248" i="25"/>
  <c r="G233" i="25"/>
  <c r="F237" i="25"/>
  <c r="F46" i="25" s="1"/>
  <c r="G258" i="25"/>
  <c r="F290" i="25"/>
  <c r="F416" i="25"/>
  <c r="F20" i="25" s="1"/>
  <c r="G525" i="25"/>
  <c r="F36" i="25"/>
  <c r="G36" i="25" s="1"/>
  <c r="F465" i="25"/>
  <c r="F479" i="25" s="1"/>
  <c r="F25" i="25" s="1"/>
  <c r="F330" i="25"/>
  <c r="F83" i="25"/>
  <c r="G77" i="25"/>
  <c r="G83" i="25" s="1"/>
  <c r="G97" i="25"/>
  <c r="G104" i="25" s="1"/>
  <c r="F104" i="25"/>
  <c r="F28" i="25"/>
  <c r="G28" i="25" s="1"/>
  <c r="G506" i="25"/>
  <c r="F227" i="25" l="1"/>
  <c r="F21" i="25"/>
  <c r="F51" i="25"/>
  <c r="G257" i="25"/>
  <c r="G51" i="25" s="1"/>
  <c r="F401" i="25"/>
  <c r="F400" i="25"/>
  <c r="F17" i="25" s="1"/>
  <c r="F178" i="25"/>
  <c r="F174" i="25"/>
  <c r="G314" i="25" l="1"/>
  <c r="F323" i="25"/>
  <c r="F332" i="25" s="1"/>
  <c r="F158" i="25"/>
  <c r="F166" i="25" l="1"/>
  <c r="F189" i="25"/>
  <c r="F44" i="25" l="1"/>
  <c r="F202" i="25"/>
  <c r="F74" i="25"/>
  <c r="F106" i="25" s="1"/>
  <c r="F182" i="25" s="1"/>
  <c r="F180" i="25" l="1"/>
  <c r="F172" i="25"/>
  <c r="F204" i="25" l="1"/>
  <c r="F43" i="25"/>
  <c r="F45" i="25" s="1"/>
  <c r="F7" i="25" l="1"/>
  <c r="G267" i="25"/>
  <c r="K267" i="25" l="1"/>
  <c r="G7" i="25"/>
  <c r="G413" i="25" l="1"/>
  <c r="D413" i="25"/>
  <c r="G414" i="25"/>
  <c r="D414" i="25"/>
  <c r="D415" i="25"/>
  <c r="G415" i="25"/>
  <c r="G412" i="25"/>
  <c r="D412" i="25"/>
  <c r="E416" i="25"/>
  <c r="E20" i="25" s="1"/>
  <c r="G20" i="25" s="1"/>
  <c r="G420" i="25"/>
  <c r="D420" i="25"/>
  <c r="G405" i="25"/>
  <c r="D405" i="25"/>
  <c r="G404" i="25"/>
  <c r="D404" i="25"/>
  <c r="G407" i="25"/>
  <c r="D407" i="25"/>
  <c r="G422" i="25"/>
  <c r="D422" i="25"/>
  <c r="G406" i="25"/>
  <c r="D406" i="25"/>
  <c r="D408" i="25"/>
  <c r="G408" i="25"/>
  <c r="D403" i="25"/>
  <c r="E409" i="25"/>
  <c r="E18" i="25" s="1"/>
  <c r="G18" i="25" s="1"/>
  <c r="G403" i="25"/>
  <c r="G421" i="25"/>
  <c r="D421" i="25"/>
  <c r="D419" i="25"/>
  <c r="G419" i="25"/>
  <c r="E423" i="25"/>
  <c r="E19" i="25" s="1"/>
  <c r="G19" i="25" s="1"/>
  <c r="D416" i="25" l="1"/>
  <c r="D20" i="25" s="1"/>
  <c r="G416" i="25"/>
  <c r="D409" i="25"/>
  <c r="D18" i="25" s="1"/>
  <c r="G409" i="25"/>
  <c r="G423" i="25"/>
  <c r="D423" i="25"/>
  <c r="D19" i="25" s="1"/>
  <c r="G296" i="25" l="1"/>
  <c r="F302" i="25"/>
  <c r="F304" i="25" s="1"/>
  <c r="G354" i="25"/>
  <c r="F360" i="25"/>
  <c r="F372" i="25" s="1"/>
  <c r="F10" i="25" l="1"/>
  <c r="F12" i="25" s="1"/>
  <c r="F306" i="25"/>
  <c r="F16" i="25"/>
  <c r="F340" i="25" l="1"/>
  <c r="F343" i="25" l="1"/>
  <c r="F345" i="25" s="1"/>
  <c r="F15" i="25" l="1"/>
  <c r="F23" i="25" s="1"/>
  <c r="F30" i="25" s="1"/>
  <c r="F446" i="25"/>
  <c r="F448" i="25" s="1"/>
  <c r="F31" i="25" l="1"/>
  <c r="C340" i="25" l="1"/>
  <c r="C345" i="25" s="1"/>
  <c r="C40" i="25"/>
  <c r="G502" i="25" l="1"/>
  <c r="D502" i="25"/>
  <c r="C15" i="25"/>
  <c r="C23" i="25" s="1"/>
  <c r="C30" i="25" s="1"/>
  <c r="C39" i="25" s="1"/>
  <c r="C41" i="25" s="1"/>
  <c r="C55" i="25" s="1"/>
  <c r="C446" i="25"/>
  <c r="C448" i="25" s="1"/>
  <c r="D235" i="25" l="1"/>
  <c r="G235" i="25"/>
  <c r="D392" i="25"/>
  <c r="G392" i="25"/>
  <c r="D283" i="25"/>
  <c r="G283" i="25"/>
  <c r="G377" i="25"/>
  <c r="D377" i="25"/>
  <c r="G393" i="25"/>
  <c r="D393" i="25"/>
  <c r="G397" i="25"/>
  <c r="D397" i="25"/>
  <c r="G390" i="25"/>
  <c r="D390" i="25"/>
  <c r="G378" i="25"/>
  <c r="D378" i="25"/>
  <c r="G288" i="25"/>
  <c r="D288" i="25"/>
  <c r="D463" i="25"/>
  <c r="G463" i="25"/>
  <c r="G387" i="25"/>
  <c r="D387" i="25"/>
  <c r="E398" i="25"/>
  <c r="G376" i="25"/>
  <c r="D376" i="25"/>
  <c r="E385" i="25"/>
  <c r="G375" i="25"/>
  <c r="D375" i="25"/>
  <c r="G396" i="25"/>
  <c r="D396" i="25"/>
  <c r="D383" i="25"/>
  <c r="G383" i="25"/>
  <c r="G394" i="25"/>
  <c r="D394" i="25"/>
  <c r="G471" i="25"/>
  <c r="D471" i="25"/>
  <c r="G389" i="25"/>
  <c r="D389" i="25"/>
  <c r="G286" i="25"/>
  <c r="D286" i="25"/>
  <c r="D379" i="25"/>
  <c r="G379" i="25"/>
  <c r="G187" i="25"/>
  <c r="D187" i="25"/>
  <c r="G380" i="25"/>
  <c r="D380" i="25"/>
  <c r="D301" i="25"/>
  <c r="G301" i="25"/>
  <c r="G384" i="25"/>
  <c r="D384" i="25"/>
  <c r="G220" i="25"/>
  <c r="D220" i="25"/>
  <c r="D382" i="25"/>
  <c r="G382" i="25"/>
  <c r="E221" i="25"/>
  <c r="G219" i="25"/>
  <c r="D219" i="25"/>
  <c r="G287" i="25"/>
  <c r="D287" i="25"/>
  <c r="D388" i="25"/>
  <c r="G388" i="25"/>
  <c r="G244" i="25"/>
  <c r="D244" i="25"/>
  <c r="G395" i="25"/>
  <c r="D395" i="25"/>
  <c r="G381" i="25"/>
  <c r="D381" i="25"/>
  <c r="D2" i="25" l="1"/>
  <c r="F1" i="25" s="1"/>
  <c r="E400" i="25"/>
  <c r="E17" i="25" s="1"/>
  <c r="G17" i="25" s="1"/>
  <c r="G385" i="25"/>
  <c r="G221" i="25"/>
  <c r="D385" i="25"/>
  <c r="G398" i="25"/>
  <c r="D398" i="25"/>
  <c r="D221" i="25"/>
  <c r="D400" i="25" l="1"/>
  <c r="D17" i="25" s="1"/>
  <c r="G400" i="25"/>
  <c r="G69" i="25"/>
  <c r="D69" i="25"/>
  <c r="D118" i="25"/>
  <c r="G118" i="25"/>
  <c r="G67" i="25"/>
  <c r="D67" i="25"/>
  <c r="D462" i="25"/>
  <c r="G462" i="25"/>
  <c r="G114" i="25"/>
  <c r="D114" i="25"/>
  <c r="G121" i="25"/>
  <c r="D121" i="25"/>
  <c r="D310" i="25"/>
  <c r="G310" i="25"/>
  <c r="G72" i="25"/>
  <c r="D72" i="25"/>
  <c r="D316" i="25"/>
  <c r="G316" i="25"/>
  <c r="G329" i="25"/>
  <c r="D329" i="25"/>
  <c r="G234" i="25"/>
  <c r="D234" i="25"/>
  <c r="E323" i="25"/>
  <c r="E340" i="25"/>
  <c r="D117" i="25"/>
  <c r="G117" i="25"/>
  <c r="G124" i="25"/>
  <c r="D124" i="25"/>
  <c r="G68" i="25"/>
  <c r="D68" i="25"/>
  <c r="G192" i="25"/>
  <c r="D192" i="25"/>
  <c r="G460" i="25"/>
  <c r="D460" i="25"/>
  <c r="G335" i="25"/>
  <c r="D335" i="25"/>
  <c r="G115" i="25"/>
  <c r="D115" i="25"/>
  <c r="G325" i="25"/>
  <c r="E330" i="25"/>
  <c r="D325" i="25"/>
  <c r="G185" i="25"/>
  <c r="D185" i="25"/>
  <c r="D162" i="25"/>
  <c r="G162" i="25"/>
  <c r="G512" i="25"/>
  <c r="D512" i="25"/>
  <c r="G119" i="25"/>
  <c r="D119" i="25"/>
  <c r="G500" i="25"/>
  <c r="D500" i="25"/>
  <c r="G336" i="25"/>
  <c r="D336" i="25"/>
  <c r="G241" i="25"/>
  <c r="D241" i="25"/>
  <c r="D123" i="25"/>
  <c r="G123" i="25"/>
  <c r="G319" i="25"/>
  <c r="D319" i="25"/>
  <c r="G281" i="25"/>
  <c r="D281" i="25"/>
  <c r="G317" i="25"/>
  <c r="D317" i="25"/>
  <c r="D113" i="25"/>
  <c r="G113" i="25"/>
  <c r="E125" i="25"/>
  <c r="G328" i="25"/>
  <c r="D328" i="25"/>
  <c r="D469" i="25"/>
  <c r="G469" i="25"/>
  <c r="D339" i="25"/>
  <c r="G339" i="25"/>
  <c r="G312" i="25"/>
  <c r="D312" i="25"/>
  <c r="G70" i="25"/>
  <c r="D70" i="25"/>
  <c r="G66" i="25"/>
  <c r="E74" i="25"/>
  <c r="E106" i="25" s="1"/>
  <c r="D66" i="25"/>
  <c r="E343" i="25"/>
  <c r="G342" i="25"/>
  <c r="G343" i="25" s="1"/>
  <c r="D342" i="25"/>
  <c r="D343" i="25" s="1"/>
  <c r="D320" i="25"/>
  <c r="G320" i="25"/>
  <c r="D116" i="25"/>
  <c r="G116" i="25"/>
  <c r="D193" i="25"/>
  <c r="G193" i="25"/>
  <c r="G122" i="25"/>
  <c r="D122" i="25"/>
  <c r="D71" i="25"/>
  <c r="G71" i="25"/>
  <c r="D284" i="25"/>
  <c r="G284" i="25"/>
  <c r="D326" i="25"/>
  <c r="G326" i="25"/>
  <c r="D120" i="25"/>
  <c r="G120" i="25"/>
  <c r="G212" i="25"/>
  <c r="D212" i="25"/>
  <c r="G211" i="25"/>
  <c r="E213" i="25"/>
  <c r="D211" i="25"/>
  <c r="D493" i="25"/>
  <c r="G493" i="25"/>
  <c r="D321" i="25"/>
  <c r="G321" i="25"/>
  <c r="D338" i="25"/>
  <c r="G338" i="25"/>
  <c r="G163" i="25"/>
  <c r="D163" i="25"/>
  <c r="D125" i="25" l="1"/>
  <c r="D174" i="25" s="1"/>
  <c r="G125" i="25"/>
  <c r="G174" i="25" s="1"/>
  <c r="G74" i="25"/>
  <c r="G106" i="25" s="1"/>
  <c r="D213" i="25"/>
  <c r="D74" i="25"/>
  <c r="D106" i="25" s="1"/>
  <c r="G293" i="25"/>
  <c r="D293" i="25"/>
  <c r="G213" i="25"/>
  <c r="G318" i="25"/>
  <c r="D318" i="25"/>
  <c r="D315" i="25"/>
  <c r="G315" i="25"/>
  <c r="G327" i="25"/>
  <c r="G330" i="25" s="1"/>
  <c r="K327" i="25"/>
  <c r="D327" i="25"/>
  <c r="D330" i="25" s="1"/>
  <c r="G511" i="25"/>
  <c r="D511" i="25"/>
  <c r="E332" i="25"/>
  <c r="E345" i="25" s="1"/>
  <c r="E15" i="25" s="1"/>
  <c r="G322" i="25"/>
  <c r="D322" i="25"/>
  <c r="D313" i="25"/>
  <c r="G313" i="25"/>
  <c r="E275" i="25"/>
  <c r="G273" i="25"/>
  <c r="D273" i="25"/>
  <c r="D275" i="25" s="1"/>
  <c r="G337" i="25"/>
  <c r="G340" i="25" s="1"/>
  <c r="D337" i="25"/>
  <c r="D340" i="25" s="1"/>
  <c r="G240" i="25"/>
  <c r="D240" i="25"/>
  <c r="D242" i="25"/>
  <c r="G242" i="25"/>
  <c r="E174" i="25"/>
  <c r="H174" i="25" s="1"/>
  <c r="E178" i="25"/>
  <c r="H178" i="25" s="1"/>
  <c r="G311" i="25"/>
  <c r="D311" i="25"/>
  <c r="G178" i="25" l="1"/>
  <c r="D178" i="25"/>
  <c r="D323" i="25"/>
  <c r="D332" i="25" s="1"/>
  <c r="D345" i="25" s="1"/>
  <c r="D15" i="25" s="1"/>
  <c r="G323" i="25"/>
  <c r="G332" i="25" s="1"/>
  <c r="G345" i="25" s="1"/>
  <c r="G15" i="25"/>
  <c r="G433" i="25"/>
  <c r="D433" i="25"/>
  <c r="G438" i="25"/>
  <c r="D438" i="25"/>
  <c r="G443" i="25"/>
  <c r="D443" i="25"/>
  <c r="D426" i="25"/>
  <c r="E440" i="25"/>
  <c r="E444" i="25" s="1"/>
  <c r="G426" i="25"/>
  <c r="G432" i="25"/>
  <c r="D432" i="25"/>
  <c r="G437" i="25"/>
  <c r="D437" i="25"/>
  <c r="G428" i="25"/>
  <c r="D428" i="25"/>
  <c r="G431" i="25"/>
  <c r="D431" i="25"/>
  <c r="G429" i="25"/>
  <c r="D429" i="25"/>
  <c r="D427" i="25"/>
  <c r="G427" i="25"/>
  <c r="G430" i="25"/>
  <c r="D430" i="25"/>
  <c r="D11" i="25"/>
  <c r="D434" i="25"/>
  <c r="G434" i="25"/>
  <c r="G439" i="25"/>
  <c r="D439" i="25"/>
  <c r="G275" i="25"/>
  <c r="E11" i="25"/>
  <c r="G11" i="25" s="1"/>
  <c r="G442" i="25"/>
  <c r="D442" i="25"/>
  <c r="G349" i="25" l="1"/>
  <c r="D349" i="25"/>
  <c r="G243" i="25"/>
  <c r="G245" i="25" s="1"/>
  <c r="D243" i="25"/>
  <c r="D245" i="25" s="1"/>
  <c r="D48" i="25" s="1"/>
  <c r="E245" i="25"/>
  <c r="E48" i="25" s="1"/>
  <c r="G48" i="25" s="1"/>
  <c r="G440" i="25"/>
  <c r="G444" i="25" s="1"/>
  <c r="E21" i="25"/>
  <c r="G21" i="25" s="1"/>
  <c r="G358" i="25"/>
  <c r="D358" i="25"/>
  <c r="G186" i="25"/>
  <c r="D186" i="25"/>
  <c r="D289" i="25"/>
  <c r="G289" i="25"/>
  <c r="G348" i="25"/>
  <c r="D348" i="25"/>
  <c r="E360" i="25"/>
  <c r="G300" i="25"/>
  <c r="D300" i="25"/>
  <c r="G476" i="25"/>
  <c r="G477" i="25" s="1"/>
  <c r="E477" i="25"/>
  <c r="D476" i="25"/>
  <c r="D477" i="25" s="1"/>
  <c r="G369" i="25"/>
  <c r="D369" i="25"/>
  <c r="G359" i="25"/>
  <c r="D359" i="25"/>
  <c r="G285" i="25"/>
  <c r="D285" i="25"/>
  <c r="G368" i="25"/>
  <c r="D368" i="25"/>
  <c r="G356" i="25"/>
  <c r="D356" i="25"/>
  <c r="G352" i="25"/>
  <c r="D352" i="25"/>
  <c r="G501" i="25"/>
  <c r="D501" i="25"/>
  <c r="E40" i="25"/>
  <c r="G40" i="25" s="1"/>
  <c r="D216" i="25"/>
  <c r="G216" i="25"/>
  <c r="E229" i="25"/>
  <c r="D366" i="25"/>
  <c r="G366" i="25"/>
  <c r="D367" i="25"/>
  <c r="G367" i="25"/>
  <c r="D440" i="25"/>
  <c r="D444" i="25" s="1"/>
  <c r="G215" i="25"/>
  <c r="D215" i="25"/>
  <c r="E217" i="25"/>
  <c r="E230" i="25"/>
  <c r="E50" i="25" s="1"/>
  <c r="G350" i="25"/>
  <c r="D350" i="25"/>
  <c r="G363" i="25"/>
  <c r="D363" i="25"/>
  <c r="E370" i="25"/>
  <c r="E401" i="25" s="1"/>
  <c r="E110" i="25"/>
  <c r="E182" i="25" s="1"/>
  <c r="H182" i="25" s="1"/>
  <c r="D108" i="25"/>
  <c r="D110" i="25" s="1"/>
  <c r="D182" i="25" s="1"/>
  <c r="G108" i="25"/>
  <c r="G110" i="25" s="1"/>
  <c r="G182" i="25" s="1"/>
  <c r="G461" i="25"/>
  <c r="D461" i="25"/>
  <c r="E465" i="25"/>
  <c r="D351" i="25"/>
  <c r="G351" i="25"/>
  <c r="G298" i="25"/>
  <c r="D298" i="25"/>
  <c r="E302" i="25"/>
  <c r="G365" i="25"/>
  <c r="D365" i="25"/>
  <c r="G282" i="25"/>
  <c r="D282" i="25"/>
  <c r="E290" i="25"/>
  <c r="G353" i="25"/>
  <c r="D353" i="25"/>
  <c r="G364" i="25"/>
  <c r="D364" i="25"/>
  <c r="D470" i="25"/>
  <c r="G470" i="25"/>
  <c r="D302" i="25" l="1"/>
  <c r="G302" i="25"/>
  <c r="G360" i="25"/>
  <c r="G290" i="25"/>
  <c r="G188" i="25"/>
  <c r="G189" i="25" s="1"/>
  <c r="D188" i="25"/>
  <c r="D189" i="25" s="1"/>
  <c r="G150" i="25"/>
  <c r="D150" i="25"/>
  <c r="D236" i="25"/>
  <c r="D237" i="25" s="1"/>
  <c r="D46" i="25" s="1"/>
  <c r="G236" i="25"/>
  <c r="G237" i="25" s="1"/>
  <c r="E237" i="25"/>
  <c r="E46" i="25" s="1"/>
  <c r="G46" i="25" s="1"/>
  <c r="G370" i="25"/>
  <c r="G401" i="25" s="1"/>
  <c r="D152" i="25"/>
  <c r="G152" i="25"/>
  <c r="G196" i="25"/>
  <c r="G197" i="25" s="1"/>
  <c r="D196" i="25"/>
  <c r="D197" i="25" s="1"/>
  <c r="E197" i="25"/>
  <c r="G61" i="25"/>
  <c r="D61" i="25"/>
  <c r="D217" i="25"/>
  <c r="G503" i="25"/>
  <c r="D503" i="25"/>
  <c r="D151" i="25"/>
  <c r="G151" i="25"/>
  <c r="E166" i="25"/>
  <c r="D161" i="25"/>
  <c r="G161" i="25"/>
  <c r="G149" i="25"/>
  <c r="D149" i="25"/>
  <c r="E158" i="25"/>
  <c r="G146" i="25"/>
  <c r="D146" i="25"/>
  <c r="E189" i="25"/>
  <c r="G153" i="25"/>
  <c r="D153" i="25"/>
  <c r="D497" i="25"/>
  <c r="G497" i="25"/>
  <c r="G223" i="25"/>
  <c r="E225" i="25"/>
  <c r="E227" i="25" s="1"/>
  <c r="D223" i="25"/>
  <c r="D230" i="25" s="1"/>
  <c r="D50" i="25" s="1"/>
  <c r="D370" i="25"/>
  <c r="D401" i="25" s="1"/>
  <c r="E62" i="25"/>
  <c r="G60" i="25"/>
  <c r="D60" i="25"/>
  <c r="G147" i="25"/>
  <c r="D147" i="25"/>
  <c r="G468" i="25"/>
  <c r="E473" i="25"/>
  <c r="E479" i="25" s="1"/>
  <c r="E25" i="25" s="1"/>
  <c r="G25" i="25" s="1"/>
  <c r="D468" i="25"/>
  <c r="D224" i="25"/>
  <c r="D229" i="25" s="1"/>
  <c r="G224" i="25"/>
  <c r="G229" i="25" s="1"/>
  <c r="G217" i="25"/>
  <c r="G504" i="25"/>
  <c r="D504" i="25"/>
  <c r="D21" i="25"/>
  <c r="G155" i="25"/>
  <c r="D155" i="25"/>
  <c r="E304" i="25"/>
  <c r="E372" i="25"/>
  <c r="G464" i="25"/>
  <c r="G465" i="25" s="1"/>
  <c r="D464" i="25"/>
  <c r="D465" i="25" s="1"/>
  <c r="D148" i="25"/>
  <c r="G148" i="25"/>
  <c r="G472" i="25"/>
  <c r="D472" i="25"/>
  <c r="D156" i="25"/>
  <c r="G156" i="25"/>
  <c r="D290" i="25"/>
  <c r="D360" i="25"/>
  <c r="G154" i="25"/>
  <c r="D154" i="25"/>
  <c r="G165" i="25"/>
  <c r="D165" i="25"/>
  <c r="D304" i="25" l="1"/>
  <c r="D10" i="25" s="1"/>
  <c r="D12" i="25" s="1"/>
  <c r="G304" i="25"/>
  <c r="G306" i="25" s="1"/>
  <c r="D40" i="25"/>
  <c r="E172" i="25"/>
  <c r="E43" i="25" s="1"/>
  <c r="D62" i="25"/>
  <c r="G202" i="25"/>
  <c r="D473" i="25"/>
  <c r="D479" i="25" s="1"/>
  <c r="D25" i="25" s="1"/>
  <c r="G473" i="25"/>
  <c r="G479" i="25" s="1"/>
  <c r="D372" i="25"/>
  <c r="D16" i="25" s="1"/>
  <c r="D23" i="25" s="1"/>
  <c r="D44" i="25"/>
  <c r="G225" i="25"/>
  <c r="G227" i="25" s="1"/>
  <c r="G62" i="25"/>
  <c r="E202" i="25"/>
  <c r="E16" i="25"/>
  <c r="E446" i="25"/>
  <c r="D202" i="25"/>
  <c r="D166" i="25"/>
  <c r="G230" i="25"/>
  <c r="G50" i="25" s="1"/>
  <c r="D158" i="25"/>
  <c r="E180" i="25"/>
  <c r="H180" i="25" s="1"/>
  <c r="G166" i="25"/>
  <c r="G158" i="25"/>
  <c r="G372" i="25"/>
  <c r="G446" i="25" s="1"/>
  <c r="G448" i="25" s="1"/>
  <c r="G44" i="25"/>
  <c r="E10" i="25"/>
  <c r="E306" i="25"/>
  <c r="H306" i="25" s="1"/>
  <c r="E44" i="25"/>
  <c r="D225" i="25"/>
  <c r="D227" i="25" s="1"/>
  <c r="D306" i="25" l="1"/>
  <c r="E204" i="25"/>
  <c r="D446" i="25"/>
  <c r="D448" i="25" s="1"/>
  <c r="G172" i="25"/>
  <c r="G43" i="25" s="1"/>
  <c r="G45" i="25" s="1"/>
  <c r="D180" i="25"/>
  <c r="G180" i="25"/>
  <c r="D172" i="25"/>
  <c r="E45" i="25"/>
  <c r="G16" i="25"/>
  <c r="G23" i="25" s="1"/>
  <c r="E23" i="25"/>
  <c r="G10" i="25"/>
  <c r="G12" i="25" s="1"/>
  <c r="E12" i="25"/>
  <c r="E448" i="25"/>
  <c r="H448" i="25" s="1"/>
  <c r="H446" i="25"/>
  <c r="G204" i="25" l="1"/>
  <c r="D204" i="25"/>
  <c r="D43" i="25"/>
  <c r="D45" i="25" s="1"/>
  <c r="G249" i="25" l="1"/>
  <c r="G250" i="25" s="1"/>
  <c r="D249" i="25"/>
  <c r="E47" i="25"/>
  <c r="E250" i="25"/>
  <c r="E264" i="25" s="1"/>
  <c r="G516" i="25"/>
  <c r="D516" i="25"/>
  <c r="G491" i="25"/>
  <c r="D491" i="25"/>
  <c r="D489" i="25"/>
  <c r="G489" i="25"/>
  <c r="G514" i="25"/>
  <c r="D514" i="25"/>
  <c r="E517" i="25"/>
  <c r="E29" i="25" s="1"/>
  <c r="G29" i="25" s="1"/>
  <c r="G488" i="25"/>
  <c r="D488" i="25"/>
  <c r="D517" i="25" l="1"/>
  <c r="D29" i="25" s="1"/>
  <c r="G517" i="25"/>
  <c r="D47" i="25"/>
  <c r="D53" i="25" s="1"/>
  <c r="D250" i="25"/>
  <c r="D264" i="25" s="1"/>
  <c r="G47" i="25"/>
  <c r="E53" i="25"/>
  <c r="G484" i="25" l="1"/>
  <c r="D484" i="25"/>
  <c r="G496" i="25"/>
  <c r="D496" i="25"/>
  <c r="G483" i="25"/>
  <c r="E486" i="25"/>
  <c r="E498" i="25" s="1"/>
  <c r="E26" i="25" s="1"/>
  <c r="D483" i="25"/>
  <c r="G485" i="25"/>
  <c r="D485" i="25"/>
  <c r="D486" i="25" l="1"/>
  <c r="D498" i="25" s="1"/>
  <c r="D26" i="25" s="1"/>
  <c r="D30" i="25" s="1"/>
  <c r="D39" i="25" s="1"/>
  <c r="D41" i="25" s="1"/>
  <c r="D55" i="25" s="1"/>
  <c r="G486" i="25"/>
  <c r="G498" i="25" s="1"/>
  <c r="G26" i="25"/>
  <c r="G30" i="25" s="1"/>
  <c r="E30" i="25"/>
  <c r="G31" i="25" l="1"/>
  <c r="E31" i="25"/>
  <c r="E39" i="25"/>
  <c r="E41" i="25" s="1"/>
  <c r="E55" i="25" s="1"/>
  <c r="F262" i="25" l="1"/>
  <c r="F264" i="25" s="1"/>
  <c r="G254" i="25"/>
  <c r="G262" i="25" s="1"/>
  <c r="G264" i="25" s="1"/>
  <c r="F52" i="25"/>
  <c r="G52" i="25" s="1"/>
  <c r="G523" i="25" l="1"/>
  <c r="G526" i="25" s="1"/>
  <c r="F34" i="25"/>
  <c r="F526" i="25"/>
  <c r="F37" i="25" l="1"/>
  <c r="F39" i="25" s="1"/>
  <c r="F41" i="25" s="1"/>
  <c r="G34" i="25"/>
  <c r="G37" i="25" s="1"/>
  <c r="G39" i="25" s="1"/>
  <c r="G41" i="25" s="1"/>
  <c r="B43" i="1" l="1"/>
  <c r="F43" i="1"/>
  <c r="H43" i="1"/>
  <c r="J43" i="1"/>
  <c r="A19" i="20"/>
  <c r="A10" i="20"/>
  <c r="J56" i="1"/>
  <c r="F56" i="1" l="1"/>
  <c r="L41" i="1"/>
  <c r="L40" i="1"/>
  <c r="L39" i="1"/>
  <c r="J33" i="1"/>
  <c r="J35" i="1" s="1"/>
  <c r="J37" i="1" s="1"/>
  <c r="J23" i="1"/>
  <c r="J25" i="1" s="1"/>
  <c r="J27" i="1" s="1"/>
  <c r="J29" i="1" s="1"/>
  <c r="F33" i="1"/>
  <c r="F35" i="1" s="1"/>
  <c r="F37" i="1" s="1"/>
  <c r="F25" i="1"/>
  <c r="F27" i="1" s="1"/>
  <c r="F29" i="1" s="1"/>
  <c r="D41" i="1"/>
  <c r="D40" i="1"/>
  <c r="D39" i="1"/>
  <c r="L43" i="1" l="1"/>
  <c r="D43" i="1"/>
  <c r="J45" i="1"/>
  <c r="F45" i="1"/>
  <c r="I220" i="7" l="1"/>
  <c r="B36" i="1"/>
  <c r="D36" i="1" s="1"/>
  <c r="H36" i="1" s="1"/>
  <c r="L36" i="1" s="1"/>
  <c r="N36" i="1" s="1"/>
  <c r="B28" i="1"/>
  <c r="D28" i="1" l="1"/>
  <c r="H28" i="1" s="1"/>
  <c r="L28" i="1" s="1"/>
  <c r="N28" i="1" s="1"/>
  <c r="P28" i="1" s="1"/>
  <c r="P36" i="1"/>
  <c r="B34" i="1" l="1"/>
  <c r="D34" i="1" s="1"/>
  <c r="H34" i="1" s="1"/>
  <c r="L34" i="1" s="1"/>
  <c r="P34" i="1" s="1"/>
  <c r="D209" i="7"/>
  <c r="G141" i="19" l="1"/>
  <c r="G331" i="18"/>
  <c r="E218" i="7" l="1"/>
  <c r="E204" i="7"/>
  <c r="B26" i="1" l="1"/>
  <c r="D26" i="1" s="1"/>
  <c r="H26" i="1" s="1"/>
  <c r="L26" i="1" s="1"/>
  <c r="N26" i="1" s="1"/>
  <c r="P26" i="1" s="1"/>
  <c r="I218" i="7"/>
  <c r="G246" i="7"/>
  <c r="J229" i="7"/>
  <c r="D229" i="7" s="1"/>
  <c r="I204" i="7"/>
  <c r="O32" i="14" l="1"/>
  <c r="O42" i="14" s="1"/>
  <c r="S30" i="14"/>
  <c r="S28" i="14"/>
  <c r="S26" i="14"/>
  <c r="F18" i="14"/>
  <c r="H16" i="14" s="1"/>
  <c r="M16" i="14" s="1"/>
  <c r="B14" i="14"/>
  <c r="B15" i="14" s="1"/>
  <c r="B16" i="14" s="1"/>
  <c r="B18" i="14" s="1"/>
  <c r="D201" i="7"/>
  <c r="R182" i="7"/>
  <c r="Q182" i="7"/>
  <c r="I182" i="7"/>
  <c r="H182" i="7"/>
  <c r="G182" i="7"/>
  <c r="F182" i="7"/>
  <c r="E182" i="7"/>
  <c r="D182" i="7"/>
  <c r="C182" i="7"/>
  <c r="U180" i="7"/>
  <c r="T201" i="7" s="1"/>
  <c r="U201" i="7" s="1"/>
  <c r="S180" i="7"/>
  <c r="L180" i="7"/>
  <c r="J180" i="7"/>
  <c r="U179" i="7"/>
  <c r="T200" i="7" s="1"/>
  <c r="U200" i="7" s="1"/>
  <c r="S179" i="7"/>
  <c r="L179" i="7"/>
  <c r="J179" i="7"/>
  <c r="U178" i="7"/>
  <c r="T199" i="7" s="1"/>
  <c r="U199" i="7" s="1"/>
  <c r="S178" i="7"/>
  <c r="L178" i="7"/>
  <c r="J178" i="7"/>
  <c r="U177" i="7"/>
  <c r="T198" i="7" s="1"/>
  <c r="U198" i="7" s="1"/>
  <c r="S177" i="7"/>
  <c r="L177" i="7"/>
  <c r="J177" i="7"/>
  <c r="U176" i="7"/>
  <c r="T197" i="7" s="1"/>
  <c r="U197" i="7" s="1"/>
  <c r="S176" i="7"/>
  <c r="L176" i="7"/>
  <c r="J176" i="7"/>
  <c r="U175" i="7"/>
  <c r="T196" i="7" s="1"/>
  <c r="U196" i="7" s="1"/>
  <c r="S175" i="7"/>
  <c r="L175" i="7"/>
  <c r="J175" i="7"/>
  <c r="U174" i="7"/>
  <c r="T195" i="7" s="1"/>
  <c r="U195" i="7" s="1"/>
  <c r="S174" i="7"/>
  <c r="L174" i="7"/>
  <c r="J174" i="7"/>
  <c r="U173" i="7"/>
  <c r="T194" i="7" s="1"/>
  <c r="U194" i="7" s="1"/>
  <c r="S173" i="7"/>
  <c r="L173" i="7"/>
  <c r="J173" i="7"/>
  <c r="U172" i="7"/>
  <c r="T193" i="7" s="1"/>
  <c r="U193" i="7" s="1"/>
  <c r="S172" i="7"/>
  <c r="L172" i="7"/>
  <c r="J172" i="7"/>
  <c r="U171" i="7"/>
  <c r="S171" i="7"/>
  <c r="L171" i="7"/>
  <c r="J171" i="7"/>
  <c r="U170" i="7"/>
  <c r="S170" i="7"/>
  <c r="L170" i="7"/>
  <c r="J170" i="7"/>
  <c r="U169" i="7"/>
  <c r="S169" i="7"/>
  <c r="L169" i="7"/>
  <c r="J169" i="7"/>
  <c r="U168" i="7"/>
  <c r="S168" i="7"/>
  <c r="L168" i="7"/>
  <c r="J168" i="7"/>
  <c r="U167" i="7"/>
  <c r="S167" i="7"/>
  <c r="L167" i="7"/>
  <c r="J167" i="7"/>
  <c r="U166" i="7"/>
  <c r="S166" i="7"/>
  <c r="L166" i="7"/>
  <c r="J166" i="7"/>
  <c r="U165" i="7"/>
  <c r="S165" i="7"/>
  <c r="L165" i="7"/>
  <c r="J165" i="7"/>
  <c r="U164" i="7"/>
  <c r="S164" i="7"/>
  <c r="L164" i="7"/>
  <c r="J164" i="7"/>
  <c r="U163" i="7"/>
  <c r="S163" i="7"/>
  <c r="L163" i="7"/>
  <c r="J163" i="7"/>
  <c r="U162" i="7"/>
  <c r="S162" i="7"/>
  <c r="L162" i="7"/>
  <c r="J162" i="7"/>
  <c r="U161" i="7"/>
  <c r="S161" i="7"/>
  <c r="L161" i="7"/>
  <c r="J161" i="7"/>
  <c r="U160" i="7"/>
  <c r="S160" i="7"/>
  <c r="L160" i="7"/>
  <c r="J160" i="7"/>
  <c r="U159" i="7"/>
  <c r="S159" i="7"/>
  <c r="L159" i="7"/>
  <c r="J159" i="7"/>
  <c r="U158" i="7"/>
  <c r="S158" i="7"/>
  <c r="L158" i="7"/>
  <c r="J158" i="7"/>
  <c r="U157" i="7"/>
  <c r="S157" i="7"/>
  <c r="L157" i="7"/>
  <c r="J157" i="7"/>
  <c r="U156" i="7"/>
  <c r="S156" i="7"/>
  <c r="L156" i="7"/>
  <c r="J156" i="7"/>
  <c r="U155" i="7"/>
  <c r="S155" i="7"/>
  <c r="L155" i="7"/>
  <c r="J155" i="7"/>
  <c r="U154" i="7"/>
  <c r="S154" i="7"/>
  <c r="L154" i="7"/>
  <c r="J154" i="7"/>
  <c r="U153" i="7"/>
  <c r="S153" i="7"/>
  <c r="L153" i="7"/>
  <c r="J153" i="7"/>
  <c r="U152" i="7"/>
  <c r="S152" i="7"/>
  <c r="L152" i="7"/>
  <c r="J152" i="7"/>
  <c r="U151" i="7"/>
  <c r="S151" i="7"/>
  <c r="L151" i="7"/>
  <c r="J151" i="7"/>
  <c r="U150" i="7"/>
  <c r="S150" i="7"/>
  <c r="L150" i="7"/>
  <c r="J150" i="7"/>
  <c r="U149" i="7"/>
  <c r="S149" i="7"/>
  <c r="L149" i="7"/>
  <c r="J149" i="7"/>
  <c r="U148" i="7"/>
  <c r="S148" i="7"/>
  <c r="L148" i="7"/>
  <c r="J148" i="7"/>
  <c r="U147" i="7"/>
  <c r="S147" i="7"/>
  <c r="L147" i="7"/>
  <c r="J147" i="7"/>
  <c r="U146" i="7"/>
  <c r="S146" i="7"/>
  <c r="L146" i="7"/>
  <c r="J146" i="7"/>
  <c r="U145" i="7"/>
  <c r="S145" i="7"/>
  <c r="L145" i="7"/>
  <c r="J145" i="7"/>
  <c r="U144" i="7"/>
  <c r="S144" i="7"/>
  <c r="L144" i="7"/>
  <c r="J144" i="7"/>
  <c r="U143" i="7"/>
  <c r="S143" i="7"/>
  <c r="L143" i="7"/>
  <c r="J143" i="7"/>
  <c r="U142" i="7"/>
  <c r="S142" i="7"/>
  <c r="L142" i="7"/>
  <c r="J142" i="7"/>
  <c r="U141" i="7"/>
  <c r="S141" i="7"/>
  <c r="L141" i="7"/>
  <c r="J141" i="7"/>
  <c r="U140" i="7"/>
  <c r="S140" i="7"/>
  <c r="L140" i="7"/>
  <c r="J140" i="7"/>
  <c r="U139" i="7"/>
  <c r="S139" i="7"/>
  <c r="L139" i="7"/>
  <c r="J139" i="7"/>
  <c r="U138" i="7"/>
  <c r="S138" i="7"/>
  <c r="L138" i="7"/>
  <c r="J138" i="7"/>
  <c r="U137" i="7"/>
  <c r="S137" i="7"/>
  <c r="L137" i="7"/>
  <c r="J137" i="7"/>
  <c r="U136" i="7"/>
  <c r="S136" i="7"/>
  <c r="L136" i="7"/>
  <c r="J136" i="7"/>
  <c r="U135" i="7"/>
  <c r="S135" i="7"/>
  <c r="L135" i="7"/>
  <c r="J135" i="7"/>
  <c r="U134" i="7"/>
  <c r="S134" i="7"/>
  <c r="L134" i="7"/>
  <c r="J134" i="7"/>
  <c r="U133" i="7"/>
  <c r="S133" i="7"/>
  <c r="L133" i="7"/>
  <c r="J133" i="7"/>
  <c r="U132" i="7"/>
  <c r="S132" i="7"/>
  <c r="L132" i="7"/>
  <c r="J132" i="7"/>
  <c r="U131" i="7"/>
  <c r="S131" i="7"/>
  <c r="L131" i="7"/>
  <c r="J131" i="7"/>
  <c r="U130" i="7"/>
  <c r="S130" i="7"/>
  <c r="L130" i="7"/>
  <c r="J130" i="7"/>
  <c r="U129" i="7"/>
  <c r="S129" i="7"/>
  <c r="L129" i="7"/>
  <c r="J129" i="7"/>
  <c r="U128" i="7"/>
  <c r="S128" i="7"/>
  <c r="L128" i="7"/>
  <c r="J128" i="7"/>
  <c r="U127" i="7"/>
  <c r="S127" i="7"/>
  <c r="L127" i="7"/>
  <c r="J127" i="7"/>
  <c r="U126" i="7"/>
  <c r="S126" i="7"/>
  <c r="L126" i="7"/>
  <c r="J126" i="7"/>
  <c r="U125" i="7"/>
  <c r="S125" i="7"/>
  <c r="L125" i="7"/>
  <c r="J125" i="7"/>
  <c r="U124" i="7"/>
  <c r="S124" i="7"/>
  <c r="L124" i="7"/>
  <c r="J124" i="7"/>
  <c r="U123" i="7"/>
  <c r="S123" i="7"/>
  <c r="L123" i="7"/>
  <c r="J123" i="7"/>
  <c r="U122" i="7"/>
  <c r="S122" i="7"/>
  <c r="L122" i="7"/>
  <c r="J122" i="7"/>
  <c r="U121" i="7"/>
  <c r="S121" i="7"/>
  <c r="L121" i="7"/>
  <c r="J121" i="7"/>
  <c r="U120" i="7"/>
  <c r="S120" i="7"/>
  <c r="L120" i="7"/>
  <c r="J120" i="7"/>
  <c r="U119" i="7"/>
  <c r="S119" i="7"/>
  <c r="L119" i="7"/>
  <c r="J119" i="7"/>
  <c r="U118" i="7"/>
  <c r="S118" i="7"/>
  <c r="L118" i="7"/>
  <c r="J118" i="7"/>
  <c r="U117" i="7"/>
  <c r="S117" i="7"/>
  <c r="L117" i="7"/>
  <c r="J117" i="7"/>
  <c r="U116" i="7"/>
  <c r="S116" i="7"/>
  <c r="L116" i="7"/>
  <c r="J116" i="7"/>
  <c r="U115" i="7"/>
  <c r="S115" i="7"/>
  <c r="L115" i="7"/>
  <c r="J115" i="7"/>
  <c r="U114" i="7"/>
  <c r="S114" i="7"/>
  <c r="L114" i="7"/>
  <c r="J114" i="7"/>
  <c r="U113" i="7"/>
  <c r="S113" i="7"/>
  <c r="L113" i="7"/>
  <c r="J113" i="7"/>
  <c r="U112" i="7"/>
  <c r="S112" i="7"/>
  <c r="L112" i="7"/>
  <c r="J112" i="7"/>
  <c r="U111" i="7"/>
  <c r="S111" i="7"/>
  <c r="L111" i="7"/>
  <c r="J111" i="7"/>
  <c r="U110" i="7"/>
  <c r="S110" i="7"/>
  <c r="L110" i="7"/>
  <c r="J110" i="7"/>
  <c r="U109" i="7"/>
  <c r="S109" i="7"/>
  <c r="L109" i="7"/>
  <c r="J109" i="7"/>
  <c r="U108" i="7"/>
  <c r="S108" i="7"/>
  <c r="L108" i="7"/>
  <c r="J108" i="7"/>
  <c r="U107" i="7"/>
  <c r="S107" i="7"/>
  <c r="L107" i="7"/>
  <c r="J107" i="7"/>
  <c r="U106" i="7"/>
  <c r="S106" i="7"/>
  <c r="L106" i="7"/>
  <c r="J106" i="7"/>
  <c r="U105" i="7"/>
  <c r="S105" i="7"/>
  <c r="L105" i="7"/>
  <c r="J105" i="7"/>
  <c r="U104" i="7"/>
  <c r="S104" i="7"/>
  <c r="L104" i="7"/>
  <c r="J104" i="7"/>
  <c r="U103" i="7"/>
  <c r="S103" i="7"/>
  <c r="L103" i="7"/>
  <c r="J103" i="7"/>
  <c r="U102" i="7"/>
  <c r="S102" i="7"/>
  <c r="L102" i="7"/>
  <c r="J102" i="7"/>
  <c r="U101" i="7"/>
  <c r="S101" i="7"/>
  <c r="L101" i="7"/>
  <c r="J101" i="7"/>
  <c r="U100" i="7"/>
  <c r="S100" i="7"/>
  <c r="L100" i="7"/>
  <c r="J100" i="7"/>
  <c r="U99" i="7"/>
  <c r="S99" i="7"/>
  <c r="L99" i="7"/>
  <c r="J99" i="7"/>
  <c r="U98" i="7"/>
  <c r="S98" i="7"/>
  <c r="L98" i="7"/>
  <c r="J98" i="7"/>
  <c r="U97" i="7"/>
  <c r="S97" i="7"/>
  <c r="L97" i="7"/>
  <c r="J97" i="7"/>
  <c r="U96" i="7"/>
  <c r="S96" i="7"/>
  <c r="L96" i="7"/>
  <c r="J96" i="7"/>
  <c r="U95" i="7"/>
  <c r="S95" i="7"/>
  <c r="L95" i="7"/>
  <c r="J95" i="7"/>
  <c r="U94" i="7"/>
  <c r="S94" i="7"/>
  <c r="L94" i="7"/>
  <c r="J94" i="7"/>
  <c r="U93" i="7"/>
  <c r="S93" i="7"/>
  <c r="L93" i="7"/>
  <c r="J93" i="7"/>
  <c r="U92" i="7"/>
  <c r="S92" i="7"/>
  <c r="L92" i="7"/>
  <c r="J92" i="7"/>
  <c r="U91" i="7"/>
  <c r="S91" i="7"/>
  <c r="L91" i="7"/>
  <c r="J91" i="7"/>
  <c r="U90" i="7"/>
  <c r="S90" i="7"/>
  <c r="L90" i="7"/>
  <c r="J90" i="7"/>
  <c r="U89" i="7"/>
  <c r="S89" i="7"/>
  <c r="L89" i="7"/>
  <c r="J89" i="7"/>
  <c r="W88" i="7"/>
  <c r="U88" i="7"/>
  <c r="S88" i="7"/>
  <c r="N88" i="7"/>
  <c r="L88" i="7"/>
  <c r="J88" i="7"/>
  <c r="R84" i="7"/>
  <c r="Q84" i="7"/>
  <c r="I84" i="7"/>
  <c r="H84" i="7"/>
  <c r="G84" i="7"/>
  <c r="F84" i="7"/>
  <c r="E84" i="7"/>
  <c r="D84" i="7"/>
  <c r="C84" i="7"/>
  <c r="U82" i="7"/>
  <c r="S82" i="7"/>
  <c r="L82" i="7"/>
  <c r="J82" i="7"/>
  <c r="U81" i="7"/>
  <c r="S81" i="7"/>
  <c r="L81" i="7"/>
  <c r="J81" i="7"/>
  <c r="U80" i="7"/>
  <c r="S80" i="7"/>
  <c r="L80" i="7"/>
  <c r="J80" i="7"/>
  <c r="U79" i="7"/>
  <c r="S79" i="7"/>
  <c r="L79" i="7"/>
  <c r="J79" i="7"/>
  <c r="U78" i="7"/>
  <c r="S78" i="7"/>
  <c r="L78" i="7"/>
  <c r="J78" i="7"/>
  <c r="U77" i="7"/>
  <c r="S77" i="7"/>
  <c r="L77" i="7"/>
  <c r="J77" i="7"/>
  <c r="U76" i="7"/>
  <c r="S76" i="7"/>
  <c r="L76" i="7"/>
  <c r="J76" i="7"/>
  <c r="U75" i="7"/>
  <c r="S75" i="7"/>
  <c r="L75" i="7"/>
  <c r="J75" i="7"/>
  <c r="U74" i="7"/>
  <c r="S74" i="7"/>
  <c r="L74" i="7"/>
  <c r="J74" i="7"/>
  <c r="U73" i="7"/>
  <c r="S73" i="7"/>
  <c r="L73" i="7"/>
  <c r="J73" i="7"/>
  <c r="U72" i="7"/>
  <c r="S72" i="7"/>
  <c r="L72" i="7"/>
  <c r="J72" i="7"/>
  <c r="U71" i="7"/>
  <c r="S71" i="7"/>
  <c r="L71" i="7"/>
  <c r="J71" i="7"/>
  <c r="U70" i="7"/>
  <c r="S70" i="7"/>
  <c r="L70" i="7"/>
  <c r="J70" i="7"/>
  <c r="U69" i="7"/>
  <c r="S69" i="7"/>
  <c r="L69" i="7"/>
  <c r="J69" i="7"/>
  <c r="U68" i="7"/>
  <c r="S68" i="7"/>
  <c r="L68" i="7"/>
  <c r="J68" i="7"/>
  <c r="U67" i="7"/>
  <c r="S67" i="7"/>
  <c r="L67" i="7"/>
  <c r="J67" i="7"/>
  <c r="U66" i="7"/>
  <c r="S66" i="7"/>
  <c r="L66" i="7"/>
  <c r="J66" i="7"/>
  <c r="U65" i="7"/>
  <c r="S65" i="7"/>
  <c r="L65" i="7"/>
  <c r="J65" i="7"/>
  <c r="U64" i="7"/>
  <c r="S64" i="7"/>
  <c r="L64" i="7"/>
  <c r="J64" i="7"/>
  <c r="U63" i="7"/>
  <c r="S63" i="7"/>
  <c r="L63" i="7"/>
  <c r="J63" i="7"/>
  <c r="U62" i="7"/>
  <c r="S62" i="7"/>
  <c r="L62" i="7"/>
  <c r="J62" i="7"/>
  <c r="U61" i="7"/>
  <c r="S61" i="7"/>
  <c r="L61" i="7"/>
  <c r="J61" i="7"/>
  <c r="U60" i="7"/>
  <c r="S60" i="7"/>
  <c r="L60" i="7"/>
  <c r="J60" i="7"/>
  <c r="U59" i="7"/>
  <c r="S59" i="7"/>
  <c r="L59" i="7"/>
  <c r="J59" i="7"/>
  <c r="U58" i="7"/>
  <c r="S58" i="7"/>
  <c r="L58" i="7"/>
  <c r="J58" i="7"/>
  <c r="U57" i="7"/>
  <c r="S57" i="7"/>
  <c r="L57" i="7"/>
  <c r="J57" i="7"/>
  <c r="U56" i="7"/>
  <c r="S56" i="7"/>
  <c r="L56" i="7"/>
  <c r="J56" i="7"/>
  <c r="U55" i="7"/>
  <c r="S55" i="7"/>
  <c r="L55" i="7"/>
  <c r="J55" i="7"/>
  <c r="U54" i="7"/>
  <c r="S54" i="7"/>
  <c r="L54" i="7"/>
  <c r="J54" i="7"/>
  <c r="U53" i="7"/>
  <c r="S53" i="7"/>
  <c r="L53" i="7"/>
  <c r="J53" i="7"/>
  <c r="U52" i="7"/>
  <c r="S52" i="7"/>
  <c r="L52" i="7"/>
  <c r="J52" i="7"/>
  <c r="U51" i="7"/>
  <c r="S51" i="7"/>
  <c r="L51" i="7"/>
  <c r="J51" i="7"/>
  <c r="U50" i="7"/>
  <c r="S50" i="7"/>
  <c r="L50" i="7"/>
  <c r="J50" i="7"/>
  <c r="U49" i="7"/>
  <c r="S49" i="7"/>
  <c r="L49" i="7"/>
  <c r="J49" i="7"/>
  <c r="U48" i="7"/>
  <c r="S48" i="7"/>
  <c r="L48" i="7"/>
  <c r="J48" i="7"/>
  <c r="U47" i="7"/>
  <c r="S47" i="7"/>
  <c r="L47" i="7"/>
  <c r="J47" i="7"/>
  <c r="U46" i="7"/>
  <c r="S46" i="7"/>
  <c r="L46" i="7"/>
  <c r="J46" i="7"/>
  <c r="U45" i="7"/>
  <c r="S45" i="7"/>
  <c r="L45" i="7"/>
  <c r="J45" i="7"/>
  <c r="U44" i="7"/>
  <c r="S44" i="7"/>
  <c r="L44" i="7"/>
  <c r="J44" i="7"/>
  <c r="U43" i="7"/>
  <c r="S43" i="7"/>
  <c r="L43" i="7"/>
  <c r="J43" i="7"/>
  <c r="U42" i="7"/>
  <c r="S42" i="7"/>
  <c r="L42" i="7"/>
  <c r="J42" i="7"/>
  <c r="U41" i="7"/>
  <c r="S41" i="7"/>
  <c r="L41" i="7"/>
  <c r="J41" i="7"/>
  <c r="U40" i="7"/>
  <c r="S40" i="7"/>
  <c r="L40" i="7"/>
  <c r="J40" i="7"/>
  <c r="U39" i="7"/>
  <c r="S39" i="7"/>
  <c r="L39" i="7"/>
  <c r="J39" i="7"/>
  <c r="U38" i="7"/>
  <c r="S38" i="7"/>
  <c r="L38" i="7"/>
  <c r="J38" i="7"/>
  <c r="U37" i="7"/>
  <c r="S37" i="7"/>
  <c r="L37" i="7"/>
  <c r="J37" i="7"/>
  <c r="U36" i="7"/>
  <c r="S36" i="7"/>
  <c r="L36" i="7"/>
  <c r="J36" i="7"/>
  <c r="U35" i="7"/>
  <c r="S35" i="7"/>
  <c r="L35" i="7"/>
  <c r="J35" i="7"/>
  <c r="U34" i="7"/>
  <c r="S34" i="7"/>
  <c r="L34" i="7"/>
  <c r="J34" i="7"/>
  <c r="U33" i="7"/>
  <c r="S33" i="7"/>
  <c r="L33" i="7"/>
  <c r="J33" i="7"/>
  <c r="U32" i="7"/>
  <c r="S32" i="7"/>
  <c r="L32" i="7"/>
  <c r="J32" i="7"/>
  <c r="U31" i="7"/>
  <c r="S31" i="7"/>
  <c r="L31" i="7"/>
  <c r="J31" i="7"/>
  <c r="U30" i="7"/>
  <c r="S30" i="7"/>
  <c r="L30" i="7"/>
  <c r="J30" i="7"/>
  <c r="U29" i="7"/>
  <c r="S29" i="7"/>
  <c r="L29" i="7"/>
  <c r="J29" i="7"/>
  <c r="U28" i="7"/>
  <c r="S28" i="7"/>
  <c r="L28" i="7"/>
  <c r="J28" i="7"/>
  <c r="U27" i="7"/>
  <c r="S27" i="7"/>
  <c r="L27" i="7"/>
  <c r="J27" i="7"/>
  <c r="U26" i="7"/>
  <c r="S26" i="7"/>
  <c r="L26" i="7"/>
  <c r="J26" i="7"/>
  <c r="U25" i="7"/>
  <c r="S25" i="7"/>
  <c r="L25" i="7"/>
  <c r="J25" i="7"/>
  <c r="U24" i="7"/>
  <c r="S24" i="7"/>
  <c r="L24" i="7"/>
  <c r="J24" i="7"/>
  <c r="U23" i="7"/>
  <c r="S23" i="7"/>
  <c r="L23" i="7"/>
  <c r="J23" i="7"/>
  <c r="U22" i="7"/>
  <c r="S22" i="7"/>
  <c r="L22" i="7"/>
  <c r="J22" i="7"/>
  <c r="U21" i="7"/>
  <c r="S21" i="7"/>
  <c r="L21" i="7"/>
  <c r="J21" i="7"/>
  <c r="U20" i="7"/>
  <c r="S20" i="7"/>
  <c r="L20" i="7"/>
  <c r="J20" i="7"/>
  <c r="U19" i="7"/>
  <c r="S19" i="7"/>
  <c r="L19" i="7"/>
  <c r="J19" i="7"/>
  <c r="U18" i="7"/>
  <c r="S18" i="7"/>
  <c r="L18" i="7"/>
  <c r="J18" i="7"/>
  <c r="U17" i="7"/>
  <c r="S17" i="7"/>
  <c r="L17" i="7"/>
  <c r="J17" i="7"/>
  <c r="U16" i="7"/>
  <c r="S16" i="7"/>
  <c r="L16" i="7"/>
  <c r="J16" i="7"/>
  <c r="U15" i="7"/>
  <c r="S15" i="7"/>
  <c r="L15" i="7"/>
  <c r="J15" i="7"/>
  <c r="U14" i="7"/>
  <c r="S14" i="7"/>
  <c r="L14" i="7"/>
  <c r="J14" i="7"/>
  <c r="U13" i="7"/>
  <c r="S13" i="7"/>
  <c r="L13" i="7"/>
  <c r="J13" i="7"/>
  <c r="U12" i="7"/>
  <c r="S12" i="7"/>
  <c r="L12" i="7"/>
  <c r="J12" i="7"/>
  <c r="U11" i="7"/>
  <c r="S11" i="7"/>
  <c r="L11" i="7"/>
  <c r="J11" i="7"/>
  <c r="U10" i="7"/>
  <c r="S10" i="7"/>
  <c r="L10" i="7"/>
  <c r="J10" i="7"/>
  <c r="U9" i="7"/>
  <c r="S9" i="7"/>
  <c r="L9" i="7"/>
  <c r="J9" i="7"/>
  <c r="U8" i="7"/>
  <c r="S8" i="7"/>
  <c r="L8" i="7"/>
  <c r="J8" i="7"/>
  <c r="U7" i="7"/>
  <c r="S7" i="7"/>
  <c r="L7" i="7"/>
  <c r="J7" i="7"/>
  <c r="U6" i="7"/>
  <c r="S6" i="7"/>
  <c r="L6" i="7"/>
  <c r="J6" i="7"/>
  <c r="U5" i="7"/>
  <c r="S5" i="7"/>
  <c r="L5" i="7"/>
  <c r="J5" i="7"/>
  <c r="W4" i="7"/>
  <c r="U4" i="7"/>
  <c r="S4" i="7"/>
  <c r="N4" i="7"/>
  <c r="L4" i="7"/>
  <c r="J4" i="7"/>
  <c r="U202" i="7" l="1"/>
  <c r="J61" i="1"/>
  <c r="N61" i="1"/>
  <c r="F61" i="1"/>
  <c r="G214" i="7"/>
  <c r="G213" i="7"/>
  <c r="E214" i="7"/>
  <c r="E213" i="7"/>
  <c r="G200" i="7"/>
  <c r="E200" i="7"/>
  <c r="D203" i="7"/>
  <c r="P61" i="1"/>
  <c r="H61" i="1"/>
  <c r="L61" i="1"/>
  <c r="B61" i="1"/>
  <c r="D61" i="1"/>
  <c r="R184" i="7"/>
  <c r="E184" i="7"/>
  <c r="F184" i="7"/>
  <c r="H184" i="7"/>
  <c r="C184" i="7"/>
  <c r="I184" i="7"/>
  <c r="D184" i="7"/>
  <c r="O13" i="14"/>
  <c r="E198" i="7"/>
  <c r="E199" i="7"/>
  <c r="S32" i="14"/>
  <c r="S34" i="14" s="1"/>
  <c r="S36" i="14" s="1"/>
  <c r="E197" i="7"/>
  <c r="S84" i="7"/>
  <c r="G184" i="7"/>
  <c r="G199" i="7"/>
  <c r="J182" i="7"/>
  <c r="G249" i="7" s="1"/>
  <c r="E193" i="7"/>
  <c r="K88" i="7"/>
  <c r="S182" i="7"/>
  <c r="G193" i="7"/>
  <c r="T88" i="7"/>
  <c r="J84" i="7"/>
  <c r="G244" i="7" s="1"/>
  <c r="E194" i="7"/>
  <c r="K4" i="7"/>
  <c r="M5" i="7" s="1"/>
  <c r="N5" i="7" s="1"/>
  <c r="G196" i="7"/>
  <c r="G197" i="7"/>
  <c r="G198" i="7"/>
  <c r="G195" i="7"/>
  <c r="H14" i="14"/>
  <c r="H13" i="14"/>
  <c r="G194" i="7"/>
  <c r="T4" i="7"/>
  <c r="V5" i="7" s="1"/>
  <c r="W5" i="7" s="1"/>
  <c r="Q184" i="7"/>
  <c r="F254" i="7" l="1"/>
  <c r="I237" i="7"/>
  <c r="J236" i="7"/>
  <c r="I214" i="7"/>
  <c r="I213" i="7"/>
  <c r="D210" i="7"/>
  <c r="E209" i="7"/>
  <c r="G209" i="7"/>
  <c r="I200" i="7"/>
  <c r="I196" i="7"/>
  <c r="J184" i="7"/>
  <c r="I199" i="7"/>
  <c r="I198" i="7"/>
  <c r="I197" i="7"/>
  <c r="S184" i="7"/>
  <c r="S38" i="14"/>
  <c r="S40" i="14" s="1"/>
  <c r="S42" i="14" s="1"/>
  <c r="X88" i="7"/>
  <c r="T89" i="7"/>
  <c r="G201" i="7"/>
  <c r="V89" i="7"/>
  <c r="W89" i="7" s="1"/>
  <c r="T5" i="7"/>
  <c r="X4" i="7"/>
  <c r="I194" i="7"/>
  <c r="I195" i="7"/>
  <c r="E201" i="7"/>
  <c r="I193" i="7"/>
  <c r="K89" i="7"/>
  <c r="O88" i="7"/>
  <c r="M89" i="7"/>
  <c r="N89" i="7" s="1"/>
  <c r="H18" i="14"/>
  <c r="M13" i="14"/>
  <c r="O4" i="7"/>
  <c r="K5" i="7"/>
  <c r="G227" i="7" l="1"/>
  <c r="P14" i="1"/>
  <c r="N9" i="1"/>
  <c r="P52" i="1"/>
  <c r="N52" i="1"/>
  <c r="F52" i="1"/>
  <c r="B31" i="1"/>
  <c r="D31" i="1" s="1"/>
  <c r="B23" i="1"/>
  <c r="D23" i="1" s="1"/>
  <c r="G212" i="7"/>
  <c r="E212" i="7"/>
  <c r="H52" i="1"/>
  <c r="L52" i="1"/>
  <c r="B52" i="1"/>
  <c r="D52" i="1"/>
  <c r="O16" i="14"/>
  <c r="S16" i="14" s="1"/>
  <c r="I201" i="7"/>
  <c r="I209" i="7"/>
  <c r="S13" i="14"/>
  <c r="M18" i="14"/>
  <c r="V90" i="7"/>
  <c r="W90" i="7" s="1"/>
  <c r="T90" i="7"/>
  <c r="X89" i="7"/>
  <c r="K6" i="7"/>
  <c r="O5" i="7"/>
  <c r="M6" i="7"/>
  <c r="N6" i="7" s="1"/>
  <c r="X5" i="7"/>
  <c r="T6" i="7"/>
  <c r="V6" i="7"/>
  <c r="W6" i="7" s="1"/>
  <c r="K90" i="7"/>
  <c r="O89" i="7"/>
  <c r="M90" i="7"/>
  <c r="N90" i="7" s="1"/>
  <c r="E215" i="7" l="1"/>
  <c r="J227" i="7" s="1"/>
  <c r="D227" i="7" s="1"/>
  <c r="G215" i="7"/>
  <c r="P50" i="1"/>
  <c r="N50" i="1"/>
  <c r="F50" i="1"/>
  <c r="F51" i="1" s="1"/>
  <c r="F53" i="1" s="1"/>
  <c r="H31" i="1"/>
  <c r="L31" i="1" s="1"/>
  <c r="N31" i="1" s="1"/>
  <c r="H23" i="1"/>
  <c r="L23" i="1" s="1"/>
  <c r="I212" i="7"/>
  <c r="H50" i="1"/>
  <c r="L50" i="1"/>
  <c r="B50" i="1"/>
  <c r="D50" i="1"/>
  <c r="S18" i="14"/>
  <c r="X6" i="7"/>
  <c r="V7" i="7"/>
  <c r="W7" i="7" s="1"/>
  <c r="T7" i="7"/>
  <c r="K7" i="7"/>
  <c r="O6" i="7"/>
  <c r="M7" i="7"/>
  <c r="N7" i="7" s="1"/>
  <c r="T91" i="7"/>
  <c r="X90" i="7"/>
  <c r="V91" i="7"/>
  <c r="W91" i="7" s="1"/>
  <c r="K91" i="7"/>
  <c r="O90" i="7"/>
  <c r="M91" i="7"/>
  <c r="N91" i="7" s="1"/>
  <c r="I215" i="7" l="1"/>
  <c r="N23" i="1"/>
  <c r="P23" i="1" s="1"/>
  <c r="P31" i="1"/>
  <c r="T92" i="7"/>
  <c r="X91" i="7"/>
  <c r="V92" i="7"/>
  <c r="W92" i="7" s="1"/>
  <c r="O7" i="7"/>
  <c r="K8" i="7"/>
  <c r="M8" i="7"/>
  <c r="N8" i="7" s="1"/>
  <c r="X7" i="7"/>
  <c r="T8" i="7"/>
  <c r="V8" i="7"/>
  <c r="W8" i="7" s="1"/>
  <c r="O91" i="7"/>
  <c r="M92" i="7"/>
  <c r="N92" i="7" s="1"/>
  <c r="K92" i="7"/>
  <c r="K9" i="7" l="1"/>
  <c r="O8" i="7"/>
  <c r="M9" i="7"/>
  <c r="N9" i="7" s="1"/>
  <c r="O92" i="7"/>
  <c r="M93" i="7"/>
  <c r="N93" i="7" s="1"/>
  <c r="K93" i="7"/>
  <c r="T93" i="7"/>
  <c r="X92" i="7"/>
  <c r="V93" i="7"/>
  <c r="W93" i="7" s="1"/>
  <c r="V9" i="7"/>
  <c r="W9" i="7" s="1"/>
  <c r="T9" i="7"/>
  <c r="X8" i="7"/>
  <c r="X9" i="7" l="1"/>
  <c r="T10" i="7"/>
  <c r="V10" i="7"/>
  <c r="W10" i="7" s="1"/>
  <c r="K10" i="7"/>
  <c r="O9" i="7"/>
  <c r="M10" i="7"/>
  <c r="N10" i="7" s="1"/>
  <c r="T94" i="7"/>
  <c r="X93" i="7"/>
  <c r="V94" i="7"/>
  <c r="W94" i="7" s="1"/>
  <c r="K94" i="7"/>
  <c r="O93" i="7"/>
  <c r="M94" i="7"/>
  <c r="N94" i="7" s="1"/>
  <c r="O94" i="7" l="1"/>
  <c r="K95" i="7"/>
  <c r="M95" i="7"/>
  <c r="N95" i="7" s="1"/>
  <c r="K11" i="7"/>
  <c r="O10" i="7"/>
  <c r="M11" i="7"/>
  <c r="N11" i="7" s="1"/>
  <c r="T11" i="7"/>
  <c r="X10" i="7"/>
  <c r="V11" i="7"/>
  <c r="W11" i="7" s="1"/>
  <c r="X94" i="7"/>
  <c r="T95" i="7"/>
  <c r="V95" i="7"/>
  <c r="W95" i="7" s="1"/>
  <c r="T12" i="7" l="1"/>
  <c r="X11" i="7"/>
  <c r="V12" i="7"/>
  <c r="W12" i="7" s="1"/>
  <c r="K96" i="7"/>
  <c r="O95" i="7"/>
  <c r="M96" i="7"/>
  <c r="N96" i="7" s="1"/>
  <c r="X95" i="7"/>
  <c r="T96" i="7"/>
  <c r="V96" i="7"/>
  <c r="W96" i="7" s="1"/>
  <c r="O11" i="7"/>
  <c r="K12" i="7"/>
  <c r="M12" i="7"/>
  <c r="N12" i="7" s="1"/>
  <c r="O96" i="7" l="1"/>
  <c r="K97" i="7"/>
  <c r="M97" i="7"/>
  <c r="N97" i="7" s="1"/>
  <c r="T13" i="7"/>
  <c r="X12" i="7"/>
  <c r="V13" i="7"/>
  <c r="W13" i="7" s="1"/>
  <c r="M13" i="7"/>
  <c r="N13" i="7" s="1"/>
  <c r="K13" i="7"/>
  <c r="O12" i="7"/>
  <c r="T97" i="7"/>
  <c r="X96" i="7"/>
  <c r="V97" i="7"/>
  <c r="W97" i="7" s="1"/>
  <c r="K14" i="7" l="1"/>
  <c r="O13" i="7"/>
  <c r="M14" i="7"/>
  <c r="N14" i="7" s="1"/>
  <c r="T98" i="7"/>
  <c r="X97" i="7"/>
  <c r="V98" i="7"/>
  <c r="W98" i="7" s="1"/>
  <c r="T14" i="7"/>
  <c r="V14" i="7"/>
  <c r="W14" i="7" s="1"/>
  <c r="X13" i="7"/>
  <c r="O97" i="7"/>
  <c r="K98" i="7"/>
  <c r="M98" i="7"/>
  <c r="N98" i="7" s="1"/>
  <c r="X14" i="7" l="1"/>
  <c r="T15" i="7"/>
  <c r="V15" i="7"/>
  <c r="W15" i="7" s="1"/>
  <c r="O98" i="7"/>
  <c r="K99" i="7"/>
  <c r="M99" i="7"/>
  <c r="N99" i="7" s="1"/>
  <c r="T99" i="7"/>
  <c r="X98" i="7"/>
  <c r="V99" i="7"/>
  <c r="W99" i="7" s="1"/>
  <c r="O14" i="7"/>
  <c r="K15" i="7"/>
  <c r="M15" i="7"/>
  <c r="N15" i="7" s="1"/>
  <c r="X99" i="7" l="1"/>
  <c r="T100" i="7"/>
  <c r="V100" i="7"/>
  <c r="W100" i="7" s="1"/>
  <c r="K16" i="7"/>
  <c r="O15" i="7"/>
  <c r="M16" i="7"/>
  <c r="N16" i="7" s="1"/>
  <c r="K100" i="7"/>
  <c r="M100" i="7"/>
  <c r="N100" i="7" s="1"/>
  <c r="O99" i="7"/>
  <c r="T16" i="7"/>
  <c r="X15" i="7"/>
  <c r="V16" i="7"/>
  <c r="W16" i="7" s="1"/>
  <c r="T17" i="7" l="1"/>
  <c r="X16" i="7"/>
  <c r="V17" i="7"/>
  <c r="W17" i="7" s="1"/>
  <c r="K17" i="7"/>
  <c r="O16" i="7"/>
  <c r="M17" i="7"/>
  <c r="N17" i="7" s="1"/>
  <c r="O100" i="7"/>
  <c r="M101" i="7"/>
  <c r="N101" i="7" s="1"/>
  <c r="K101" i="7"/>
  <c r="T101" i="7"/>
  <c r="X100" i="7"/>
  <c r="V101" i="7"/>
  <c r="W101" i="7" s="1"/>
  <c r="O17" i="7" l="1"/>
  <c r="M18" i="7"/>
  <c r="N18" i="7" s="1"/>
  <c r="K18" i="7"/>
  <c r="X101" i="7"/>
  <c r="T102" i="7"/>
  <c r="V102" i="7"/>
  <c r="W102" i="7" s="1"/>
  <c r="O101" i="7"/>
  <c r="K102" i="7"/>
  <c r="M102" i="7"/>
  <c r="N102" i="7" s="1"/>
  <c r="X17" i="7"/>
  <c r="V18" i="7"/>
  <c r="W18" i="7" s="1"/>
  <c r="T18" i="7"/>
  <c r="T19" i="7" l="1"/>
  <c r="X18" i="7"/>
  <c r="V19" i="7"/>
  <c r="W19" i="7" s="1"/>
  <c r="K103" i="7"/>
  <c r="O102" i="7"/>
  <c r="M103" i="7"/>
  <c r="N103" i="7" s="1"/>
  <c r="X102" i="7"/>
  <c r="T103" i="7"/>
  <c r="V103" i="7"/>
  <c r="W103" i="7" s="1"/>
  <c r="O18" i="7"/>
  <c r="K19" i="7"/>
  <c r="M19" i="7"/>
  <c r="N19" i="7" s="1"/>
  <c r="K104" i="7" l="1"/>
  <c r="O103" i="7"/>
  <c r="M104" i="7"/>
  <c r="N104" i="7" s="1"/>
  <c r="X103" i="7"/>
  <c r="V104" i="7"/>
  <c r="W104" i="7" s="1"/>
  <c r="T104" i="7"/>
  <c r="X19" i="7"/>
  <c r="T20" i="7"/>
  <c r="V20" i="7"/>
  <c r="W20" i="7" s="1"/>
  <c r="M20" i="7"/>
  <c r="N20" i="7" s="1"/>
  <c r="K20" i="7"/>
  <c r="O19" i="7"/>
  <c r="T21" i="7" l="1"/>
  <c r="X20" i="7"/>
  <c r="V21" i="7"/>
  <c r="W21" i="7" s="1"/>
  <c r="O20" i="7"/>
  <c r="M21" i="7"/>
  <c r="N21" i="7" s="1"/>
  <c r="K21" i="7"/>
  <c r="T105" i="7"/>
  <c r="X104" i="7"/>
  <c r="V105" i="7"/>
  <c r="W105" i="7" s="1"/>
  <c r="O104" i="7"/>
  <c r="K105" i="7"/>
  <c r="M105" i="7"/>
  <c r="N105" i="7" s="1"/>
  <c r="O105" i="7" l="1"/>
  <c r="K106" i="7"/>
  <c r="M106" i="7"/>
  <c r="N106" i="7" s="1"/>
  <c r="T106" i="7"/>
  <c r="X105" i="7"/>
  <c r="V106" i="7"/>
  <c r="W106" i="7" s="1"/>
  <c r="O21" i="7"/>
  <c r="M22" i="7"/>
  <c r="N22" i="7" s="1"/>
  <c r="K22" i="7"/>
  <c r="X21" i="7"/>
  <c r="T22" i="7"/>
  <c r="V22" i="7"/>
  <c r="W22" i="7" s="1"/>
  <c r="X22" i="7" l="1"/>
  <c r="T23" i="7"/>
  <c r="V23" i="7"/>
  <c r="W23" i="7" s="1"/>
  <c r="K107" i="7"/>
  <c r="M107" i="7"/>
  <c r="N107" i="7" s="1"/>
  <c r="O106" i="7"/>
  <c r="X106" i="7"/>
  <c r="T107" i="7"/>
  <c r="V107" i="7"/>
  <c r="W107" i="7" s="1"/>
  <c r="K23" i="7"/>
  <c r="O22" i="7"/>
  <c r="M23" i="7"/>
  <c r="N23" i="7" s="1"/>
  <c r="O107" i="7" l="1"/>
  <c r="K108" i="7"/>
  <c r="M108" i="7"/>
  <c r="N108" i="7" s="1"/>
  <c r="O23" i="7"/>
  <c r="K24" i="7"/>
  <c r="M24" i="7"/>
  <c r="N24" i="7" s="1"/>
  <c r="T24" i="7"/>
  <c r="X23" i="7"/>
  <c r="V24" i="7"/>
  <c r="W24" i="7" s="1"/>
  <c r="T108" i="7"/>
  <c r="X107" i="7"/>
  <c r="V108" i="7"/>
  <c r="W108" i="7" s="1"/>
  <c r="X24" i="7" l="1"/>
  <c r="T25" i="7"/>
  <c r="V25" i="7"/>
  <c r="W25" i="7" s="1"/>
  <c r="O24" i="7"/>
  <c r="K25" i="7"/>
  <c r="M25" i="7"/>
  <c r="N25" i="7" s="1"/>
  <c r="O108" i="7"/>
  <c r="K109" i="7"/>
  <c r="M109" i="7"/>
  <c r="N109" i="7" s="1"/>
  <c r="X108" i="7"/>
  <c r="V109" i="7"/>
  <c r="W109" i="7" s="1"/>
  <c r="T109" i="7"/>
  <c r="T110" i="7" l="1"/>
  <c r="X109" i="7"/>
  <c r="V110" i="7"/>
  <c r="W110" i="7" s="1"/>
  <c r="K110" i="7"/>
  <c r="M110" i="7"/>
  <c r="N110" i="7" s="1"/>
  <c r="O109" i="7"/>
  <c r="O25" i="7"/>
  <c r="M26" i="7"/>
  <c r="N26" i="7" s="1"/>
  <c r="K26" i="7"/>
  <c r="T26" i="7"/>
  <c r="X25" i="7"/>
  <c r="V26" i="7"/>
  <c r="W26" i="7" s="1"/>
  <c r="K111" i="7" l="1"/>
  <c r="O110" i="7"/>
  <c r="M111" i="7"/>
  <c r="N111" i="7" s="1"/>
  <c r="T27" i="7"/>
  <c r="X26" i="7"/>
  <c r="V27" i="7"/>
  <c r="W27" i="7" s="1"/>
  <c r="K27" i="7"/>
  <c r="O26" i="7"/>
  <c r="M27" i="7"/>
  <c r="N27" i="7" s="1"/>
  <c r="X110" i="7"/>
  <c r="T111" i="7"/>
  <c r="V111" i="7"/>
  <c r="W111" i="7" s="1"/>
  <c r="X27" i="7" l="1"/>
  <c r="V28" i="7"/>
  <c r="W28" i="7" s="1"/>
  <c r="T28" i="7"/>
  <c r="V112" i="7"/>
  <c r="W112" i="7" s="1"/>
  <c r="T112" i="7"/>
  <c r="X111" i="7"/>
  <c r="K112" i="7"/>
  <c r="O111" i="7"/>
  <c r="M112" i="7"/>
  <c r="N112" i="7" s="1"/>
  <c r="O27" i="7"/>
  <c r="K28" i="7"/>
  <c r="M28" i="7"/>
  <c r="N28" i="7" s="1"/>
  <c r="O112" i="7" l="1"/>
  <c r="K113" i="7"/>
  <c r="M113" i="7"/>
  <c r="N113" i="7" s="1"/>
  <c r="T113" i="7"/>
  <c r="V113" i="7"/>
  <c r="W113" i="7" s="1"/>
  <c r="X112" i="7"/>
  <c r="X28" i="7"/>
  <c r="V29" i="7"/>
  <c r="W29" i="7" s="1"/>
  <c r="T29" i="7"/>
  <c r="O28" i="7"/>
  <c r="K29" i="7"/>
  <c r="M29" i="7"/>
  <c r="N29" i="7" s="1"/>
  <c r="J16" i="1"/>
  <c r="F16" i="1"/>
  <c r="B16" i="1"/>
  <c r="X29" i="7" l="1"/>
  <c r="T30" i="7"/>
  <c r="V30" i="7"/>
  <c r="W30" i="7" s="1"/>
  <c r="X113" i="7"/>
  <c r="T114" i="7"/>
  <c r="V114" i="7"/>
  <c r="W114" i="7" s="1"/>
  <c r="K114" i="7"/>
  <c r="O113" i="7"/>
  <c r="M114" i="7"/>
  <c r="N114" i="7" s="1"/>
  <c r="K30" i="7"/>
  <c r="O29" i="7"/>
  <c r="M30" i="7"/>
  <c r="N30" i="7" s="1"/>
  <c r="B11" i="1"/>
  <c r="B12" i="1" s="1"/>
  <c r="B13" i="1" s="1"/>
  <c r="T115" i="7" l="1"/>
  <c r="V115" i="7"/>
  <c r="W115" i="7" s="1"/>
  <c r="X114" i="7"/>
  <c r="K115" i="7"/>
  <c r="O114" i="7"/>
  <c r="M115" i="7"/>
  <c r="N115" i="7" s="1"/>
  <c r="X30" i="7"/>
  <c r="T31" i="7"/>
  <c r="V31" i="7"/>
  <c r="W31" i="7" s="1"/>
  <c r="K31" i="7"/>
  <c r="O30" i="7"/>
  <c r="M31" i="7"/>
  <c r="N31" i="7" s="1"/>
  <c r="M116" i="7" l="1"/>
  <c r="N116" i="7" s="1"/>
  <c r="K116" i="7"/>
  <c r="O115" i="7"/>
  <c r="X115" i="7"/>
  <c r="V116" i="7"/>
  <c r="W116" i="7" s="1"/>
  <c r="T116" i="7"/>
  <c r="X31" i="7"/>
  <c r="V32" i="7"/>
  <c r="W32" i="7" s="1"/>
  <c r="T32" i="7"/>
  <c r="K32" i="7"/>
  <c r="O31" i="7"/>
  <c r="M32" i="7"/>
  <c r="N32" i="7" s="1"/>
  <c r="K117" i="7" l="1"/>
  <c r="M117" i="7"/>
  <c r="N117" i="7" s="1"/>
  <c r="O116" i="7"/>
  <c r="T33" i="7"/>
  <c r="X32" i="7"/>
  <c r="V33" i="7"/>
  <c r="W33" i="7" s="1"/>
  <c r="T117" i="7"/>
  <c r="X116" i="7"/>
  <c r="V117" i="7"/>
  <c r="W117" i="7" s="1"/>
  <c r="O32" i="7"/>
  <c r="K33" i="7"/>
  <c r="M33" i="7"/>
  <c r="N33" i="7" s="1"/>
  <c r="X117" i="7" l="1"/>
  <c r="T118" i="7"/>
  <c r="V118" i="7"/>
  <c r="W118" i="7" s="1"/>
  <c r="O33" i="7"/>
  <c r="K34" i="7"/>
  <c r="M34" i="7"/>
  <c r="N34" i="7" s="1"/>
  <c r="X33" i="7"/>
  <c r="T34" i="7"/>
  <c r="V34" i="7"/>
  <c r="W34" i="7" s="1"/>
  <c r="K118" i="7"/>
  <c r="O117" i="7"/>
  <c r="M118" i="7"/>
  <c r="N118" i="7" s="1"/>
  <c r="X34" i="7" l="1"/>
  <c r="T35" i="7"/>
  <c r="V35" i="7"/>
  <c r="W35" i="7" s="1"/>
  <c r="K119" i="7"/>
  <c r="O118" i="7"/>
  <c r="M119" i="7"/>
  <c r="N119" i="7" s="1"/>
  <c r="X118" i="7"/>
  <c r="T119" i="7"/>
  <c r="V119" i="7"/>
  <c r="W119" i="7" s="1"/>
  <c r="K35" i="7"/>
  <c r="O34" i="7"/>
  <c r="M35" i="7"/>
  <c r="N35" i="7" s="1"/>
  <c r="O119" i="7" l="1"/>
  <c r="K120" i="7"/>
  <c r="M120" i="7"/>
  <c r="N120" i="7" s="1"/>
  <c r="X35" i="7"/>
  <c r="T36" i="7"/>
  <c r="V36" i="7"/>
  <c r="W36" i="7" s="1"/>
  <c r="K36" i="7"/>
  <c r="O35" i="7"/>
  <c r="M36" i="7"/>
  <c r="N36" i="7" s="1"/>
  <c r="T120" i="7"/>
  <c r="V120" i="7"/>
  <c r="W120" i="7" s="1"/>
  <c r="X119" i="7"/>
  <c r="T37" i="7" l="1"/>
  <c r="X36" i="7"/>
  <c r="V37" i="7"/>
  <c r="W37" i="7" s="1"/>
  <c r="K121" i="7"/>
  <c r="O120" i="7"/>
  <c r="M121" i="7"/>
  <c r="N121" i="7" s="1"/>
  <c r="X120" i="7"/>
  <c r="T121" i="7"/>
  <c r="V121" i="7"/>
  <c r="W121" i="7" s="1"/>
  <c r="K37" i="7"/>
  <c r="O36" i="7"/>
  <c r="M37" i="7"/>
  <c r="N37" i="7" s="1"/>
  <c r="T122" i="7" l="1"/>
  <c r="X121" i="7"/>
  <c r="V122" i="7"/>
  <c r="W122" i="7" s="1"/>
  <c r="K122" i="7"/>
  <c r="O121" i="7"/>
  <c r="M122" i="7"/>
  <c r="N122" i="7" s="1"/>
  <c r="O37" i="7"/>
  <c r="K38" i="7"/>
  <c r="M38" i="7"/>
  <c r="N38" i="7" s="1"/>
  <c r="X37" i="7"/>
  <c r="T38" i="7"/>
  <c r="V38" i="7"/>
  <c r="W38" i="7" s="1"/>
  <c r="X38" i="7" l="1"/>
  <c r="T39" i="7"/>
  <c r="V39" i="7"/>
  <c r="W39" i="7" s="1"/>
  <c r="O38" i="7"/>
  <c r="K39" i="7"/>
  <c r="M39" i="7"/>
  <c r="N39" i="7" s="1"/>
  <c r="M123" i="7"/>
  <c r="N123" i="7" s="1"/>
  <c r="K123" i="7"/>
  <c r="O122" i="7"/>
  <c r="X122" i="7"/>
  <c r="T123" i="7"/>
  <c r="V123" i="7"/>
  <c r="W123" i="7" s="1"/>
  <c r="T40" i="7" l="1"/>
  <c r="X39" i="7"/>
  <c r="V40" i="7"/>
  <c r="W40" i="7" s="1"/>
  <c r="X123" i="7"/>
  <c r="T124" i="7"/>
  <c r="V124" i="7"/>
  <c r="W124" i="7" s="1"/>
  <c r="K124" i="7"/>
  <c r="M124" i="7"/>
  <c r="N124" i="7" s="1"/>
  <c r="O123" i="7"/>
  <c r="O39" i="7"/>
  <c r="K40" i="7"/>
  <c r="M40" i="7"/>
  <c r="N40" i="7" s="1"/>
  <c r="K41" i="7" l="1"/>
  <c r="O40" i="7"/>
  <c r="M41" i="7"/>
  <c r="N41" i="7" s="1"/>
  <c r="K125" i="7"/>
  <c r="O124" i="7"/>
  <c r="M125" i="7"/>
  <c r="N125" i="7" s="1"/>
  <c r="T125" i="7"/>
  <c r="X124" i="7"/>
  <c r="V125" i="7"/>
  <c r="W125" i="7" s="1"/>
  <c r="X40" i="7"/>
  <c r="T41" i="7"/>
  <c r="V41" i="7"/>
  <c r="W41" i="7" s="1"/>
  <c r="V42" i="7" l="1"/>
  <c r="W42" i="7" s="1"/>
  <c r="T42" i="7"/>
  <c r="X41" i="7"/>
  <c r="T126" i="7"/>
  <c r="V126" i="7"/>
  <c r="W126" i="7" s="1"/>
  <c r="X125" i="7"/>
  <c r="O125" i="7"/>
  <c r="K126" i="7"/>
  <c r="M126" i="7"/>
  <c r="N126" i="7" s="1"/>
  <c r="O41" i="7"/>
  <c r="K42" i="7"/>
  <c r="M42" i="7"/>
  <c r="N42" i="7" s="1"/>
  <c r="O42" i="7" l="1"/>
  <c r="K43" i="7"/>
  <c r="M43" i="7"/>
  <c r="N43" i="7" s="1"/>
  <c r="O126" i="7"/>
  <c r="M127" i="7"/>
  <c r="N127" i="7" s="1"/>
  <c r="K127" i="7"/>
  <c r="X42" i="7"/>
  <c r="T43" i="7"/>
  <c r="V43" i="7"/>
  <c r="W43" i="7" s="1"/>
  <c r="T127" i="7"/>
  <c r="X126" i="7"/>
  <c r="V127" i="7"/>
  <c r="W127" i="7" s="1"/>
  <c r="X127" i="7" l="1"/>
  <c r="T128" i="7"/>
  <c r="V128" i="7"/>
  <c r="W128" i="7" s="1"/>
  <c r="X43" i="7"/>
  <c r="T44" i="7"/>
  <c r="V44" i="7"/>
  <c r="W44" i="7" s="1"/>
  <c r="K44" i="7"/>
  <c r="M44" i="7"/>
  <c r="N44" i="7" s="1"/>
  <c r="O43" i="7"/>
  <c r="M128" i="7"/>
  <c r="N128" i="7" s="1"/>
  <c r="K128" i="7"/>
  <c r="O127" i="7"/>
  <c r="M129" i="7" l="1"/>
  <c r="N129" i="7" s="1"/>
  <c r="K129" i="7"/>
  <c r="O128" i="7"/>
  <c r="K45" i="7"/>
  <c r="O44" i="7"/>
  <c r="M45" i="7"/>
  <c r="N45" i="7" s="1"/>
  <c r="X128" i="7"/>
  <c r="T129" i="7"/>
  <c r="V129" i="7"/>
  <c r="W129" i="7" s="1"/>
  <c r="V45" i="7"/>
  <c r="W45" i="7" s="1"/>
  <c r="T45" i="7"/>
  <c r="X44" i="7"/>
  <c r="V46" i="7" l="1"/>
  <c r="W46" i="7" s="1"/>
  <c r="T46" i="7"/>
  <c r="X45" i="7"/>
  <c r="X129" i="7"/>
  <c r="T130" i="7"/>
  <c r="V130" i="7"/>
  <c r="W130" i="7" s="1"/>
  <c r="O45" i="7"/>
  <c r="K46" i="7"/>
  <c r="M46" i="7"/>
  <c r="N46" i="7" s="1"/>
  <c r="M130" i="7"/>
  <c r="N130" i="7" s="1"/>
  <c r="K130" i="7"/>
  <c r="O129" i="7"/>
  <c r="K131" i="7" l="1"/>
  <c r="O130" i="7"/>
  <c r="M131" i="7"/>
  <c r="N131" i="7" s="1"/>
  <c r="X130" i="7"/>
  <c r="T131" i="7"/>
  <c r="V131" i="7"/>
  <c r="W131" i="7" s="1"/>
  <c r="T47" i="7"/>
  <c r="X46" i="7"/>
  <c r="V47" i="7"/>
  <c r="W47" i="7" s="1"/>
  <c r="O46" i="7"/>
  <c r="M47" i="7"/>
  <c r="N47" i="7" s="1"/>
  <c r="K47" i="7"/>
  <c r="X131" i="7" l="1"/>
  <c r="T132" i="7"/>
  <c r="V132" i="7"/>
  <c r="W132" i="7" s="1"/>
  <c r="K48" i="7"/>
  <c r="O47" i="7"/>
  <c r="M48" i="7"/>
  <c r="N48" i="7" s="1"/>
  <c r="X47" i="7"/>
  <c r="T48" i="7"/>
  <c r="V48" i="7"/>
  <c r="W48" i="7" s="1"/>
  <c r="K132" i="7"/>
  <c r="O131" i="7"/>
  <c r="M132" i="7"/>
  <c r="N132" i="7" s="1"/>
  <c r="K133" i="7" l="1"/>
  <c r="O132" i="7"/>
  <c r="M133" i="7"/>
  <c r="N133" i="7" s="1"/>
  <c r="O48" i="7"/>
  <c r="K49" i="7"/>
  <c r="M49" i="7"/>
  <c r="N49" i="7" s="1"/>
  <c r="T133" i="7"/>
  <c r="X132" i="7"/>
  <c r="V133" i="7"/>
  <c r="W133" i="7" s="1"/>
  <c r="T49" i="7"/>
  <c r="X48" i="7"/>
  <c r="V49" i="7"/>
  <c r="W49" i="7" s="1"/>
  <c r="T134" i="7" l="1"/>
  <c r="V134" i="7"/>
  <c r="W134" i="7" s="1"/>
  <c r="X133" i="7"/>
  <c r="K50" i="7"/>
  <c r="O49" i="7"/>
  <c r="M50" i="7"/>
  <c r="N50" i="7" s="1"/>
  <c r="X49" i="7"/>
  <c r="T50" i="7"/>
  <c r="V50" i="7"/>
  <c r="W50" i="7" s="1"/>
  <c r="O133" i="7"/>
  <c r="M134" i="7"/>
  <c r="N134" i="7" s="1"/>
  <c r="K134" i="7"/>
  <c r="K135" i="7" l="1"/>
  <c r="O134" i="7"/>
  <c r="M135" i="7"/>
  <c r="N135" i="7" s="1"/>
  <c r="K51" i="7"/>
  <c r="O50" i="7"/>
  <c r="M51" i="7"/>
  <c r="N51" i="7" s="1"/>
  <c r="V51" i="7"/>
  <c r="W51" i="7" s="1"/>
  <c r="T51" i="7"/>
  <c r="X50" i="7"/>
  <c r="X134" i="7"/>
  <c r="T135" i="7"/>
  <c r="V135" i="7"/>
  <c r="W135" i="7" s="1"/>
  <c r="O51" i="7" l="1"/>
  <c r="K52" i="7"/>
  <c r="M52" i="7"/>
  <c r="N52" i="7" s="1"/>
  <c r="T136" i="7"/>
  <c r="X135" i="7"/>
  <c r="V136" i="7"/>
  <c r="W136" i="7" s="1"/>
  <c r="T52" i="7"/>
  <c r="X51" i="7"/>
  <c r="V52" i="7"/>
  <c r="W52" i="7" s="1"/>
  <c r="M136" i="7"/>
  <c r="N136" i="7" s="1"/>
  <c r="O135" i="7"/>
  <c r="K136" i="7"/>
  <c r="O136" i="7" l="1"/>
  <c r="K137" i="7"/>
  <c r="M137" i="7"/>
  <c r="N137" i="7" s="1"/>
  <c r="X136" i="7"/>
  <c r="T137" i="7"/>
  <c r="V137" i="7"/>
  <c r="W137" i="7" s="1"/>
  <c r="K53" i="7"/>
  <c r="O52" i="7"/>
  <c r="M53" i="7"/>
  <c r="N53" i="7" s="1"/>
  <c r="X52" i="7"/>
  <c r="V53" i="7"/>
  <c r="W53" i="7" s="1"/>
  <c r="T53" i="7"/>
  <c r="T54" i="7" l="1"/>
  <c r="V54" i="7"/>
  <c r="W54" i="7" s="1"/>
  <c r="X53" i="7"/>
  <c r="X137" i="7"/>
  <c r="T138" i="7"/>
  <c r="V138" i="7"/>
  <c r="W138" i="7" s="1"/>
  <c r="K138" i="7"/>
  <c r="M138" i="7"/>
  <c r="N138" i="7" s="1"/>
  <c r="O137" i="7"/>
  <c r="O53" i="7"/>
  <c r="K54" i="7"/>
  <c r="M54" i="7"/>
  <c r="N54" i="7" s="1"/>
  <c r="K55" i="7" l="1"/>
  <c r="O54" i="7"/>
  <c r="M55" i="7"/>
  <c r="N55" i="7" s="1"/>
  <c r="O138" i="7"/>
  <c r="K139" i="7"/>
  <c r="M139" i="7"/>
  <c r="N139" i="7" s="1"/>
  <c r="T139" i="7"/>
  <c r="X138" i="7"/>
  <c r="V139" i="7"/>
  <c r="W139" i="7" s="1"/>
  <c r="X54" i="7"/>
  <c r="T55" i="7"/>
  <c r="V55" i="7"/>
  <c r="W55" i="7" s="1"/>
  <c r="X55" i="7" l="1"/>
  <c r="T56" i="7"/>
  <c r="V56" i="7"/>
  <c r="W56" i="7" s="1"/>
  <c r="T140" i="7"/>
  <c r="X139" i="7"/>
  <c r="V140" i="7"/>
  <c r="W140" i="7" s="1"/>
  <c r="O139" i="7"/>
  <c r="K140" i="7"/>
  <c r="M140" i="7"/>
  <c r="N140" i="7" s="1"/>
  <c r="K56" i="7"/>
  <c r="M56" i="7"/>
  <c r="N56" i="7" s="1"/>
  <c r="O55" i="7"/>
  <c r="O56" i="7" l="1"/>
  <c r="M57" i="7"/>
  <c r="N57" i="7" s="1"/>
  <c r="K57" i="7"/>
  <c r="X140" i="7"/>
  <c r="T141" i="7"/>
  <c r="V141" i="7"/>
  <c r="W141" i="7" s="1"/>
  <c r="O140" i="7"/>
  <c r="K141" i="7"/>
  <c r="M141" i="7"/>
  <c r="N141" i="7" s="1"/>
  <c r="X56" i="7"/>
  <c r="T57" i="7"/>
  <c r="V57" i="7"/>
  <c r="W57" i="7" s="1"/>
  <c r="X57" i="7" l="1"/>
  <c r="T58" i="7"/>
  <c r="V58" i="7"/>
  <c r="W58" i="7" s="1"/>
  <c r="K142" i="7"/>
  <c r="M142" i="7"/>
  <c r="N142" i="7" s="1"/>
  <c r="O141" i="7"/>
  <c r="X141" i="7"/>
  <c r="T142" i="7"/>
  <c r="V142" i="7"/>
  <c r="W142" i="7" s="1"/>
  <c r="K58" i="7"/>
  <c r="O57" i="7"/>
  <c r="M58" i="7"/>
  <c r="N58" i="7" s="1"/>
  <c r="T143" i="7" l="1"/>
  <c r="X142" i="7"/>
  <c r="V143" i="7"/>
  <c r="W143" i="7" s="1"/>
  <c r="K143" i="7"/>
  <c r="O142" i="7"/>
  <c r="M143" i="7"/>
  <c r="N143" i="7" s="1"/>
  <c r="K59" i="7"/>
  <c r="O58" i="7"/>
  <c r="M59" i="7"/>
  <c r="N59" i="7" s="1"/>
  <c r="X58" i="7"/>
  <c r="T59" i="7"/>
  <c r="V59" i="7"/>
  <c r="W59" i="7" s="1"/>
  <c r="T60" i="7" l="1"/>
  <c r="V60" i="7"/>
  <c r="W60" i="7" s="1"/>
  <c r="X59" i="7"/>
  <c r="O59" i="7"/>
  <c r="K60" i="7"/>
  <c r="M60" i="7"/>
  <c r="N60" i="7" s="1"/>
  <c r="O143" i="7"/>
  <c r="K144" i="7"/>
  <c r="M144" i="7"/>
  <c r="N144" i="7" s="1"/>
  <c r="T144" i="7"/>
  <c r="X143" i="7"/>
  <c r="V144" i="7"/>
  <c r="W144" i="7" s="1"/>
  <c r="K145" i="7" l="1"/>
  <c r="O144" i="7"/>
  <c r="M145" i="7"/>
  <c r="N145" i="7" s="1"/>
  <c r="V145" i="7"/>
  <c r="W145" i="7" s="1"/>
  <c r="X144" i="7"/>
  <c r="T145" i="7"/>
  <c r="O60" i="7"/>
  <c r="K61" i="7"/>
  <c r="M61" i="7"/>
  <c r="N61" i="7" s="1"/>
  <c r="T61" i="7"/>
  <c r="X60" i="7"/>
  <c r="V61" i="7"/>
  <c r="W61" i="7" s="1"/>
  <c r="T62" i="7" l="1"/>
  <c r="X61" i="7"/>
  <c r="V62" i="7"/>
  <c r="W62" i="7" s="1"/>
  <c r="O61" i="7"/>
  <c r="K62" i="7"/>
  <c r="M62" i="7"/>
  <c r="N62" i="7" s="1"/>
  <c r="T146" i="7"/>
  <c r="X145" i="7"/>
  <c r="V146" i="7"/>
  <c r="W146" i="7" s="1"/>
  <c r="O145" i="7"/>
  <c r="K146" i="7"/>
  <c r="M146" i="7"/>
  <c r="N146" i="7" s="1"/>
  <c r="M63" i="7" l="1"/>
  <c r="N63" i="7" s="1"/>
  <c r="K63" i="7"/>
  <c r="O62" i="7"/>
  <c r="K147" i="7"/>
  <c r="O146" i="7"/>
  <c r="M147" i="7"/>
  <c r="N147" i="7" s="1"/>
  <c r="X146" i="7"/>
  <c r="T147" i="7"/>
  <c r="V147" i="7"/>
  <c r="W147" i="7" s="1"/>
  <c r="X62" i="7"/>
  <c r="T63" i="7"/>
  <c r="V63" i="7"/>
  <c r="W63" i="7" s="1"/>
  <c r="X63" i="7" l="1"/>
  <c r="T64" i="7"/>
  <c r="V64" i="7"/>
  <c r="W64" i="7" s="1"/>
  <c r="K148" i="7"/>
  <c r="O147" i="7"/>
  <c r="M148" i="7"/>
  <c r="N148" i="7" s="1"/>
  <c r="O63" i="7"/>
  <c r="K64" i="7"/>
  <c r="M64" i="7"/>
  <c r="N64" i="7" s="1"/>
  <c r="T148" i="7"/>
  <c r="X147" i="7"/>
  <c r="V148" i="7"/>
  <c r="W148" i="7" s="1"/>
  <c r="X148" i="7" l="1"/>
  <c r="T149" i="7"/>
  <c r="V149" i="7"/>
  <c r="W149" i="7" s="1"/>
  <c r="K65" i="7"/>
  <c r="O64" i="7"/>
  <c r="M65" i="7"/>
  <c r="N65" i="7" s="1"/>
  <c r="O148" i="7"/>
  <c r="M149" i="7"/>
  <c r="N149" i="7" s="1"/>
  <c r="K149" i="7"/>
  <c r="X64" i="7"/>
  <c r="T65" i="7"/>
  <c r="V65" i="7"/>
  <c r="W65" i="7" s="1"/>
  <c r="X65" i="7" l="1"/>
  <c r="T66" i="7"/>
  <c r="V66" i="7"/>
  <c r="W66" i="7" s="1"/>
  <c r="K150" i="7"/>
  <c r="O149" i="7"/>
  <c r="M150" i="7"/>
  <c r="N150" i="7" s="1"/>
  <c r="K66" i="7"/>
  <c r="O65" i="7"/>
  <c r="M66" i="7"/>
  <c r="N66" i="7" s="1"/>
  <c r="X149" i="7"/>
  <c r="T150" i="7"/>
  <c r="V150" i="7"/>
  <c r="W150" i="7" s="1"/>
  <c r="X150" i="7" l="1"/>
  <c r="T151" i="7"/>
  <c r="V151" i="7"/>
  <c r="W151" i="7" s="1"/>
  <c r="O66" i="7"/>
  <c r="K67" i="7"/>
  <c r="M67" i="7"/>
  <c r="N67" i="7" s="1"/>
  <c r="K151" i="7"/>
  <c r="O150" i="7"/>
  <c r="M151" i="7"/>
  <c r="N151" i="7" s="1"/>
  <c r="V67" i="7"/>
  <c r="W67" i="7" s="1"/>
  <c r="T67" i="7"/>
  <c r="X66" i="7"/>
  <c r="T68" i="7" l="1"/>
  <c r="X67" i="7"/>
  <c r="V68" i="7"/>
  <c r="W68" i="7" s="1"/>
  <c r="O67" i="7"/>
  <c r="M68" i="7"/>
  <c r="N68" i="7" s="1"/>
  <c r="K68" i="7"/>
  <c r="O151" i="7"/>
  <c r="K152" i="7"/>
  <c r="M152" i="7"/>
  <c r="N152" i="7" s="1"/>
  <c r="V152" i="7"/>
  <c r="W152" i="7" s="1"/>
  <c r="T152" i="7"/>
  <c r="X151" i="7"/>
  <c r="T153" i="7" l="1"/>
  <c r="V153" i="7"/>
  <c r="W153" i="7" s="1"/>
  <c r="X152" i="7"/>
  <c r="O68" i="7"/>
  <c r="K69" i="7"/>
  <c r="M69" i="7"/>
  <c r="N69" i="7" s="1"/>
  <c r="O152" i="7"/>
  <c r="K153" i="7"/>
  <c r="M153" i="7"/>
  <c r="N153" i="7" s="1"/>
  <c r="T69" i="7"/>
  <c r="X68" i="7"/>
  <c r="V69" i="7"/>
  <c r="W69" i="7" s="1"/>
  <c r="X69" i="7" l="1"/>
  <c r="T70" i="7"/>
  <c r="V70" i="7"/>
  <c r="W70" i="7" s="1"/>
  <c r="O69" i="7"/>
  <c r="K70" i="7"/>
  <c r="M70" i="7"/>
  <c r="N70" i="7" s="1"/>
  <c r="O153" i="7"/>
  <c r="K154" i="7"/>
  <c r="M154" i="7"/>
  <c r="N154" i="7" s="1"/>
  <c r="X153" i="7"/>
  <c r="T154" i="7"/>
  <c r="V154" i="7"/>
  <c r="W154" i="7" s="1"/>
  <c r="X154" i="7" l="1"/>
  <c r="T155" i="7"/>
  <c r="V155" i="7"/>
  <c r="W155" i="7" s="1"/>
  <c r="O154" i="7"/>
  <c r="K155" i="7"/>
  <c r="M155" i="7"/>
  <c r="N155" i="7" s="1"/>
  <c r="O70" i="7"/>
  <c r="K71" i="7"/>
  <c r="M71" i="7"/>
  <c r="N71" i="7" s="1"/>
  <c r="X70" i="7"/>
  <c r="T71" i="7"/>
  <c r="V71" i="7"/>
  <c r="W71" i="7" s="1"/>
  <c r="X71" i="7" l="1"/>
  <c r="T72" i="7"/>
  <c r="V72" i="7"/>
  <c r="W72" i="7" s="1"/>
  <c r="M156" i="7"/>
  <c r="N156" i="7" s="1"/>
  <c r="K156" i="7"/>
  <c r="O155" i="7"/>
  <c r="K72" i="7"/>
  <c r="O71" i="7"/>
  <c r="M72" i="7"/>
  <c r="N72" i="7" s="1"/>
  <c r="X155" i="7"/>
  <c r="T156" i="7"/>
  <c r="V156" i="7"/>
  <c r="W156" i="7" s="1"/>
  <c r="T157" i="7" l="1"/>
  <c r="V157" i="7"/>
  <c r="W157" i="7" s="1"/>
  <c r="X156" i="7"/>
  <c r="K73" i="7"/>
  <c r="O72" i="7"/>
  <c r="M73" i="7"/>
  <c r="N73" i="7" s="1"/>
  <c r="K157" i="7"/>
  <c r="O156" i="7"/>
  <c r="M157" i="7"/>
  <c r="N157" i="7" s="1"/>
  <c r="X72" i="7"/>
  <c r="V73" i="7"/>
  <c r="W73" i="7" s="1"/>
  <c r="T73" i="7"/>
  <c r="B57" i="1" s="1"/>
  <c r="D57" i="1" s="1"/>
  <c r="H57" i="1" s="1"/>
  <c r="L57" i="1" s="1"/>
  <c r="N57" i="1" s="1"/>
  <c r="B55" i="1" l="1"/>
  <c r="D55" i="1" s="1"/>
  <c r="H55" i="1" s="1"/>
  <c r="L55" i="1" s="1"/>
  <c r="O73" i="7"/>
  <c r="K74" i="7"/>
  <c r="M74" i="7"/>
  <c r="V74" i="7"/>
  <c r="T74" i="7"/>
  <c r="X73" i="7"/>
  <c r="O157" i="7"/>
  <c r="K158" i="7"/>
  <c r="M158" i="7"/>
  <c r="N158" i="7" s="1"/>
  <c r="T158" i="7"/>
  <c r="X157" i="7"/>
  <c r="V158" i="7"/>
  <c r="W158" i="7" s="1"/>
  <c r="T75" i="7" l="1"/>
  <c r="V75" i="7"/>
  <c r="W74" i="7"/>
  <c r="X74" i="7" s="1"/>
  <c r="K159" i="7"/>
  <c r="O158" i="7"/>
  <c r="M159" i="7"/>
  <c r="N159" i="7" s="1"/>
  <c r="K75" i="7"/>
  <c r="M75" i="7"/>
  <c r="N74" i="7"/>
  <c r="O74" i="7" s="1"/>
  <c r="T159" i="7"/>
  <c r="X158" i="7"/>
  <c r="V159" i="7"/>
  <c r="W159" i="7" s="1"/>
  <c r="N75" i="7" l="1"/>
  <c r="O75" i="7" s="1"/>
  <c r="M76" i="7"/>
  <c r="K76" i="7"/>
  <c r="O159" i="7"/>
  <c r="K160" i="7"/>
  <c r="M160" i="7"/>
  <c r="N160" i="7" s="1"/>
  <c r="W75" i="7"/>
  <c r="X75" i="7" s="1"/>
  <c r="T160" i="7"/>
  <c r="X159" i="7"/>
  <c r="V160" i="7"/>
  <c r="W160" i="7" s="1"/>
  <c r="T76" i="7"/>
  <c r="V76" i="7"/>
  <c r="N76" i="7" l="1"/>
  <c r="O76" i="7" s="1"/>
  <c r="W76" i="7"/>
  <c r="X76" i="7" s="1"/>
  <c r="T77" i="7"/>
  <c r="V77" i="7"/>
  <c r="K161" i="7"/>
  <c r="O160" i="7"/>
  <c r="M161" i="7"/>
  <c r="N161" i="7" s="1"/>
  <c r="K77" i="7"/>
  <c r="M77" i="7"/>
  <c r="X160" i="7"/>
  <c r="T161" i="7"/>
  <c r="V161" i="7"/>
  <c r="W161" i="7" s="1"/>
  <c r="W77" i="7" l="1"/>
  <c r="X77" i="7" s="1"/>
  <c r="N77" i="7"/>
  <c r="O77" i="7" s="1"/>
  <c r="M78" i="7"/>
  <c r="K78" i="7"/>
  <c r="O161" i="7"/>
  <c r="K162" i="7"/>
  <c r="M162" i="7"/>
  <c r="N162" i="7" s="1"/>
  <c r="T162" i="7"/>
  <c r="V162" i="7"/>
  <c r="W162" i="7" s="1"/>
  <c r="X161" i="7"/>
  <c r="T78" i="7"/>
  <c r="V78" i="7"/>
  <c r="W78" i="7" l="1"/>
  <c r="X78" i="7" s="1"/>
  <c r="N78" i="7"/>
  <c r="O78" i="7" s="1"/>
  <c r="T79" i="7"/>
  <c r="V79" i="7"/>
  <c r="X162" i="7"/>
  <c r="T163" i="7"/>
  <c r="V163" i="7"/>
  <c r="W163" i="7" s="1"/>
  <c r="O162" i="7"/>
  <c r="K163" i="7"/>
  <c r="M163" i="7"/>
  <c r="N163" i="7" s="1"/>
  <c r="K79" i="7"/>
  <c r="M79" i="7"/>
  <c r="N79" i="7" l="1"/>
  <c r="O79" i="7" s="1"/>
  <c r="X163" i="7"/>
  <c r="T164" i="7"/>
  <c r="V164" i="7"/>
  <c r="W164" i="7" s="1"/>
  <c r="K80" i="7"/>
  <c r="M80" i="7"/>
  <c r="K164" i="7"/>
  <c r="O163" i="7"/>
  <c r="M164" i="7"/>
  <c r="N164" i="7" s="1"/>
  <c r="W79" i="7"/>
  <c r="X79" i="7" s="1"/>
  <c r="T80" i="7"/>
  <c r="V80" i="7"/>
  <c r="N80" i="7" l="1"/>
  <c r="O80" i="7" s="1"/>
  <c r="W80" i="7"/>
  <c r="X80" i="7" s="1"/>
  <c r="K81" i="7"/>
  <c r="M81" i="7"/>
  <c r="T165" i="7"/>
  <c r="X164" i="7"/>
  <c r="V165" i="7"/>
  <c r="W165" i="7" s="1"/>
  <c r="V81" i="7"/>
  <c r="T81" i="7"/>
  <c r="K165" i="7"/>
  <c r="O164" i="7"/>
  <c r="M165" i="7"/>
  <c r="N165" i="7" s="1"/>
  <c r="N81" i="7" l="1"/>
  <c r="O81" i="7" s="1"/>
  <c r="W81" i="7"/>
  <c r="X81" i="7" s="1"/>
  <c r="T166" i="7"/>
  <c r="V166" i="7"/>
  <c r="W166" i="7" s="1"/>
  <c r="X165" i="7"/>
  <c r="K166" i="7"/>
  <c r="O165" i="7"/>
  <c r="M166" i="7"/>
  <c r="N166" i="7" s="1"/>
  <c r="T82" i="7"/>
  <c r="V82" i="7"/>
  <c r="K82" i="7"/>
  <c r="M82" i="7"/>
  <c r="O166" i="7" l="1"/>
  <c r="K167" i="7"/>
  <c r="M167" i="7"/>
  <c r="N167" i="7" s="1"/>
  <c r="W82" i="7"/>
  <c r="X82" i="7" s="1"/>
  <c r="N82" i="7"/>
  <c r="T167" i="7"/>
  <c r="X166" i="7"/>
  <c r="V167" i="7"/>
  <c r="W167" i="7" s="1"/>
  <c r="O82" i="7" l="1"/>
  <c r="F245" i="7"/>
  <c r="F247" i="7" s="1"/>
  <c r="G247" i="7" s="1"/>
  <c r="F248" i="7" s="1"/>
  <c r="M168" i="7"/>
  <c r="N168" i="7" s="1"/>
  <c r="K168" i="7"/>
  <c r="O167" i="7"/>
  <c r="X167" i="7"/>
  <c r="T168" i="7"/>
  <c r="V168" i="7"/>
  <c r="W168" i="7" s="1"/>
  <c r="X168" i="7" l="1"/>
  <c r="T169" i="7"/>
  <c r="V169" i="7"/>
  <c r="W169" i="7" s="1"/>
  <c r="K169" i="7"/>
  <c r="O168" i="7"/>
  <c r="M169" i="7"/>
  <c r="N169" i="7" s="1"/>
  <c r="M170" i="7" l="1"/>
  <c r="N170" i="7" s="1"/>
  <c r="O169" i="7"/>
  <c r="K170" i="7"/>
  <c r="X169" i="7"/>
  <c r="T170" i="7"/>
  <c r="V170" i="7"/>
  <c r="W170" i="7" s="1"/>
  <c r="T171" i="7" l="1"/>
  <c r="B58" i="1" s="1"/>
  <c r="D58" i="1" s="1"/>
  <c r="H58" i="1" s="1"/>
  <c r="L58" i="1" s="1"/>
  <c r="N58" i="1" s="1"/>
  <c r="X170" i="7"/>
  <c r="V171" i="7"/>
  <c r="W171" i="7" s="1"/>
  <c r="G202" i="7" s="1"/>
  <c r="K171" i="7"/>
  <c r="O170" i="7"/>
  <c r="M171" i="7"/>
  <c r="N171" i="7" s="1"/>
  <c r="B56" i="1" l="1"/>
  <c r="D56" i="1" s="1"/>
  <c r="H56" i="1" s="1"/>
  <c r="L56" i="1" s="1"/>
  <c r="J201" i="7"/>
  <c r="B32" i="1"/>
  <c r="H201" i="7"/>
  <c r="E202" i="7"/>
  <c r="K172" i="7"/>
  <c r="O171" i="7"/>
  <c r="M172" i="7"/>
  <c r="X171" i="7"/>
  <c r="T172" i="7"/>
  <c r="V172" i="7"/>
  <c r="B33" i="1" l="1"/>
  <c r="D32" i="1"/>
  <c r="F228" i="7"/>
  <c r="B24" i="1"/>
  <c r="W172" i="7"/>
  <c r="X172" i="7" s="1"/>
  <c r="T173" i="7"/>
  <c r="V173" i="7"/>
  <c r="N172" i="7"/>
  <c r="O172" i="7" s="1"/>
  <c r="K173" i="7"/>
  <c r="M173" i="7"/>
  <c r="B25" i="1" l="1"/>
  <c r="B27" i="1" s="1"/>
  <c r="D24" i="1"/>
  <c r="H32" i="1"/>
  <c r="D33" i="1"/>
  <c r="F230" i="7"/>
  <c r="B35" i="1"/>
  <c r="B37" i="1" s="1"/>
  <c r="N173" i="7"/>
  <c r="O173" i="7" s="1"/>
  <c r="W173" i="7"/>
  <c r="X173" i="7" s="1"/>
  <c r="T174" i="7"/>
  <c r="V174" i="7"/>
  <c r="K174" i="7"/>
  <c r="M174" i="7"/>
  <c r="B29" i="1" l="1"/>
  <c r="B45" i="1" s="1"/>
  <c r="B51" i="1" s="1"/>
  <c r="B53" i="1" s="1"/>
  <c r="N40" i="1"/>
  <c r="N42" i="1" s="1"/>
  <c r="P42" i="1" s="1"/>
  <c r="N10" i="1"/>
  <c r="D35" i="1"/>
  <c r="D37" i="1" s="1"/>
  <c r="H33" i="1"/>
  <c r="H35" i="1" s="1"/>
  <c r="H37" i="1" s="1"/>
  <c r="L32" i="1"/>
  <c r="N32" i="1" s="1"/>
  <c r="H24" i="1"/>
  <c r="D25" i="1"/>
  <c r="G230" i="7"/>
  <c r="N174" i="7"/>
  <c r="O174" i="7" s="1"/>
  <c r="W174" i="7"/>
  <c r="X174" i="7" s="1"/>
  <c r="T175" i="7"/>
  <c r="V175" i="7"/>
  <c r="K175" i="7"/>
  <c r="M175" i="7"/>
  <c r="F231" i="7" l="1"/>
  <c r="Q224" i="7" s="1"/>
  <c r="Q226" i="7" s="1"/>
  <c r="Q228" i="7" s="1"/>
  <c r="Q236" i="7" s="1"/>
  <c r="N39" i="1"/>
  <c r="N41" i="1" s="1"/>
  <c r="P15" i="1"/>
  <c r="P40" i="1"/>
  <c r="N33" i="1"/>
  <c r="N35" i="1" s="1"/>
  <c r="N37" i="1" s="1"/>
  <c r="L33" i="1"/>
  <c r="L35" i="1" s="1"/>
  <c r="L37" i="1" s="1"/>
  <c r="D27" i="1"/>
  <c r="D29" i="1" s="1"/>
  <c r="D45" i="1" s="1"/>
  <c r="D51" i="1" s="1"/>
  <c r="D53" i="1" s="1"/>
  <c r="H25" i="1"/>
  <c r="H27" i="1" s="1"/>
  <c r="H29" i="1" s="1"/>
  <c r="H45" i="1" s="1"/>
  <c r="L24" i="1"/>
  <c r="N175" i="7"/>
  <c r="O175" i="7" s="1"/>
  <c r="W175" i="7"/>
  <c r="X175" i="7" s="1"/>
  <c r="K176" i="7"/>
  <c r="M176" i="7"/>
  <c r="T176" i="7"/>
  <c r="V176" i="7"/>
  <c r="N43" i="1" l="1"/>
  <c r="P39" i="1"/>
  <c r="P10" i="1"/>
  <c r="N12" i="1"/>
  <c r="H51" i="1"/>
  <c r="H53" i="1" s="1"/>
  <c r="P32" i="1"/>
  <c r="P33" i="1" s="1"/>
  <c r="P35" i="1" s="1"/>
  <c r="P37" i="1" s="1"/>
  <c r="N24" i="1"/>
  <c r="N25" i="1" s="1"/>
  <c r="N27" i="1" s="1"/>
  <c r="N29" i="1" s="1"/>
  <c r="L25" i="1"/>
  <c r="W176" i="7"/>
  <c r="X176" i="7" s="1"/>
  <c r="T177" i="7"/>
  <c r="V177" i="7"/>
  <c r="N176" i="7"/>
  <c r="O176" i="7" s="1"/>
  <c r="M177" i="7"/>
  <c r="K177" i="7"/>
  <c r="P24" i="1" l="1"/>
  <c r="P25" i="1" s="1"/>
  <c r="P27" i="1" s="1"/>
  <c r="P29" i="1" s="1"/>
  <c r="L27" i="1"/>
  <c r="L29" i="1" s="1"/>
  <c r="L45" i="1" s="1"/>
  <c r="L51" i="1" s="1"/>
  <c r="L53" i="1" s="1"/>
  <c r="N45" i="1"/>
  <c r="N51" i="1" s="1"/>
  <c r="N53" i="1" s="1"/>
  <c r="P41" i="1"/>
  <c r="P43" i="1" s="1"/>
  <c r="N177" i="7"/>
  <c r="O177" i="7" s="1"/>
  <c r="W177" i="7"/>
  <c r="X177" i="7" s="1"/>
  <c r="K178" i="7"/>
  <c r="M178" i="7"/>
  <c r="T178" i="7"/>
  <c r="V178" i="7"/>
  <c r="P45" i="1" l="1"/>
  <c r="P51" i="1" s="1"/>
  <c r="P53" i="1" s="1"/>
  <c r="N178" i="7"/>
  <c r="O178" i="7" s="1"/>
  <c r="W178" i="7"/>
  <c r="X178" i="7" s="1"/>
  <c r="T179" i="7"/>
  <c r="V179" i="7"/>
  <c r="K179" i="7"/>
  <c r="M179" i="7"/>
  <c r="N179" i="7" l="1"/>
  <c r="O179" i="7" s="1"/>
  <c r="W179" i="7"/>
  <c r="X179" i="7" s="1"/>
  <c r="M180" i="7"/>
  <c r="K180" i="7"/>
  <c r="V180" i="7"/>
  <c r="T180" i="7"/>
  <c r="F255" i="7" l="1"/>
  <c r="W180" i="7"/>
  <c r="W184" i="7" s="1"/>
  <c r="N180" i="7"/>
  <c r="G216" i="7" l="1"/>
  <c r="N184" i="7"/>
  <c r="F250" i="7"/>
  <c r="F251" i="7" s="1"/>
  <c r="G251" i="7" s="1"/>
  <c r="F252" i="7" s="1"/>
  <c r="E203" i="7"/>
  <c r="O180" i="7"/>
  <c r="O184" i="7" s="1"/>
  <c r="X180" i="7"/>
  <c r="X184" i="7" s="1"/>
  <c r="E205" i="7" l="1"/>
  <c r="E207" i="7" s="1"/>
  <c r="G217" i="7"/>
  <c r="E216" i="7"/>
  <c r="G255" i="7"/>
  <c r="F256" i="7" s="1"/>
  <c r="I239" i="7"/>
  <c r="J239" i="7" s="1"/>
  <c r="I240" i="7" s="1"/>
  <c r="E210" i="7"/>
  <c r="G203" i="7"/>
  <c r="I202" i="7"/>
  <c r="E217" i="7" l="1"/>
  <c r="F217" i="7" s="1"/>
  <c r="G219" i="7"/>
  <c r="C261" i="7"/>
  <c r="C263" i="7" s="1"/>
  <c r="I216" i="7"/>
  <c r="F216" i="7"/>
  <c r="I228" i="7"/>
  <c r="G210" i="7"/>
  <c r="G205" i="7"/>
  <c r="I206" i="7"/>
  <c r="I203" i="7"/>
  <c r="I217" i="7" l="1"/>
  <c r="G221" i="7"/>
  <c r="I210" i="7"/>
  <c r="E219" i="7"/>
  <c r="C228" i="7"/>
  <c r="I230" i="7"/>
  <c r="G207" i="7"/>
  <c r="I205" i="7"/>
  <c r="J203" i="7"/>
  <c r="E221" i="7" l="1"/>
  <c r="I207" i="7"/>
  <c r="I219" i="7"/>
  <c r="J230" i="7"/>
  <c r="C230" i="7"/>
  <c r="D15" i="1"/>
  <c r="H15" i="1" s="1"/>
  <c r="L15" i="1" s="1"/>
  <c r="N15" i="1" s="1"/>
  <c r="D14" i="1"/>
  <c r="J11" i="1"/>
  <c r="Z757" i="5"/>
  <c r="Z754" i="5"/>
  <c r="AB753" i="5"/>
  <c r="AB754" i="5" s="1"/>
  <c r="AU512" i="5"/>
  <c r="AU507" i="5" s="1"/>
  <c r="AU34" i="5" s="1"/>
  <c r="AO512" i="5"/>
  <c r="AO507" i="5" s="1"/>
  <c r="AO34" i="5" s="1"/>
  <c r="BA510" i="5"/>
  <c r="C509" i="5"/>
  <c r="C508" i="5"/>
  <c r="BF507" i="5"/>
  <c r="BF34" i="5" s="1"/>
  <c r="BE507" i="5"/>
  <c r="BE34" i="5" s="1"/>
  <c r="BD507" i="5"/>
  <c r="BD34" i="5" s="1"/>
  <c r="BC507" i="5"/>
  <c r="BC34" i="5" s="1"/>
  <c r="BB507" i="5"/>
  <c r="BB34" i="5" s="1"/>
  <c r="AY507" i="5"/>
  <c r="AY34" i="5" s="1"/>
  <c r="AX507" i="5"/>
  <c r="AX34" i="5" s="1"/>
  <c r="AW507" i="5"/>
  <c r="AW34" i="5" s="1"/>
  <c r="AV507" i="5"/>
  <c r="AV34" i="5" s="1"/>
  <c r="AT507" i="5"/>
  <c r="AT34" i="5" s="1"/>
  <c r="AP507" i="5"/>
  <c r="AP34" i="5" s="1"/>
  <c r="AN507" i="5"/>
  <c r="AN34" i="5" s="1"/>
  <c r="AM507" i="5"/>
  <c r="AM34" i="5" s="1"/>
  <c r="AL507" i="5"/>
  <c r="AL34" i="5" s="1"/>
  <c r="AK507" i="5"/>
  <c r="AK34" i="5" s="1"/>
  <c r="AJ507" i="5"/>
  <c r="AJ34" i="5" s="1"/>
  <c r="AI507" i="5"/>
  <c r="AI34" i="5" s="1"/>
  <c r="AH507" i="5"/>
  <c r="AH34" i="5" s="1"/>
  <c r="AG507" i="5"/>
  <c r="AG34" i="5" s="1"/>
  <c r="AF507" i="5"/>
  <c r="AF34" i="5" s="1"/>
  <c r="AE507" i="5"/>
  <c r="AE34" i="5" s="1"/>
  <c r="AD507" i="5"/>
  <c r="AD34" i="5" s="1"/>
  <c r="AC507" i="5"/>
  <c r="AC34" i="5" s="1"/>
  <c r="AB507" i="5"/>
  <c r="AB34" i="5" s="1"/>
  <c r="AA507" i="5"/>
  <c r="AA34" i="5" s="1"/>
  <c r="Z507" i="5"/>
  <c r="Z34" i="5" s="1"/>
  <c r="Y507" i="5"/>
  <c r="Y34" i="5" s="1"/>
  <c r="X507" i="5"/>
  <c r="X34" i="5" s="1"/>
  <c r="W507" i="5"/>
  <c r="W34" i="5" s="1"/>
  <c r="V507" i="5"/>
  <c r="V34" i="5" s="1"/>
  <c r="T507" i="5"/>
  <c r="T34" i="5" s="1"/>
  <c r="S507" i="5"/>
  <c r="S34" i="5" s="1"/>
  <c r="R507" i="5"/>
  <c r="R34" i="5" s="1"/>
  <c r="Q507" i="5"/>
  <c r="Q34" i="5" s="1"/>
  <c r="P507" i="5"/>
  <c r="P34" i="5" s="1"/>
  <c r="O507" i="5"/>
  <c r="O34" i="5" s="1"/>
  <c r="N507" i="5"/>
  <c r="N34" i="5" s="1"/>
  <c r="M507" i="5"/>
  <c r="M34" i="5" s="1"/>
  <c r="L507" i="5"/>
  <c r="L34" i="5" s="1"/>
  <c r="K507" i="5"/>
  <c r="K34" i="5" s="1"/>
  <c r="J507" i="5"/>
  <c r="J34" i="5" s="1"/>
  <c r="I507" i="5"/>
  <c r="I34" i="5" s="1"/>
  <c r="H507" i="5"/>
  <c r="H34" i="5" s="1"/>
  <c r="G507" i="5"/>
  <c r="G34" i="5" s="1"/>
  <c r="E507" i="5"/>
  <c r="E34" i="5" s="1"/>
  <c r="D507" i="5"/>
  <c r="D34" i="5" s="1"/>
  <c r="BF501" i="5"/>
  <c r="BF29" i="5" s="1"/>
  <c r="BE501" i="5"/>
  <c r="BE29" i="5" s="1"/>
  <c r="BD501" i="5"/>
  <c r="BD29" i="5" s="1"/>
  <c r="BC501" i="5"/>
  <c r="BC29" i="5" s="1"/>
  <c r="BB501" i="5"/>
  <c r="BB29" i="5" s="1"/>
  <c r="BA501" i="5"/>
  <c r="BA29" i="5" s="1"/>
  <c r="AZ501" i="5"/>
  <c r="AZ29" i="5" s="1"/>
  <c r="AY501" i="5"/>
  <c r="AY29" i="5" s="1"/>
  <c r="AX501" i="5"/>
  <c r="AX29" i="5" s="1"/>
  <c r="AW501" i="5"/>
  <c r="AW29" i="5" s="1"/>
  <c r="AV501" i="5"/>
  <c r="AV29" i="5" s="1"/>
  <c r="AU501" i="5"/>
  <c r="AU29" i="5" s="1"/>
  <c r="AT501" i="5"/>
  <c r="AT29" i="5" s="1"/>
  <c r="AS501" i="5"/>
  <c r="AS29" i="5" s="1"/>
  <c r="AR501" i="5"/>
  <c r="AR29" i="5" s="1"/>
  <c r="AQ501" i="5"/>
  <c r="AQ29" i="5" s="1"/>
  <c r="AP501" i="5"/>
  <c r="AP29" i="5" s="1"/>
  <c r="AO501" i="5"/>
  <c r="AO29" i="5" s="1"/>
  <c r="AN501" i="5"/>
  <c r="AN29" i="5" s="1"/>
  <c r="AM501" i="5"/>
  <c r="AM29" i="5" s="1"/>
  <c r="AL501" i="5"/>
  <c r="AL29" i="5" s="1"/>
  <c r="AK501" i="5"/>
  <c r="AK29" i="5" s="1"/>
  <c r="AJ501" i="5"/>
  <c r="AJ29" i="5" s="1"/>
  <c r="AI501" i="5"/>
  <c r="AI29" i="5" s="1"/>
  <c r="AH501" i="5"/>
  <c r="AH29" i="5" s="1"/>
  <c r="AG501" i="5"/>
  <c r="AG29" i="5" s="1"/>
  <c r="AF501" i="5"/>
  <c r="AF29" i="5" s="1"/>
  <c r="AE501" i="5"/>
  <c r="AE29" i="5" s="1"/>
  <c r="AD501" i="5"/>
  <c r="AD29" i="5" s="1"/>
  <c r="AC501" i="5"/>
  <c r="AC29" i="5" s="1"/>
  <c r="AB501" i="5"/>
  <c r="AB29" i="5" s="1"/>
  <c r="AA501" i="5"/>
  <c r="AA29" i="5" s="1"/>
  <c r="Z501" i="5"/>
  <c r="Z29" i="5" s="1"/>
  <c r="Y501" i="5"/>
  <c r="Y29" i="5" s="1"/>
  <c r="X501" i="5"/>
  <c r="X29" i="5" s="1"/>
  <c r="W501" i="5"/>
  <c r="W29" i="5" s="1"/>
  <c r="V501" i="5"/>
  <c r="V29" i="5" s="1"/>
  <c r="U501" i="5"/>
  <c r="U29" i="5" s="1"/>
  <c r="T501" i="5"/>
  <c r="T29" i="5" s="1"/>
  <c r="S501" i="5"/>
  <c r="S29" i="5" s="1"/>
  <c r="R501" i="5"/>
  <c r="R29" i="5" s="1"/>
  <c r="Q501" i="5"/>
  <c r="Q29" i="5" s="1"/>
  <c r="P501" i="5"/>
  <c r="P29" i="5" s="1"/>
  <c r="O501" i="5"/>
  <c r="O29" i="5" s="1"/>
  <c r="N501" i="5"/>
  <c r="N29" i="5" s="1"/>
  <c r="M501" i="5"/>
  <c r="M29" i="5" s="1"/>
  <c r="L501" i="5"/>
  <c r="L29" i="5" s="1"/>
  <c r="K501" i="5"/>
  <c r="K29" i="5" s="1"/>
  <c r="J501" i="5"/>
  <c r="J29" i="5" s="1"/>
  <c r="I501" i="5"/>
  <c r="I29" i="5" s="1"/>
  <c r="H501" i="5"/>
  <c r="H29" i="5" s="1"/>
  <c r="G501" i="5"/>
  <c r="G29" i="5" s="1"/>
  <c r="F501" i="5"/>
  <c r="F29" i="5" s="1"/>
  <c r="E501" i="5"/>
  <c r="E29" i="5" s="1"/>
  <c r="D501" i="5"/>
  <c r="D29" i="5" s="1"/>
  <c r="C500" i="5"/>
  <c r="C499" i="5"/>
  <c r="C498" i="5"/>
  <c r="C497" i="5"/>
  <c r="C496" i="5"/>
  <c r="C495" i="5"/>
  <c r="C494" i="5"/>
  <c r="C493" i="5"/>
  <c r="C492" i="5"/>
  <c r="C491" i="5"/>
  <c r="C490" i="5"/>
  <c r="C489" i="5"/>
  <c r="C488" i="5"/>
  <c r="C487" i="5"/>
  <c r="C486" i="5"/>
  <c r="C485" i="5"/>
  <c r="C482" i="5"/>
  <c r="C481" i="5"/>
  <c r="C480" i="5"/>
  <c r="C479" i="5"/>
  <c r="C478" i="5"/>
  <c r="C477" i="5"/>
  <c r="C476" i="5"/>
  <c r="C475" i="5"/>
  <c r="C474" i="5"/>
  <c r="C473" i="5"/>
  <c r="BF471" i="5"/>
  <c r="BF483" i="5" s="1"/>
  <c r="BF26" i="5" s="1"/>
  <c r="BE471" i="5"/>
  <c r="BE483" i="5" s="1"/>
  <c r="BE26" i="5" s="1"/>
  <c r="BD471" i="5"/>
  <c r="BD483" i="5" s="1"/>
  <c r="BD26" i="5" s="1"/>
  <c r="BC471" i="5"/>
  <c r="BC483" i="5" s="1"/>
  <c r="BC26" i="5" s="1"/>
  <c r="BB471" i="5"/>
  <c r="BB483" i="5" s="1"/>
  <c r="BB26" i="5" s="1"/>
  <c r="BA471" i="5"/>
  <c r="BA483" i="5" s="1"/>
  <c r="BA26" i="5" s="1"/>
  <c r="AZ471" i="5"/>
  <c r="AZ483" i="5" s="1"/>
  <c r="AZ26" i="5" s="1"/>
  <c r="AY471" i="5"/>
  <c r="AY483" i="5" s="1"/>
  <c r="AY26" i="5" s="1"/>
  <c r="AX471" i="5"/>
  <c r="AX483" i="5" s="1"/>
  <c r="AX26" i="5" s="1"/>
  <c r="AW471" i="5"/>
  <c r="AW483" i="5" s="1"/>
  <c r="AW26" i="5" s="1"/>
  <c r="AV471" i="5"/>
  <c r="AV483" i="5" s="1"/>
  <c r="AV26" i="5" s="1"/>
  <c r="AU471" i="5"/>
  <c r="AU483" i="5" s="1"/>
  <c r="AU26" i="5" s="1"/>
  <c r="AT471" i="5"/>
  <c r="AT483" i="5" s="1"/>
  <c r="AT26" i="5" s="1"/>
  <c r="AS471" i="5"/>
  <c r="AS483" i="5" s="1"/>
  <c r="AS26" i="5" s="1"/>
  <c r="AR471" i="5"/>
  <c r="AR483" i="5" s="1"/>
  <c r="AR26" i="5" s="1"/>
  <c r="AQ471" i="5"/>
  <c r="AQ483" i="5" s="1"/>
  <c r="AQ26" i="5" s="1"/>
  <c r="AP471" i="5"/>
  <c r="AP483" i="5" s="1"/>
  <c r="AP26" i="5" s="1"/>
  <c r="AO471" i="5"/>
  <c r="AO483" i="5" s="1"/>
  <c r="AO26" i="5" s="1"/>
  <c r="AN471" i="5"/>
  <c r="AN483" i="5" s="1"/>
  <c r="AN26" i="5" s="1"/>
  <c r="AM471" i="5"/>
  <c r="AM483" i="5" s="1"/>
  <c r="AM26" i="5" s="1"/>
  <c r="AL471" i="5"/>
  <c r="AL483" i="5" s="1"/>
  <c r="AL26" i="5" s="1"/>
  <c r="AK471" i="5"/>
  <c r="AK483" i="5" s="1"/>
  <c r="AK26" i="5" s="1"/>
  <c r="AJ471" i="5"/>
  <c r="AJ483" i="5" s="1"/>
  <c r="AJ26" i="5" s="1"/>
  <c r="AI471" i="5"/>
  <c r="AI483" i="5" s="1"/>
  <c r="AI26" i="5" s="1"/>
  <c r="AH471" i="5"/>
  <c r="AH483" i="5" s="1"/>
  <c r="AH26" i="5" s="1"/>
  <c r="AG471" i="5"/>
  <c r="AG483" i="5" s="1"/>
  <c r="AG26" i="5" s="1"/>
  <c r="AF471" i="5"/>
  <c r="AF483" i="5" s="1"/>
  <c r="AF26" i="5" s="1"/>
  <c r="AE471" i="5"/>
  <c r="AE483" i="5" s="1"/>
  <c r="AE26" i="5" s="1"/>
  <c r="AD471" i="5"/>
  <c r="AD483" i="5" s="1"/>
  <c r="AD26" i="5" s="1"/>
  <c r="AC471" i="5"/>
  <c r="AC483" i="5" s="1"/>
  <c r="AC26" i="5" s="1"/>
  <c r="AB471" i="5"/>
  <c r="AB483" i="5" s="1"/>
  <c r="AB26" i="5" s="1"/>
  <c r="AA471" i="5"/>
  <c r="AA483" i="5" s="1"/>
  <c r="AA26" i="5" s="1"/>
  <c r="Z471" i="5"/>
  <c r="Z483" i="5" s="1"/>
  <c r="Z26" i="5" s="1"/>
  <c r="Y471" i="5"/>
  <c r="Y483" i="5" s="1"/>
  <c r="Y26" i="5" s="1"/>
  <c r="X471" i="5"/>
  <c r="X483" i="5" s="1"/>
  <c r="X26" i="5" s="1"/>
  <c r="W471" i="5"/>
  <c r="W483" i="5" s="1"/>
  <c r="W26" i="5" s="1"/>
  <c r="V471" i="5"/>
  <c r="V483" i="5" s="1"/>
  <c r="V26" i="5" s="1"/>
  <c r="U471" i="5"/>
  <c r="U483" i="5" s="1"/>
  <c r="U26" i="5" s="1"/>
  <c r="T471" i="5"/>
  <c r="T483" i="5" s="1"/>
  <c r="T26" i="5" s="1"/>
  <c r="S471" i="5"/>
  <c r="S483" i="5" s="1"/>
  <c r="S26" i="5" s="1"/>
  <c r="R471" i="5"/>
  <c r="R483" i="5" s="1"/>
  <c r="R26" i="5" s="1"/>
  <c r="Q471" i="5"/>
  <c r="Q483" i="5" s="1"/>
  <c r="Q26" i="5" s="1"/>
  <c r="P471" i="5"/>
  <c r="P483" i="5" s="1"/>
  <c r="P26" i="5" s="1"/>
  <c r="O471" i="5"/>
  <c r="O483" i="5" s="1"/>
  <c r="O26" i="5" s="1"/>
  <c r="N471" i="5"/>
  <c r="N483" i="5" s="1"/>
  <c r="N26" i="5" s="1"/>
  <c r="M471" i="5"/>
  <c r="M483" i="5" s="1"/>
  <c r="M26" i="5" s="1"/>
  <c r="L471" i="5"/>
  <c r="L483" i="5" s="1"/>
  <c r="L26" i="5" s="1"/>
  <c r="K471" i="5"/>
  <c r="K483" i="5" s="1"/>
  <c r="K26" i="5" s="1"/>
  <c r="J471" i="5"/>
  <c r="J483" i="5" s="1"/>
  <c r="J26" i="5" s="1"/>
  <c r="I471" i="5"/>
  <c r="I483" i="5" s="1"/>
  <c r="I26" i="5" s="1"/>
  <c r="H471" i="5"/>
  <c r="H483" i="5" s="1"/>
  <c r="H26" i="5" s="1"/>
  <c r="G471" i="5"/>
  <c r="G483" i="5" s="1"/>
  <c r="G26" i="5" s="1"/>
  <c r="F471" i="5"/>
  <c r="F483" i="5" s="1"/>
  <c r="F26" i="5" s="1"/>
  <c r="E471" i="5"/>
  <c r="E483" i="5" s="1"/>
  <c r="E26" i="5" s="1"/>
  <c r="D471" i="5"/>
  <c r="D483" i="5" s="1"/>
  <c r="D26" i="5" s="1"/>
  <c r="C470" i="5"/>
  <c r="C469" i="5"/>
  <c r="C468" i="5"/>
  <c r="BF462" i="5"/>
  <c r="BE462" i="5"/>
  <c r="BD462" i="5"/>
  <c r="BC462" i="5"/>
  <c r="BB462" i="5"/>
  <c r="BA462" i="5"/>
  <c r="AZ462" i="5"/>
  <c r="AY462" i="5"/>
  <c r="AX462" i="5"/>
  <c r="AW462" i="5"/>
  <c r="AV462" i="5"/>
  <c r="AU462" i="5"/>
  <c r="AT462" i="5"/>
  <c r="AS462" i="5"/>
  <c r="AR462" i="5"/>
  <c r="AQ462" i="5"/>
  <c r="AP462" i="5"/>
  <c r="AO462" i="5"/>
  <c r="AN462" i="5"/>
  <c r="AM462" i="5"/>
  <c r="AL462" i="5"/>
  <c r="AK462" i="5"/>
  <c r="AJ462" i="5"/>
  <c r="AI462" i="5"/>
  <c r="AH462" i="5"/>
  <c r="AG462" i="5"/>
  <c r="AF462" i="5"/>
  <c r="AE462" i="5"/>
  <c r="AD462" i="5"/>
  <c r="AC462" i="5"/>
  <c r="AB462" i="5"/>
  <c r="AA462" i="5"/>
  <c r="Z462" i="5"/>
  <c r="Y462" i="5"/>
  <c r="X462" i="5"/>
  <c r="W462" i="5"/>
  <c r="V462" i="5"/>
  <c r="U462" i="5"/>
  <c r="T462" i="5"/>
  <c r="S462" i="5"/>
  <c r="R462" i="5"/>
  <c r="Q462" i="5"/>
  <c r="P462" i="5"/>
  <c r="O462" i="5"/>
  <c r="N462" i="5"/>
  <c r="M462" i="5"/>
  <c r="L462" i="5"/>
  <c r="K462" i="5"/>
  <c r="J462" i="5"/>
  <c r="I462" i="5"/>
  <c r="H462" i="5"/>
  <c r="G462" i="5"/>
  <c r="F462" i="5"/>
  <c r="E462" i="5"/>
  <c r="D462" i="5"/>
  <c r="C461" i="5"/>
  <c r="C462" i="5" s="1"/>
  <c r="BF458" i="5"/>
  <c r="BE458" i="5"/>
  <c r="BD458" i="5"/>
  <c r="BC458" i="5"/>
  <c r="BB458" i="5"/>
  <c r="BA458" i="5"/>
  <c r="AZ458" i="5"/>
  <c r="AY458" i="5"/>
  <c r="AX458" i="5"/>
  <c r="AW458" i="5"/>
  <c r="AV458" i="5"/>
  <c r="AU458" i="5"/>
  <c r="AT458" i="5"/>
  <c r="AS458" i="5"/>
  <c r="AR458" i="5"/>
  <c r="AQ458" i="5"/>
  <c r="AP458" i="5"/>
  <c r="AO458" i="5"/>
  <c r="AN458" i="5"/>
  <c r="AM458" i="5"/>
  <c r="AL458" i="5"/>
  <c r="AK458" i="5"/>
  <c r="AJ458" i="5"/>
  <c r="AI458" i="5"/>
  <c r="AH458" i="5"/>
  <c r="AG458" i="5"/>
  <c r="AF458" i="5"/>
  <c r="AE458" i="5"/>
  <c r="AD458" i="5"/>
  <c r="AC458" i="5"/>
  <c r="AB458" i="5"/>
  <c r="AA458" i="5"/>
  <c r="Z458" i="5"/>
  <c r="Y458" i="5"/>
  <c r="X458" i="5"/>
  <c r="W458" i="5"/>
  <c r="V458" i="5"/>
  <c r="U458" i="5"/>
  <c r="T458" i="5"/>
  <c r="S458" i="5"/>
  <c r="R458" i="5"/>
  <c r="Q458" i="5"/>
  <c r="P458" i="5"/>
  <c r="O458" i="5"/>
  <c r="N458" i="5"/>
  <c r="M458" i="5"/>
  <c r="L458" i="5"/>
  <c r="K458" i="5"/>
  <c r="J458" i="5"/>
  <c r="I458" i="5"/>
  <c r="H458" i="5"/>
  <c r="G458" i="5"/>
  <c r="F458" i="5"/>
  <c r="E458" i="5"/>
  <c r="D458" i="5"/>
  <c r="C457" i="5"/>
  <c r="C456" i="5"/>
  <c r="C455" i="5"/>
  <c r="C454" i="5"/>
  <c r="C453" i="5"/>
  <c r="BF450" i="5"/>
  <c r="BE450" i="5"/>
  <c r="BD450" i="5"/>
  <c r="BC450" i="5"/>
  <c r="BB450" i="5"/>
  <c r="BA450" i="5"/>
  <c r="AZ450" i="5"/>
  <c r="AY450" i="5"/>
  <c r="AX450" i="5"/>
  <c r="AW450" i="5"/>
  <c r="AV450" i="5"/>
  <c r="AU450" i="5"/>
  <c r="AT450" i="5"/>
  <c r="AS450" i="5"/>
  <c r="AR450" i="5"/>
  <c r="AQ450" i="5"/>
  <c r="AP450" i="5"/>
  <c r="AO450" i="5"/>
  <c r="AN450" i="5"/>
  <c r="AM450" i="5"/>
  <c r="AL450" i="5"/>
  <c r="AK450" i="5"/>
  <c r="AJ450" i="5"/>
  <c r="AI450" i="5"/>
  <c r="AH450" i="5"/>
  <c r="AG450" i="5"/>
  <c r="AF450" i="5"/>
  <c r="AE450" i="5"/>
  <c r="AD450" i="5"/>
  <c r="AC450" i="5"/>
  <c r="AB450" i="5"/>
  <c r="AA450" i="5"/>
  <c r="Z450" i="5"/>
  <c r="Y450" i="5"/>
  <c r="X450" i="5"/>
  <c r="W450" i="5"/>
  <c r="V450" i="5"/>
  <c r="U450" i="5"/>
  <c r="T450" i="5"/>
  <c r="S450" i="5"/>
  <c r="R450" i="5"/>
  <c r="Q450" i="5"/>
  <c r="P450" i="5"/>
  <c r="O450" i="5"/>
  <c r="N450" i="5"/>
  <c r="M450" i="5"/>
  <c r="L450" i="5"/>
  <c r="K450" i="5"/>
  <c r="J450" i="5"/>
  <c r="I450" i="5"/>
  <c r="H450" i="5"/>
  <c r="G450" i="5"/>
  <c r="F450" i="5"/>
  <c r="E450" i="5"/>
  <c r="D450" i="5"/>
  <c r="C449" i="5"/>
  <c r="C448" i="5"/>
  <c r="C447" i="5"/>
  <c r="C446" i="5"/>
  <c r="C445" i="5"/>
  <c r="BF441" i="5"/>
  <c r="BF442" i="5" s="1"/>
  <c r="BF49" i="5" s="1"/>
  <c r="BE441" i="5"/>
  <c r="BE442" i="5" s="1"/>
  <c r="BE49" i="5" s="1"/>
  <c r="BD441" i="5"/>
  <c r="BD442" i="5" s="1"/>
  <c r="BD49" i="5" s="1"/>
  <c r="BB441" i="5"/>
  <c r="BB442" i="5" s="1"/>
  <c r="BB49" i="5" s="1"/>
  <c r="BA441" i="5"/>
  <c r="BA442" i="5" s="1"/>
  <c r="BA49" i="5" s="1"/>
  <c r="AZ441" i="5"/>
  <c r="AZ442" i="5" s="1"/>
  <c r="AZ49" i="5" s="1"/>
  <c r="AY441" i="5"/>
  <c r="AY442" i="5" s="1"/>
  <c r="AY49" i="5" s="1"/>
  <c r="AX441" i="5"/>
  <c r="AX442" i="5" s="1"/>
  <c r="AX49" i="5" s="1"/>
  <c r="AW441" i="5"/>
  <c r="AW442" i="5" s="1"/>
  <c r="AW49" i="5" s="1"/>
  <c r="AV441" i="5"/>
  <c r="AV442" i="5" s="1"/>
  <c r="AV49" i="5" s="1"/>
  <c r="AU441" i="5"/>
  <c r="AU442" i="5" s="1"/>
  <c r="AU49" i="5" s="1"/>
  <c r="AT441" i="5"/>
  <c r="AT442" i="5" s="1"/>
  <c r="AT49" i="5" s="1"/>
  <c r="AS441" i="5"/>
  <c r="AS442" i="5" s="1"/>
  <c r="AS49" i="5" s="1"/>
  <c r="AR441" i="5"/>
  <c r="AR442" i="5" s="1"/>
  <c r="AR49" i="5" s="1"/>
  <c r="AQ441" i="5"/>
  <c r="AQ442" i="5" s="1"/>
  <c r="AQ49" i="5" s="1"/>
  <c r="AP441" i="5"/>
  <c r="AP442" i="5" s="1"/>
  <c r="AP49" i="5" s="1"/>
  <c r="AO441" i="5"/>
  <c r="AO442" i="5" s="1"/>
  <c r="AO49" i="5" s="1"/>
  <c r="AN441" i="5"/>
  <c r="AN442" i="5" s="1"/>
  <c r="AN49" i="5" s="1"/>
  <c r="AM441" i="5"/>
  <c r="AM442" i="5" s="1"/>
  <c r="AM49" i="5" s="1"/>
  <c r="AL441" i="5"/>
  <c r="AL442" i="5" s="1"/>
  <c r="AL49" i="5" s="1"/>
  <c r="AK441" i="5"/>
  <c r="AK442" i="5" s="1"/>
  <c r="AK49" i="5" s="1"/>
  <c r="AJ441" i="5"/>
  <c r="AJ442" i="5" s="1"/>
  <c r="AJ49" i="5" s="1"/>
  <c r="AI441" i="5"/>
  <c r="AI442" i="5" s="1"/>
  <c r="AI49" i="5" s="1"/>
  <c r="AH441" i="5"/>
  <c r="AH442" i="5" s="1"/>
  <c r="AH49" i="5" s="1"/>
  <c r="AG441" i="5"/>
  <c r="AG442" i="5" s="1"/>
  <c r="AG49" i="5" s="1"/>
  <c r="AF441" i="5"/>
  <c r="AF442" i="5" s="1"/>
  <c r="AF49" i="5" s="1"/>
  <c r="AE441" i="5"/>
  <c r="AE442" i="5" s="1"/>
  <c r="AE49" i="5" s="1"/>
  <c r="AD441" i="5"/>
  <c r="AD442" i="5" s="1"/>
  <c r="AD49" i="5" s="1"/>
  <c r="AC441" i="5"/>
  <c r="AC442" i="5" s="1"/>
  <c r="AC49" i="5" s="1"/>
  <c r="AB441" i="5"/>
  <c r="AB442" i="5" s="1"/>
  <c r="AB49" i="5" s="1"/>
  <c r="AA441" i="5"/>
  <c r="AA442" i="5" s="1"/>
  <c r="AA49" i="5" s="1"/>
  <c r="Z441" i="5"/>
  <c r="Z442" i="5" s="1"/>
  <c r="Z49" i="5" s="1"/>
  <c r="Y441" i="5"/>
  <c r="Y442" i="5" s="1"/>
  <c r="Y49" i="5" s="1"/>
  <c r="X441" i="5"/>
  <c r="X442" i="5" s="1"/>
  <c r="X49" i="5" s="1"/>
  <c r="W441" i="5"/>
  <c r="W442" i="5" s="1"/>
  <c r="W49" i="5" s="1"/>
  <c r="V441" i="5"/>
  <c r="V442" i="5" s="1"/>
  <c r="V49" i="5" s="1"/>
  <c r="U441" i="5"/>
  <c r="U442" i="5" s="1"/>
  <c r="U49" i="5" s="1"/>
  <c r="T441" i="5"/>
  <c r="T442" i="5" s="1"/>
  <c r="T49" i="5" s="1"/>
  <c r="S441" i="5"/>
  <c r="S442" i="5" s="1"/>
  <c r="S49" i="5" s="1"/>
  <c r="R441" i="5"/>
  <c r="R442" i="5" s="1"/>
  <c r="R49" i="5" s="1"/>
  <c r="Q441" i="5"/>
  <c r="Q442" i="5" s="1"/>
  <c r="Q49" i="5" s="1"/>
  <c r="P441" i="5"/>
  <c r="P442" i="5" s="1"/>
  <c r="P49" i="5" s="1"/>
  <c r="O441" i="5"/>
  <c r="O442" i="5" s="1"/>
  <c r="O49" i="5" s="1"/>
  <c r="N441" i="5"/>
  <c r="N442" i="5" s="1"/>
  <c r="N49" i="5" s="1"/>
  <c r="M441" i="5"/>
  <c r="M442" i="5" s="1"/>
  <c r="M49" i="5" s="1"/>
  <c r="L441" i="5"/>
  <c r="L442" i="5" s="1"/>
  <c r="L49" i="5" s="1"/>
  <c r="K441" i="5"/>
  <c r="K442" i="5" s="1"/>
  <c r="K49" i="5" s="1"/>
  <c r="J441" i="5"/>
  <c r="J442" i="5" s="1"/>
  <c r="J49" i="5" s="1"/>
  <c r="I441" i="5"/>
  <c r="I442" i="5" s="1"/>
  <c r="I49" i="5" s="1"/>
  <c r="H441" i="5"/>
  <c r="H442" i="5" s="1"/>
  <c r="H49" i="5" s="1"/>
  <c r="G441" i="5"/>
  <c r="G442" i="5" s="1"/>
  <c r="G49" i="5" s="1"/>
  <c r="F441" i="5"/>
  <c r="F442" i="5" s="1"/>
  <c r="F49" i="5" s="1"/>
  <c r="E441" i="5"/>
  <c r="E442" i="5" s="1"/>
  <c r="E49" i="5" s="1"/>
  <c r="D441" i="5"/>
  <c r="D442" i="5" s="1"/>
  <c r="D49" i="5" s="1"/>
  <c r="C440" i="5"/>
  <c r="C439" i="5"/>
  <c r="C438" i="5"/>
  <c r="C437" i="5"/>
  <c r="C436" i="5"/>
  <c r="C430" i="5"/>
  <c r="C429" i="5"/>
  <c r="BF427" i="5"/>
  <c r="BF431" i="5" s="1"/>
  <c r="BF21" i="5" s="1"/>
  <c r="BE427" i="5"/>
  <c r="BE431" i="5" s="1"/>
  <c r="BE21" i="5" s="1"/>
  <c r="BD427" i="5"/>
  <c r="BD431" i="5" s="1"/>
  <c r="BD21" i="5" s="1"/>
  <c r="BC427" i="5"/>
  <c r="BC431" i="5" s="1"/>
  <c r="BC21" i="5" s="1"/>
  <c r="BB427" i="5"/>
  <c r="BB431" i="5" s="1"/>
  <c r="BB21" i="5" s="1"/>
  <c r="BA427" i="5"/>
  <c r="BA431" i="5" s="1"/>
  <c r="BA21" i="5" s="1"/>
  <c r="AZ427" i="5"/>
  <c r="AZ431" i="5" s="1"/>
  <c r="AZ21" i="5" s="1"/>
  <c r="AY427" i="5"/>
  <c r="AY431" i="5" s="1"/>
  <c r="AY21" i="5" s="1"/>
  <c r="AX427" i="5"/>
  <c r="AX431" i="5" s="1"/>
  <c r="AX21" i="5" s="1"/>
  <c r="AW427" i="5"/>
  <c r="AW431" i="5" s="1"/>
  <c r="AW21" i="5" s="1"/>
  <c r="AV427" i="5"/>
  <c r="AV431" i="5" s="1"/>
  <c r="AV21" i="5" s="1"/>
  <c r="AU427" i="5"/>
  <c r="AU431" i="5" s="1"/>
  <c r="AU21" i="5" s="1"/>
  <c r="AT427" i="5"/>
  <c r="AT431" i="5" s="1"/>
  <c r="AT21" i="5" s="1"/>
  <c r="AS427" i="5"/>
  <c r="AS431" i="5" s="1"/>
  <c r="AS21" i="5" s="1"/>
  <c r="AR427" i="5"/>
  <c r="AR431" i="5" s="1"/>
  <c r="AR21" i="5" s="1"/>
  <c r="AQ427" i="5"/>
  <c r="AQ431" i="5" s="1"/>
  <c r="AQ21" i="5" s="1"/>
  <c r="AP427" i="5"/>
  <c r="AP431" i="5" s="1"/>
  <c r="AP21" i="5" s="1"/>
  <c r="AO427" i="5"/>
  <c r="AO431" i="5" s="1"/>
  <c r="AO21" i="5" s="1"/>
  <c r="AN427" i="5"/>
  <c r="AN431" i="5" s="1"/>
  <c r="AN21" i="5" s="1"/>
  <c r="AM427" i="5"/>
  <c r="AM431" i="5" s="1"/>
  <c r="AM21" i="5" s="1"/>
  <c r="AL427" i="5"/>
  <c r="AL431" i="5" s="1"/>
  <c r="AL21" i="5" s="1"/>
  <c r="AK427" i="5"/>
  <c r="AK431" i="5" s="1"/>
  <c r="AK21" i="5" s="1"/>
  <c r="AJ427" i="5"/>
  <c r="AJ431" i="5" s="1"/>
  <c r="AJ21" i="5" s="1"/>
  <c r="AI427" i="5"/>
  <c r="AI431" i="5" s="1"/>
  <c r="AI21" i="5" s="1"/>
  <c r="AH427" i="5"/>
  <c r="AH431" i="5" s="1"/>
  <c r="AH21" i="5" s="1"/>
  <c r="AG427" i="5"/>
  <c r="AG431" i="5" s="1"/>
  <c r="AG21" i="5" s="1"/>
  <c r="AF427" i="5"/>
  <c r="AF431" i="5" s="1"/>
  <c r="AF21" i="5" s="1"/>
  <c r="AE427" i="5"/>
  <c r="AE431" i="5" s="1"/>
  <c r="AE21" i="5" s="1"/>
  <c r="AD427" i="5"/>
  <c r="AD431" i="5" s="1"/>
  <c r="AD21" i="5" s="1"/>
  <c r="AC427" i="5"/>
  <c r="AC431" i="5" s="1"/>
  <c r="AC21" i="5" s="1"/>
  <c r="AB427" i="5"/>
  <c r="AB431" i="5" s="1"/>
  <c r="AB21" i="5" s="1"/>
  <c r="AA427" i="5"/>
  <c r="AA431" i="5" s="1"/>
  <c r="AA21" i="5" s="1"/>
  <c r="Z427" i="5"/>
  <c r="Z431" i="5" s="1"/>
  <c r="Z21" i="5" s="1"/>
  <c r="Y427" i="5"/>
  <c r="Y431" i="5" s="1"/>
  <c r="Y21" i="5" s="1"/>
  <c r="X427" i="5"/>
  <c r="X431" i="5" s="1"/>
  <c r="X21" i="5" s="1"/>
  <c r="W427" i="5"/>
  <c r="W431" i="5" s="1"/>
  <c r="W21" i="5" s="1"/>
  <c r="V427" i="5"/>
  <c r="V431" i="5" s="1"/>
  <c r="V21" i="5" s="1"/>
  <c r="U427" i="5"/>
  <c r="U431" i="5" s="1"/>
  <c r="U21" i="5" s="1"/>
  <c r="T427" i="5"/>
  <c r="T431" i="5" s="1"/>
  <c r="T21" i="5" s="1"/>
  <c r="S427" i="5"/>
  <c r="S431" i="5" s="1"/>
  <c r="S21" i="5" s="1"/>
  <c r="R427" i="5"/>
  <c r="R431" i="5" s="1"/>
  <c r="R21" i="5" s="1"/>
  <c r="Q427" i="5"/>
  <c r="Q431" i="5" s="1"/>
  <c r="Q21" i="5" s="1"/>
  <c r="P427" i="5"/>
  <c r="P431" i="5" s="1"/>
  <c r="P21" i="5" s="1"/>
  <c r="O427" i="5"/>
  <c r="O431" i="5" s="1"/>
  <c r="O21" i="5" s="1"/>
  <c r="N427" i="5"/>
  <c r="N431" i="5" s="1"/>
  <c r="N21" i="5" s="1"/>
  <c r="M427" i="5"/>
  <c r="M431" i="5" s="1"/>
  <c r="M21" i="5" s="1"/>
  <c r="L427" i="5"/>
  <c r="L431" i="5" s="1"/>
  <c r="L21" i="5" s="1"/>
  <c r="K427" i="5"/>
  <c r="K431" i="5" s="1"/>
  <c r="K21" i="5" s="1"/>
  <c r="J427" i="5"/>
  <c r="J431" i="5" s="1"/>
  <c r="I427" i="5"/>
  <c r="I431" i="5" s="1"/>
  <c r="I21" i="5" s="1"/>
  <c r="H427" i="5"/>
  <c r="H431" i="5" s="1"/>
  <c r="H21" i="5" s="1"/>
  <c r="G427" i="5"/>
  <c r="G431" i="5" s="1"/>
  <c r="G21" i="5" s="1"/>
  <c r="F427" i="5"/>
  <c r="F431" i="5" s="1"/>
  <c r="F21" i="5" s="1"/>
  <c r="E427" i="5"/>
  <c r="E431" i="5" s="1"/>
  <c r="E21" i="5" s="1"/>
  <c r="D427" i="5"/>
  <c r="D431" i="5" s="1"/>
  <c r="D21" i="5" s="1"/>
  <c r="C426" i="5"/>
  <c r="C425" i="5"/>
  <c r="C424" i="5"/>
  <c r="C423" i="5"/>
  <c r="C422" i="5"/>
  <c r="C421" i="5"/>
  <c r="C420" i="5"/>
  <c r="C419" i="5"/>
  <c r="C418" i="5"/>
  <c r="C417" i="5"/>
  <c r="C416" i="5"/>
  <c r="C415" i="5"/>
  <c r="C414" i="5"/>
  <c r="C413" i="5"/>
  <c r="BF410" i="5"/>
  <c r="BF19" i="5" s="1"/>
  <c r="BE410" i="5"/>
  <c r="BE19" i="5" s="1"/>
  <c r="BD410" i="5"/>
  <c r="BD19" i="5" s="1"/>
  <c r="BC410" i="5"/>
  <c r="BC19" i="5" s="1"/>
  <c r="BB410" i="5"/>
  <c r="BB19" i="5" s="1"/>
  <c r="BA410" i="5"/>
  <c r="BA19" i="5" s="1"/>
  <c r="AZ410" i="5"/>
  <c r="AZ19" i="5" s="1"/>
  <c r="AY410" i="5"/>
  <c r="AY19" i="5" s="1"/>
  <c r="AX410" i="5"/>
  <c r="AX19" i="5" s="1"/>
  <c r="AW410" i="5"/>
  <c r="AW19" i="5" s="1"/>
  <c r="AV410" i="5"/>
  <c r="AV19" i="5" s="1"/>
  <c r="AU410" i="5"/>
  <c r="AU19" i="5" s="1"/>
  <c r="AT410" i="5"/>
  <c r="AT19" i="5" s="1"/>
  <c r="AS410" i="5"/>
  <c r="AS19" i="5" s="1"/>
  <c r="AR410" i="5"/>
  <c r="AR19" i="5" s="1"/>
  <c r="AQ410" i="5"/>
  <c r="AQ19" i="5" s="1"/>
  <c r="AP410" i="5"/>
  <c r="AP19" i="5" s="1"/>
  <c r="AO410" i="5"/>
  <c r="AO19" i="5" s="1"/>
  <c r="AN410" i="5"/>
  <c r="AN19" i="5" s="1"/>
  <c r="AM410" i="5"/>
  <c r="AM19" i="5" s="1"/>
  <c r="AL410" i="5"/>
  <c r="AL19" i="5" s="1"/>
  <c r="AK410" i="5"/>
  <c r="AK19" i="5" s="1"/>
  <c r="AJ410" i="5"/>
  <c r="AJ19" i="5" s="1"/>
  <c r="AI410" i="5"/>
  <c r="AI19" i="5" s="1"/>
  <c r="AH410" i="5"/>
  <c r="AH19" i="5" s="1"/>
  <c r="AG410" i="5"/>
  <c r="AG19" i="5" s="1"/>
  <c r="AF410" i="5"/>
  <c r="AF19" i="5" s="1"/>
  <c r="AE410" i="5"/>
  <c r="AE19" i="5" s="1"/>
  <c r="AD410" i="5"/>
  <c r="AD19" i="5" s="1"/>
  <c r="AC410" i="5"/>
  <c r="AC19" i="5" s="1"/>
  <c r="AB410" i="5"/>
  <c r="AB19" i="5" s="1"/>
  <c r="AA410" i="5"/>
  <c r="AA19" i="5" s="1"/>
  <c r="Z410" i="5"/>
  <c r="Z19" i="5" s="1"/>
  <c r="Y410" i="5"/>
  <c r="Y19" i="5" s="1"/>
  <c r="X410" i="5"/>
  <c r="X19" i="5" s="1"/>
  <c r="W410" i="5"/>
  <c r="W19" i="5" s="1"/>
  <c r="V410" i="5"/>
  <c r="V19" i="5" s="1"/>
  <c r="U410" i="5"/>
  <c r="U19" i="5" s="1"/>
  <c r="T410" i="5"/>
  <c r="T19" i="5" s="1"/>
  <c r="S410" i="5"/>
  <c r="S19" i="5" s="1"/>
  <c r="R410" i="5"/>
  <c r="R19" i="5" s="1"/>
  <c r="Q410" i="5"/>
  <c r="Q19" i="5" s="1"/>
  <c r="P410" i="5"/>
  <c r="P19" i="5" s="1"/>
  <c r="O410" i="5"/>
  <c r="O19" i="5" s="1"/>
  <c r="N410" i="5"/>
  <c r="N19" i="5" s="1"/>
  <c r="M410" i="5"/>
  <c r="M19" i="5" s="1"/>
  <c r="L410" i="5"/>
  <c r="L19" i="5" s="1"/>
  <c r="K410" i="5"/>
  <c r="K19" i="5" s="1"/>
  <c r="J410" i="5"/>
  <c r="J19" i="5" s="1"/>
  <c r="I410" i="5"/>
  <c r="I19" i="5" s="1"/>
  <c r="H410" i="5"/>
  <c r="H19" i="5" s="1"/>
  <c r="G410" i="5"/>
  <c r="G19" i="5" s="1"/>
  <c r="F410" i="5"/>
  <c r="F19" i="5" s="1"/>
  <c r="E410" i="5"/>
  <c r="E19" i="5" s="1"/>
  <c r="D410" i="5"/>
  <c r="D19" i="5" s="1"/>
  <c r="C409" i="5"/>
  <c r="C408" i="5"/>
  <c r="C407" i="5"/>
  <c r="C406" i="5"/>
  <c r="BF403" i="5"/>
  <c r="BF20" i="5" s="1"/>
  <c r="BE403" i="5"/>
  <c r="BE20" i="5" s="1"/>
  <c r="BD403" i="5"/>
  <c r="BD20" i="5" s="1"/>
  <c r="BC403" i="5"/>
  <c r="BC20" i="5" s="1"/>
  <c r="BB403" i="5"/>
  <c r="BB20" i="5" s="1"/>
  <c r="BA403" i="5"/>
  <c r="BA20" i="5" s="1"/>
  <c r="AZ403" i="5"/>
  <c r="AZ20" i="5" s="1"/>
  <c r="AY403" i="5"/>
  <c r="AY20" i="5" s="1"/>
  <c r="AX403" i="5"/>
  <c r="AX20" i="5" s="1"/>
  <c r="AW403" i="5"/>
  <c r="AW20" i="5" s="1"/>
  <c r="AV403" i="5"/>
  <c r="AV20" i="5" s="1"/>
  <c r="AU403" i="5"/>
  <c r="AU20" i="5" s="1"/>
  <c r="AT403" i="5"/>
  <c r="AT20" i="5" s="1"/>
  <c r="AS403" i="5"/>
  <c r="AS20" i="5" s="1"/>
  <c r="AR403" i="5"/>
  <c r="AR20" i="5" s="1"/>
  <c r="AQ403" i="5"/>
  <c r="AQ20" i="5" s="1"/>
  <c r="AP403" i="5"/>
  <c r="AP20" i="5" s="1"/>
  <c r="AO403" i="5"/>
  <c r="AO20" i="5" s="1"/>
  <c r="AN403" i="5"/>
  <c r="AN20" i="5" s="1"/>
  <c r="AM403" i="5"/>
  <c r="AM20" i="5" s="1"/>
  <c r="AL403" i="5"/>
  <c r="AL20" i="5" s="1"/>
  <c r="AK403" i="5"/>
  <c r="AK20" i="5" s="1"/>
  <c r="AJ403" i="5"/>
  <c r="AJ20" i="5" s="1"/>
  <c r="AI403" i="5"/>
  <c r="AI20" i="5" s="1"/>
  <c r="AH403" i="5"/>
  <c r="AH20" i="5" s="1"/>
  <c r="AG403" i="5"/>
  <c r="AG20" i="5" s="1"/>
  <c r="AF403" i="5"/>
  <c r="AF20" i="5" s="1"/>
  <c r="AE403" i="5"/>
  <c r="AE20" i="5" s="1"/>
  <c r="AD403" i="5"/>
  <c r="AD20" i="5" s="1"/>
  <c r="AC403" i="5"/>
  <c r="AC20" i="5" s="1"/>
  <c r="AB403" i="5"/>
  <c r="AB20" i="5" s="1"/>
  <c r="AA403" i="5"/>
  <c r="AA20" i="5" s="1"/>
  <c r="Z403" i="5"/>
  <c r="Z20" i="5" s="1"/>
  <c r="Y403" i="5"/>
  <c r="Y20" i="5" s="1"/>
  <c r="X403" i="5"/>
  <c r="X20" i="5" s="1"/>
  <c r="W403" i="5"/>
  <c r="W20" i="5" s="1"/>
  <c r="V403" i="5"/>
  <c r="V20" i="5" s="1"/>
  <c r="U403" i="5"/>
  <c r="U20" i="5" s="1"/>
  <c r="T403" i="5"/>
  <c r="T20" i="5" s="1"/>
  <c r="S403" i="5"/>
  <c r="S20" i="5" s="1"/>
  <c r="R403" i="5"/>
  <c r="R20" i="5" s="1"/>
  <c r="Q403" i="5"/>
  <c r="Q20" i="5" s="1"/>
  <c r="P403" i="5"/>
  <c r="P20" i="5" s="1"/>
  <c r="O403" i="5"/>
  <c r="O20" i="5" s="1"/>
  <c r="N403" i="5"/>
  <c r="N20" i="5" s="1"/>
  <c r="M403" i="5"/>
  <c r="M20" i="5" s="1"/>
  <c r="L403" i="5"/>
  <c r="L20" i="5" s="1"/>
  <c r="K403" i="5"/>
  <c r="K20" i="5" s="1"/>
  <c r="J403" i="5"/>
  <c r="J20" i="5" s="1"/>
  <c r="I403" i="5"/>
  <c r="I20" i="5" s="1"/>
  <c r="H403" i="5"/>
  <c r="H20" i="5" s="1"/>
  <c r="G403" i="5"/>
  <c r="G20" i="5" s="1"/>
  <c r="F403" i="5"/>
  <c r="F20" i="5" s="1"/>
  <c r="E403" i="5"/>
  <c r="E20" i="5" s="1"/>
  <c r="D403" i="5"/>
  <c r="D20" i="5" s="1"/>
  <c r="C402" i="5"/>
  <c r="C401" i="5"/>
  <c r="C400" i="5"/>
  <c r="C399" i="5"/>
  <c r="BF396" i="5"/>
  <c r="BF18" i="5" s="1"/>
  <c r="BE396" i="5"/>
  <c r="BE18" i="5" s="1"/>
  <c r="BD396" i="5"/>
  <c r="BD18" i="5" s="1"/>
  <c r="BC396" i="5"/>
  <c r="BC18" i="5" s="1"/>
  <c r="BB396" i="5"/>
  <c r="BB18" i="5" s="1"/>
  <c r="BA396" i="5"/>
  <c r="BA18" i="5" s="1"/>
  <c r="AZ396" i="5"/>
  <c r="AZ18" i="5" s="1"/>
  <c r="AY396" i="5"/>
  <c r="AY18" i="5" s="1"/>
  <c r="AX396" i="5"/>
  <c r="AX18" i="5" s="1"/>
  <c r="AW396" i="5"/>
  <c r="AW18" i="5" s="1"/>
  <c r="AV396" i="5"/>
  <c r="AV18" i="5" s="1"/>
  <c r="AU396" i="5"/>
  <c r="AU18" i="5" s="1"/>
  <c r="AT396" i="5"/>
  <c r="AT18" i="5" s="1"/>
  <c r="AS396" i="5"/>
  <c r="AS18" i="5" s="1"/>
  <c r="AR396" i="5"/>
  <c r="AR18" i="5" s="1"/>
  <c r="AQ396" i="5"/>
  <c r="AQ18" i="5" s="1"/>
  <c r="AP396" i="5"/>
  <c r="AP18" i="5" s="1"/>
  <c r="AO396" i="5"/>
  <c r="AO18" i="5" s="1"/>
  <c r="AN396" i="5"/>
  <c r="AN18" i="5" s="1"/>
  <c r="AM396" i="5"/>
  <c r="AM18" i="5" s="1"/>
  <c r="AL396" i="5"/>
  <c r="AL18" i="5" s="1"/>
  <c r="AK396" i="5"/>
  <c r="AK18" i="5" s="1"/>
  <c r="AJ396" i="5"/>
  <c r="AJ18" i="5" s="1"/>
  <c r="AI396" i="5"/>
  <c r="AI18" i="5" s="1"/>
  <c r="AH396" i="5"/>
  <c r="AH18" i="5" s="1"/>
  <c r="AG396" i="5"/>
  <c r="AG18" i="5" s="1"/>
  <c r="AF396" i="5"/>
  <c r="AF18" i="5" s="1"/>
  <c r="AE396" i="5"/>
  <c r="AE18" i="5" s="1"/>
  <c r="AD396" i="5"/>
  <c r="AD18" i="5" s="1"/>
  <c r="AC396" i="5"/>
  <c r="AC18" i="5" s="1"/>
  <c r="AB396" i="5"/>
  <c r="AB18" i="5" s="1"/>
  <c r="AA396" i="5"/>
  <c r="AA18" i="5" s="1"/>
  <c r="Z396" i="5"/>
  <c r="Z18" i="5" s="1"/>
  <c r="Y396" i="5"/>
  <c r="Y18" i="5" s="1"/>
  <c r="X396" i="5"/>
  <c r="X18" i="5" s="1"/>
  <c r="W396" i="5"/>
  <c r="W18" i="5" s="1"/>
  <c r="V396" i="5"/>
  <c r="V18" i="5" s="1"/>
  <c r="U396" i="5"/>
  <c r="U18" i="5" s="1"/>
  <c r="T396" i="5"/>
  <c r="T18" i="5" s="1"/>
  <c r="S396" i="5"/>
  <c r="S18" i="5" s="1"/>
  <c r="R396" i="5"/>
  <c r="R18" i="5" s="1"/>
  <c r="Q396" i="5"/>
  <c r="Q18" i="5" s="1"/>
  <c r="P396" i="5"/>
  <c r="P18" i="5" s="1"/>
  <c r="O396" i="5"/>
  <c r="O18" i="5" s="1"/>
  <c r="N396" i="5"/>
  <c r="N18" i="5" s="1"/>
  <c r="M396" i="5"/>
  <c r="M18" i="5" s="1"/>
  <c r="L396" i="5"/>
  <c r="L18" i="5" s="1"/>
  <c r="K396" i="5"/>
  <c r="K18" i="5" s="1"/>
  <c r="J396" i="5"/>
  <c r="J18" i="5" s="1"/>
  <c r="I396" i="5"/>
  <c r="I18" i="5" s="1"/>
  <c r="H396" i="5"/>
  <c r="H18" i="5" s="1"/>
  <c r="G396" i="5"/>
  <c r="G18" i="5" s="1"/>
  <c r="F396" i="5"/>
  <c r="F18" i="5" s="1"/>
  <c r="E396" i="5"/>
  <c r="E18" i="5" s="1"/>
  <c r="D396" i="5"/>
  <c r="D18" i="5" s="1"/>
  <c r="C395" i="5"/>
  <c r="C394" i="5"/>
  <c r="C393" i="5"/>
  <c r="C392" i="5"/>
  <c r="C391" i="5"/>
  <c r="C390" i="5"/>
  <c r="BF385" i="5"/>
  <c r="BE385" i="5"/>
  <c r="BD385" i="5"/>
  <c r="BC385" i="5"/>
  <c r="BB385" i="5"/>
  <c r="BA385" i="5"/>
  <c r="AZ385" i="5"/>
  <c r="AY385" i="5"/>
  <c r="AX385" i="5"/>
  <c r="AW385" i="5"/>
  <c r="AV385" i="5"/>
  <c r="AU385" i="5"/>
  <c r="AT385" i="5"/>
  <c r="AS385" i="5"/>
  <c r="AR385" i="5"/>
  <c r="AQ385" i="5"/>
  <c r="AP385" i="5"/>
  <c r="AO385" i="5"/>
  <c r="AN385" i="5"/>
  <c r="AM385" i="5"/>
  <c r="AL385" i="5"/>
  <c r="AK385" i="5"/>
  <c r="AJ385" i="5"/>
  <c r="AI385" i="5"/>
  <c r="AH385" i="5"/>
  <c r="AG385" i="5"/>
  <c r="AF385" i="5"/>
  <c r="AE385" i="5"/>
  <c r="AD385" i="5"/>
  <c r="AC385" i="5"/>
  <c r="AB385" i="5"/>
  <c r="AA385" i="5"/>
  <c r="Z385" i="5"/>
  <c r="Y385" i="5"/>
  <c r="X385" i="5"/>
  <c r="W385" i="5"/>
  <c r="V385" i="5"/>
  <c r="U385" i="5"/>
  <c r="T385" i="5"/>
  <c r="S385" i="5"/>
  <c r="R385" i="5"/>
  <c r="Q385" i="5"/>
  <c r="P385" i="5"/>
  <c r="O385" i="5"/>
  <c r="N385" i="5"/>
  <c r="M385" i="5"/>
  <c r="L385" i="5"/>
  <c r="K385" i="5"/>
  <c r="J385" i="5"/>
  <c r="I385" i="5"/>
  <c r="H385" i="5"/>
  <c r="G385" i="5"/>
  <c r="F385" i="5"/>
  <c r="E385" i="5"/>
  <c r="D385" i="5"/>
  <c r="C384" i="5"/>
  <c r="C383" i="5"/>
  <c r="C382" i="5"/>
  <c r="C381" i="5"/>
  <c r="C380" i="5"/>
  <c r="C379" i="5"/>
  <c r="C378" i="5"/>
  <c r="C377" i="5"/>
  <c r="C376" i="5"/>
  <c r="C375" i="5"/>
  <c r="C374" i="5"/>
  <c r="BF372" i="5"/>
  <c r="BE372" i="5"/>
  <c r="BD372" i="5"/>
  <c r="BC372" i="5"/>
  <c r="BB372" i="5"/>
  <c r="BA372" i="5"/>
  <c r="AZ372" i="5"/>
  <c r="AY372" i="5"/>
  <c r="AX372" i="5"/>
  <c r="AW372" i="5"/>
  <c r="AV372" i="5"/>
  <c r="AU372" i="5"/>
  <c r="AT372" i="5"/>
  <c r="AS372" i="5"/>
  <c r="AR372" i="5"/>
  <c r="AQ372" i="5"/>
  <c r="AP372" i="5"/>
  <c r="AO372" i="5"/>
  <c r="AN372" i="5"/>
  <c r="AM372" i="5"/>
  <c r="AL372" i="5"/>
  <c r="AK372" i="5"/>
  <c r="AJ372" i="5"/>
  <c r="AI372" i="5"/>
  <c r="AH372" i="5"/>
  <c r="AG372" i="5"/>
  <c r="AF372" i="5"/>
  <c r="AE372" i="5"/>
  <c r="AD372" i="5"/>
  <c r="AC372" i="5"/>
  <c r="AB372" i="5"/>
  <c r="AA372" i="5"/>
  <c r="Z372" i="5"/>
  <c r="Y372" i="5"/>
  <c r="X372" i="5"/>
  <c r="W372" i="5"/>
  <c r="V372" i="5"/>
  <c r="U372" i="5"/>
  <c r="T372" i="5"/>
  <c r="S372" i="5"/>
  <c r="R372" i="5"/>
  <c r="Q372" i="5"/>
  <c r="P372" i="5"/>
  <c r="O372" i="5"/>
  <c r="N372" i="5"/>
  <c r="M372" i="5"/>
  <c r="L372" i="5"/>
  <c r="K372" i="5"/>
  <c r="J372" i="5"/>
  <c r="I372" i="5"/>
  <c r="H372" i="5"/>
  <c r="G372" i="5"/>
  <c r="F372" i="5"/>
  <c r="E372" i="5"/>
  <c r="D372" i="5"/>
  <c r="C371" i="5"/>
  <c r="C370" i="5"/>
  <c r="C369" i="5"/>
  <c r="C368" i="5"/>
  <c r="C367" i="5"/>
  <c r="C366" i="5"/>
  <c r="C365" i="5"/>
  <c r="C364" i="5"/>
  <c r="C363" i="5"/>
  <c r="C362" i="5"/>
  <c r="BF357" i="5"/>
  <c r="BE357" i="5"/>
  <c r="BD357" i="5"/>
  <c r="BC357" i="5"/>
  <c r="BB357" i="5"/>
  <c r="BA357" i="5"/>
  <c r="AZ357" i="5"/>
  <c r="AY357" i="5"/>
  <c r="AX357" i="5"/>
  <c r="AW357" i="5"/>
  <c r="AV357" i="5"/>
  <c r="AU357" i="5"/>
  <c r="AT357" i="5"/>
  <c r="AS357" i="5"/>
  <c r="AR357" i="5"/>
  <c r="AQ357" i="5"/>
  <c r="AP357" i="5"/>
  <c r="AO357" i="5"/>
  <c r="AN357" i="5"/>
  <c r="AM357" i="5"/>
  <c r="AL357" i="5"/>
  <c r="AK357" i="5"/>
  <c r="AJ357" i="5"/>
  <c r="AI357" i="5"/>
  <c r="AH357" i="5"/>
  <c r="AG357" i="5"/>
  <c r="AF357" i="5"/>
  <c r="AE357" i="5"/>
  <c r="AD357" i="5"/>
  <c r="AC357" i="5"/>
  <c r="AB357" i="5"/>
  <c r="AA357" i="5"/>
  <c r="Z357" i="5"/>
  <c r="Y357" i="5"/>
  <c r="X357" i="5"/>
  <c r="W357" i="5"/>
  <c r="V357" i="5"/>
  <c r="U357" i="5"/>
  <c r="T357" i="5"/>
  <c r="S357" i="5"/>
  <c r="R357" i="5"/>
  <c r="Q357" i="5"/>
  <c r="P357" i="5"/>
  <c r="O357" i="5"/>
  <c r="N357" i="5"/>
  <c r="M357" i="5"/>
  <c r="L357" i="5"/>
  <c r="K357" i="5"/>
  <c r="J357" i="5"/>
  <c r="I357" i="5"/>
  <c r="H357" i="5"/>
  <c r="G357" i="5"/>
  <c r="F357" i="5"/>
  <c r="E357" i="5"/>
  <c r="D357" i="5"/>
  <c r="C356" i="5"/>
  <c r="C355" i="5"/>
  <c r="C354" i="5"/>
  <c r="C353" i="5"/>
  <c r="C352" i="5"/>
  <c r="C351" i="5"/>
  <c r="C350" i="5"/>
  <c r="BF347" i="5"/>
  <c r="BE347" i="5"/>
  <c r="BD347" i="5"/>
  <c r="BC347" i="5"/>
  <c r="BB347" i="5"/>
  <c r="BA347" i="5"/>
  <c r="AZ347" i="5"/>
  <c r="AY347" i="5"/>
  <c r="AX347" i="5"/>
  <c r="AW347" i="5"/>
  <c r="AV347" i="5"/>
  <c r="AU347" i="5"/>
  <c r="AT347" i="5"/>
  <c r="AS347" i="5"/>
  <c r="AR347" i="5"/>
  <c r="AQ347" i="5"/>
  <c r="AP347" i="5"/>
  <c r="AO347" i="5"/>
  <c r="AN347" i="5"/>
  <c r="AM347" i="5"/>
  <c r="AL347" i="5"/>
  <c r="AK347" i="5"/>
  <c r="AJ347" i="5"/>
  <c r="AI347" i="5"/>
  <c r="AH347" i="5"/>
  <c r="AG347" i="5"/>
  <c r="AF347" i="5"/>
  <c r="AE347" i="5"/>
  <c r="AD347" i="5"/>
  <c r="AC347" i="5"/>
  <c r="AB347" i="5"/>
  <c r="AA347" i="5"/>
  <c r="Z347" i="5"/>
  <c r="Y347" i="5"/>
  <c r="X347" i="5"/>
  <c r="W347" i="5"/>
  <c r="V347" i="5"/>
  <c r="U347" i="5"/>
  <c r="T347" i="5"/>
  <c r="R347" i="5"/>
  <c r="Q347" i="5"/>
  <c r="P347" i="5"/>
  <c r="O347" i="5"/>
  <c r="N347" i="5"/>
  <c r="M347" i="5"/>
  <c r="L347" i="5"/>
  <c r="K347" i="5"/>
  <c r="J347" i="5"/>
  <c r="I347" i="5"/>
  <c r="H347" i="5"/>
  <c r="G347" i="5"/>
  <c r="F347" i="5"/>
  <c r="E347" i="5"/>
  <c r="D347" i="5"/>
  <c r="C346" i="5"/>
  <c r="C345" i="5"/>
  <c r="C344" i="5"/>
  <c r="C343" i="5"/>
  <c r="C342" i="5"/>
  <c r="S341" i="5"/>
  <c r="S347" i="5" s="1"/>
  <c r="C340" i="5"/>
  <c r="C339" i="5"/>
  <c r="C338" i="5"/>
  <c r="C337" i="5"/>
  <c r="C336" i="5"/>
  <c r="C335" i="5"/>
  <c r="BF330" i="5"/>
  <c r="BE330" i="5"/>
  <c r="BD330" i="5"/>
  <c r="BC330" i="5"/>
  <c r="BB330" i="5"/>
  <c r="BA330" i="5"/>
  <c r="AZ330" i="5"/>
  <c r="AY330" i="5"/>
  <c r="AX330" i="5"/>
  <c r="AW330" i="5"/>
  <c r="AV330" i="5"/>
  <c r="AU330" i="5"/>
  <c r="AT330" i="5"/>
  <c r="AS330" i="5"/>
  <c r="AR330" i="5"/>
  <c r="AQ330" i="5"/>
  <c r="AP330" i="5"/>
  <c r="AO330" i="5"/>
  <c r="AN330" i="5"/>
  <c r="AM330" i="5"/>
  <c r="AL330" i="5"/>
  <c r="AK330" i="5"/>
  <c r="AJ330" i="5"/>
  <c r="AI330" i="5"/>
  <c r="AH330" i="5"/>
  <c r="AG330" i="5"/>
  <c r="AF330" i="5"/>
  <c r="AE330" i="5"/>
  <c r="AD330" i="5"/>
  <c r="AC330" i="5"/>
  <c r="AB330" i="5"/>
  <c r="AA330" i="5"/>
  <c r="Z330" i="5"/>
  <c r="Y330" i="5"/>
  <c r="X330" i="5"/>
  <c r="W330" i="5"/>
  <c r="V330" i="5"/>
  <c r="U330" i="5"/>
  <c r="T330" i="5"/>
  <c r="S330" i="5"/>
  <c r="R330" i="5"/>
  <c r="Q330" i="5"/>
  <c r="P330" i="5"/>
  <c r="O330" i="5"/>
  <c r="N330" i="5"/>
  <c r="M330" i="5"/>
  <c r="L330" i="5"/>
  <c r="K330" i="5"/>
  <c r="J330" i="5"/>
  <c r="I330" i="5"/>
  <c r="H330" i="5"/>
  <c r="G330" i="5"/>
  <c r="F330" i="5"/>
  <c r="E330" i="5"/>
  <c r="D330" i="5"/>
  <c r="C329" i="5"/>
  <c r="C330" i="5" s="1"/>
  <c r="BF327" i="5"/>
  <c r="BE327" i="5"/>
  <c r="BD327" i="5"/>
  <c r="BC327" i="5"/>
  <c r="BB327" i="5"/>
  <c r="BA327" i="5"/>
  <c r="AZ327" i="5"/>
  <c r="AY327" i="5"/>
  <c r="AX327" i="5"/>
  <c r="AW327" i="5"/>
  <c r="AV327" i="5"/>
  <c r="AU327" i="5"/>
  <c r="AT327" i="5"/>
  <c r="AS327" i="5"/>
  <c r="AR327" i="5"/>
  <c r="AQ327" i="5"/>
  <c r="AP327" i="5"/>
  <c r="AO327" i="5"/>
  <c r="AN327" i="5"/>
  <c r="AM327" i="5"/>
  <c r="AL327" i="5"/>
  <c r="AK327" i="5"/>
  <c r="AJ327" i="5"/>
  <c r="AI327" i="5"/>
  <c r="AH327" i="5"/>
  <c r="AG327" i="5"/>
  <c r="AF327" i="5"/>
  <c r="AE327" i="5"/>
  <c r="AD327" i="5"/>
  <c r="AC327" i="5"/>
  <c r="AB327" i="5"/>
  <c r="AA327" i="5"/>
  <c r="Z327" i="5"/>
  <c r="Y327" i="5"/>
  <c r="X327" i="5"/>
  <c r="W327" i="5"/>
  <c r="V327" i="5"/>
  <c r="U327" i="5"/>
  <c r="T327" i="5"/>
  <c r="S327" i="5"/>
  <c r="R327" i="5"/>
  <c r="Q327" i="5"/>
  <c r="P327" i="5"/>
  <c r="O327" i="5"/>
  <c r="N327" i="5"/>
  <c r="L327" i="5"/>
  <c r="K327" i="5"/>
  <c r="J327" i="5"/>
  <c r="I327" i="5"/>
  <c r="H327" i="5"/>
  <c r="G327" i="5"/>
  <c r="F327" i="5"/>
  <c r="E327" i="5"/>
  <c r="D327" i="5"/>
  <c r="C326" i="5"/>
  <c r="C325" i="5"/>
  <c r="M324" i="5"/>
  <c r="C323" i="5"/>
  <c r="C322" i="5"/>
  <c r="BF317" i="5"/>
  <c r="BE317" i="5"/>
  <c r="BD317" i="5"/>
  <c r="BC317" i="5"/>
  <c r="BB317" i="5"/>
  <c r="BA317" i="5"/>
  <c r="AZ317" i="5"/>
  <c r="AY317" i="5"/>
  <c r="AX317" i="5"/>
  <c r="AW317" i="5"/>
  <c r="AV317" i="5"/>
  <c r="AU317" i="5"/>
  <c r="AT317" i="5"/>
  <c r="AS317" i="5"/>
  <c r="AR317" i="5"/>
  <c r="AQ317" i="5"/>
  <c r="AP317" i="5"/>
  <c r="AO317" i="5"/>
  <c r="AN317" i="5"/>
  <c r="AM317" i="5"/>
  <c r="AL317" i="5"/>
  <c r="AK317" i="5"/>
  <c r="AJ317" i="5"/>
  <c r="AI317" i="5"/>
  <c r="AH317" i="5"/>
  <c r="AG317" i="5"/>
  <c r="AF317" i="5"/>
  <c r="AE317" i="5"/>
  <c r="AD317" i="5"/>
  <c r="AC317" i="5"/>
  <c r="AB317" i="5"/>
  <c r="AA317" i="5"/>
  <c r="Z317" i="5"/>
  <c r="Y317" i="5"/>
  <c r="X317" i="5"/>
  <c r="W317" i="5"/>
  <c r="V317" i="5"/>
  <c r="U317" i="5"/>
  <c r="T317" i="5"/>
  <c r="S317" i="5"/>
  <c r="R317" i="5"/>
  <c r="Q317" i="5"/>
  <c r="P317" i="5"/>
  <c r="O317" i="5"/>
  <c r="N317" i="5"/>
  <c r="M317" i="5"/>
  <c r="L317" i="5"/>
  <c r="K317" i="5"/>
  <c r="J317" i="5"/>
  <c r="I317" i="5"/>
  <c r="H317" i="5"/>
  <c r="G317" i="5"/>
  <c r="F317" i="5"/>
  <c r="E317" i="5"/>
  <c r="D317" i="5"/>
  <c r="C316" i="5"/>
  <c r="C315" i="5"/>
  <c r="C314" i="5"/>
  <c r="C313" i="5"/>
  <c r="C312" i="5"/>
  <c r="BF310" i="5"/>
  <c r="BE310" i="5"/>
  <c r="BD310" i="5"/>
  <c r="BC310" i="5"/>
  <c r="BB310" i="5"/>
  <c r="BA310" i="5"/>
  <c r="AZ310" i="5"/>
  <c r="AY310" i="5"/>
  <c r="AX310" i="5"/>
  <c r="AW310" i="5"/>
  <c r="AV310" i="5"/>
  <c r="AU310" i="5"/>
  <c r="AT310" i="5"/>
  <c r="AS310" i="5"/>
  <c r="AR310" i="5"/>
  <c r="AQ310" i="5"/>
  <c r="AP310" i="5"/>
  <c r="AO310" i="5"/>
  <c r="AN310" i="5"/>
  <c r="AM310" i="5"/>
  <c r="AL310" i="5"/>
  <c r="AK310" i="5"/>
  <c r="AJ310" i="5"/>
  <c r="AI310" i="5"/>
  <c r="AH310" i="5"/>
  <c r="AG310" i="5"/>
  <c r="AF310" i="5"/>
  <c r="AE310" i="5"/>
  <c r="AD310" i="5"/>
  <c r="AC310" i="5"/>
  <c r="AB310" i="5"/>
  <c r="AA310" i="5"/>
  <c r="Z310" i="5"/>
  <c r="Y310" i="5"/>
  <c r="X310" i="5"/>
  <c r="W310" i="5"/>
  <c r="V310" i="5"/>
  <c r="U310" i="5"/>
  <c r="T310" i="5"/>
  <c r="S310" i="5"/>
  <c r="R310" i="5"/>
  <c r="Q310" i="5"/>
  <c r="P310" i="5"/>
  <c r="O310" i="5"/>
  <c r="N310" i="5"/>
  <c r="M310" i="5"/>
  <c r="K310" i="5"/>
  <c r="J310" i="5"/>
  <c r="I310" i="5"/>
  <c r="H310" i="5"/>
  <c r="G310" i="5"/>
  <c r="F310" i="5"/>
  <c r="E310" i="5"/>
  <c r="D310" i="5"/>
  <c r="C309" i="5"/>
  <c r="C308" i="5"/>
  <c r="C307" i="5"/>
  <c r="C306" i="5"/>
  <c r="C305" i="5"/>
  <c r="C304" i="5"/>
  <c r="C303" i="5"/>
  <c r="C302" i="5"/>
  <c r="L301" i="5"/>
  <c r="L310" i="5" s="1"/>
  <c r="C300" i="5"/>
  <c r="C299" i="5"/>
  <c r="C298" i="5"/>
  <c r="C297" i="5"/>
  <c r="BF289" i="5"/>
  <c r="BE289" i="5"/>
  <c r="BD289" i="5"/>
  <c r="BC289" i="5"/>
  <c r="BB289" i="5"/>
  <c r="BA289" i="5"/>
  <c r="AZ289" i="5"/>
  <c r="AY289" i="5"/>
  <c r="AX289" i="5"/>
  <c r="AW289" i="5"/>
  <c r="AV289" i="5"/>
  <c r="AU289" i="5"/>
  <c r="AT289" i="5"/>
  <c r="AS289" i="5"/>
  <c r="AR289" i="5"/>
  <c r="AQ289" i="5"/>
  <c r="AP289" i="5"/>
  <c r="AO289" i="5"/>
  <c r="AN289" i="5"/>
  <c r="AM289" i="5"/>
  <c r="AL289" i="5"/>
  <c r="AK289" i="5"/>
  <c r="AJ289" i="5"/>
  <c r="AI289" i="5"/>
  <c r="AH289" i="5"/>
  <c r="AG289" i="5"/>
  <c r="AF289" i="5"/>
  <c r="AE289" i="5"/>
  <c r="AD289" i="5"/>
  <c r="AC289" i="5"/>
  <c r="AB289" i="5"/>
  <c r="AA289" i="5"/>
  <c r="Z289" i="5"/>
  <c r="Y289" i="5"/>
  <c r="X289" i="5"/>
  <c r="W289" i="5"/>
  <c r="V289" i="5"/>
  <c r="U289" i="5"/>
  <c r="T289" i="5"/>
  <c r="R289" i="5"/>
  <c r="Q289" i="5"/>
  <c r="P289" i="5"/>
  <c r="O289" i="5"/>
  <c r="N289" i="5"/>
  <c r="M289" i="5"/>
  <c r="L289" i="5"/>
  <c r="K289" i="5"/>
  <c r="J289" i="5"/>
  <c r="I289" i="5"/>
  <c r="H289" i="5"/>
  <c r="G289" i="5"/>
  <c r="F289" i="5"/>
  <c r="E289" i="5"/>
  <c r="D289" i="5"/>
  <c r="C288" i="5"/>
  <c r="C287" i="5"/>
  <c r="C286" i="5"/>
  <c r="C285" i="5"/>
  <c r="C284" i="5"/>
  <c r="S283" i="5"/>
  <c r="S289" i="5" s="1"/>
  <c r="C282" i="5"/>
  <c r="C281" i="5"/>
  <c r="C280" i="5"/>
  <c r="BF277" i="5"/>
  <c r="BE277" i="5"/>
  <c r="BD277" i="5"/>
  <c r="BC277" i="5"/>
  <c r="BB277" i="5"/>
  <c r="BA277" i="5"/>
  <c r="AZ277" i="5"/>
  <c r="AY277" i="5"/>
  <c r="AX277" i="5"/>
  <c r="AW277" i="5"/>
  <c r="AV277" i="5"/>
  <c r="AU277" i="5"/>
  <c r="AT277" i="5"/>
  <c r="AS277" i="5"/>
  <c r="AR277" i="5"/>
  <c r="AQ277" i="5"/>
  <c r="AP277" i="5"/>
  <c r="AO277" i="5"/>
  <c r="AN277" i="5"/>
  <c r="AM277" i="5"/>
  <c r="AL277" i="5"/>
  <c r="AK277" i="5"/>
  <c r="AJ277" i="5"/>
  <c r="AI277" i="5"/>
  <c r="AH277" i="5"/>
  <c r="AG277" i="5"/>
  <c r="AF277" i="5"/>
  <c r="AE277" i="5"/>
  <c r="AD277" i="5"/>
  <c r="AC277" i="5"/>
  <c r="AB277" i="5"/>
  <c r="AA277" i="5"/>
  <c r="Z277" i="5"/>
  <c r="Y277" i="5"/>
  <c r="X277" i="5"/>
  <c r="W277" i="5"/>
  <c r="V277" i="5"/>
  <c r="U277" i="5"/>
  <c r="T277" i="5"/>
  <c r="S277" i="5"/>
  <c r="R277" i="5"/>
  <c r="Q277" i="5"/>
  <c r="P277" i="5"/>
  <c r="O277" i="5"/>
  <c r="N277" i="5"/>
  <c r="M277" i="5"/>
  <c r="L277" i="5"/>
  <c r="K277" i="5"/>
  <c r="J277" i="5"/>
  <c r="I277" i="5"/>
  <c r="H277" i="5"/>
  <c r="G277" i="5"/>
  <c r="F277" i="5"/>
  <c r="E277" i="5"/>
  <c r="D277" i="5"/>
  <c r="C276" i="5"/>
  <c r="C275" i="5"/>
  <c r="C274" i="5"/>
  <c r="C273" i="5"/>
  <c r="C272" i="5"/>
  <c r="C271" i="5"/>
  <c r="C270" i="5"/>
  <c r="C269" i="5"/>
  <c r="C268" i="5"/>
  <c r="C267" i="5"/>
  <c r="C266" i="5"/>
  <c r="C265" i="5"/>
  <c r="BF262" i="5"/>
  <c r="BF11" i="5" s="1"/>
  <c r="BE262" i="5"/>
  <c r="BD262" i="5"/>
  <c r="BC262" i="5"/>
  <c r="BC11" i="5" s="1"/>
  <c r="BB262" i="5"/>
  <c r="BB11" i="5" s="1"/>
  <c r="BA262" i="5"/>
  <c r="BA11" i="5" s="1"/>
  <c r="AZ262" i="5"/>
  <c r="AZ11" i="5" s="1"/>
  <c r="AY262" i="5"/>
  <c r="AY11" i="5" s="1"/>
  <c r="AX262" i="5"/>
  <c r="AX11" i="5" s="1"/>
  <c r="AW262" i="5"/>
  <c r="AW11" i="5" s="1"/>
  <c r="AV262" i="5"/>
  <c r="AV11" i="5" s="1"/>
  <c r="AU262" i="5"/>
  <c r="AU11" i="5" s="1"/>
  <c r="AT262" i="5"/>
  <c r="AT11" i="5" s="1"/>
  <c r="AS262" i="5"/>
  <c r="AS11" i="5" s="1"/>
  <c r="AR262" i="5"/>
  <c r="AR11" i="5" s="1"/>
  <c r="AQ262" i="5"/>
  <c r="AP262" i="5"/>
  <c r="AO262" i="5"/>
  <c r="AO11" i="5" s="1"/>
  <c r="AN262" i="5"/>
  <c r="AN11" i="5" s="1"/>
  <c r="AM262" i="5"/>
  <c r="AM11" i="5" s="1"/>
  <c r="AL262" i="5"/>
  <c r="AL11" i="5" s="1"/>
  <c r="AK262" i="5"/>
  <c r="AK11" i="5" s="1"/>
  <c r="AJ262" i="5"/>
  <c r="AJ11" i="5" s="1"/>
  <c r="AI262" i="5"/>
  <c r="AI11" i="5" s="1"/>
  <c r="AH262" i="5"/>
  <c r="AH11" i="5" s="1"/>
  <c r="AG262" i="5"/>
  <c r="AG11" i="5" s="1"/>
  <c r="AF262" i="5"/>
  <c r="AF11" i="5" s="1"/>
  <c r="AE262" i="5"/>
  <c r="AE11" i="5" s="1"/>
  <c r="AD262" i="5"/>
  <c r="AD11" i="5" s="1"/>
  <c r="AC262" i="5"/>
  <c r="AB262" i="5"/>
  <c r="AA262" i="5"/>
  <c r="AA11" i="5" s="1"/>
  <c r="Z262" i="5"/>
  <c r="Z11" i="5" s="1"/>
  <c r="Y262" i="5"/>
  <c r="Y11" i="5" s="1"/>
  <c r="X262" i="5"/>
  <c r="X11" i="5" s="1"/>
  <c r="W262" i="5"/>
  <c r="W11" i="5" s="1"/>
  <c r="V262" i="5"/>
  <c r="V11" i="5" s="1"/>
  <c r="U262" i="5"/>
  <c r="U11" i="5" s="1"/>
  <c r="T262" i="5"/>
  <c r="T11" i="5" s="1"/>
  <c r="S262" i="5"/>
  <c r="S11" i="5" s="1"/>
  <c r="R262" i="5"/>
  <c r="R11" i="5" s="1"/>
  <c r="Q262" i="5"/>
  <c r="Q11" i="5" s="1"/>
  <c r="P262" i="5"/>
  <c r="P11" i="5" s="1"/>
  <c r="O262" i="5"/>
  <c r="O11" i="5" s="1"/>
  <c r="N262" i="5"/>
  <c r="N11" i="5" s="1"/>
  <c r="M262" i="5"/>
  <c r="M11" i="5" s="1"/>
  <c r="L262" i="5"/>
  <c r="L11" i="5" s="1"/>
  <c r="K262" i="5"/>
  <c r="J262" i="5"/>
  <c r="J11" i="5" s="1"/>
  <c r="I262" i="5"/>
  <c r="I11" i="5" s="1"/>
  <c r="H262" i="5"/>
  <c r="H11" i="5" s="1"/>
  <c r="G262" i="5"/>
  <c r="G11" i="5" s="1"/>
  <c r="F262" i="5"/>
  <c r="F11" i="5" s="1"/>
  <c r="E262" i="5"/>
  <c r="E11" i="5" s="1"/>
  <c r="D262" i="5"/>
  <c r="D11" i="5" s="1"/>
  <c r="C261" i="5"/>
  <c r="C260" i="5"/>
  <c r="C259" i="5"/>
  <c r="C258" i="5"/>
  <c r="C257" i="5"/>
  <c r="C256" i="5"/>
  <c r="C255" i="5"/>
  <c r="Q254" i="5"/>
  <c r="Q7" i="5" s="1"/>
  <c r="M254" i="5"/>
  <c r="M7" i="5" s="1"/>
  <c r="D254" i="5"/>
  <c r="D7" i="5" s="1"/>
  <c r="BF249" i="5"/>
  <c r="BE249" i="5"/>
  <c r="BD249" i="5"/>
  <c r="BC249" i="5"/>
  <c r="BB249" i="5"/>
  <c r="BA249" i="5"/>
  <c r="AZ249" i="5"/>
  <c r="AY249" i="5"/>
  <c r="AX249" i="5"/>
  <c r="AW249" i="5"/>
  <c r="AV249" i="5"/>
  <c r="AU249" i="5"/>
  <c r="AT249" i="5"/>
  <c r="AS249" i="5"/>
  <c r="AR249" i="5"/>
  <c r="AQ249" i="5"/>
  <c r="AP249" i="5"/>
  <c r="AO249" i="5"/>
  <c r="AN249" i="5"/>
  <c r="AM249" i="5"/>
  <c r="AL249" i="5"/>
  <c r="AK249" i="5"/>
  <c r="AJ249" i="5"/>
  <c r="AI249" i="5"/>
  <c r="AH249" i="5"/>
  <c r="AG249" i="5"/>
  <c r="AF249" i="5"/>
  <c r="AE249" i="5"/>
  <c r="AD249" i="5"/>
  <c r="AC249" i="5"/>
  <c r="AB249" i="5"/>
  <c r="AA249" i="5"/>
  <c r="Z249" i="5"/>
  <c r="Y249" i="5"/>
  <c r="X249" i="5"/>
  <c r="W249" i="5"/>
  <c r="V249" i="5"/>
  <c r="U249" i="5"/>
  <c r="T249" i="5"/>
  <c r="S249" i="5"/>
  <c r="R249" i="5"/>
  <c r="Q249" i="5"/>
  <c r="P249" i="5"/>
  <c r="O249" i="5"/>
  <c r="N249" i="5"/>
  <c r="M249" i="5"/>
  <c r="L249" i="5"/>
  <c r="K249" i="5"/>
  <c r="J249" i="5"/>
  <c r="I249" i="5"/>
  <c r="H249" i="5"/>
  <c r="G249" i="5"/>
  <c r="F249" i="5"/>
  <c r="E249" i="5"/>
  <c r="D249" i="5"/>
  <c r="C248" i="5"/>
  <c r="C247" i="5"/>
  <c r="C246" i="5"/>
  <c r="C245" i="5"/>
  <c r="C244" i="5"/>
  <c r="C243" i="5"/>
  <c r="C242" i="5"/>
  <c r="C241" i="5"/>
  <c r="BF237" i="5"/>
  <c r="BE237" i="5"/>
  <c r="BD237" i="5"/>
  <c r="BC237" i="5"/>
  <c r="BB237" i="5"/>
  <c r="BA237" i="5"/>
  <c r="AZ237" i="5"/>
  <c r="AY237" i="5"/>
  <c r="AX237" i="5"/>
  <c r="AW237" i="5"/>
  <c r="AV237" i="5"/>
  <c r="AU237" i="5"/>
  <c r="AT237" i="5"/>
  <c r="AS237" i="5"/>
  <c r="AR237" i="5"/>
  <c r="AQ237" i="5"/>
  <c r="AP237" i="5"/>
  <c r="AO237" i="5"/>
  <c r="AN237" i="5"/>
  <c r="AM237" i="5"/>
  <c r="AL237" i="5"/>
  <c r="AK237" i="5"/>
  <c r="AJ237" i="5"/>
  <c r="AI237" i="5"/>
  <c r="AH237" i="5"/>
  <c r="AG237" i="5"/>
  <c r="AF237" i="5"/>
  <c r="AE237" i="5"/>
  <c r="AD237" i="5"/>
  <c r="AC237" i="5"/>
  <c r="AB237" i="5"/>
  <c r="AA237" i="5"/>
  <c r="Z237" i="5"/>
  <c r="Y237" i="5"/>
  <c r="X237" i="5"/>
  <c r="W237" i="5"/>
  <c r="V237" i="5"/>
  <c r="U237" i="5"/>
  <c r="T237" i="5"/>
  <c r="S237" i="5"/>
  <c r="R237" i="5"/>
  <c r="Q237" i="5"/>
  <c r="P237" i="5"/>
  <c r="O237" i="5"/>
  <c r="N237" i="5"/>
  <c r="M237" i="5"/>
  <c r="L237" i="5"/>
  <c r="K237" i="5"/>
  <c r="J237" i="5"/>
  <c r="I237" i="5"/>
  <c r="H237" i="5"/>
  <c r="G237" i="5"/>
  <c r="F237" i="5"/>
  <c r="E237" i="5"/>
  <c r="D237" i="5"/>
  <c r="C236" i="5"/>
  <c r="C235" i="5"/>
  <c r="BF232" i="5"/>
  <c r="BE232" i="5"/>
  <c r="BD232" i="5"/>
  <c r="BC232" i="5"/>
  <c r="BB232" i="5"/>
  <c r="BA232" i="5"/>
  <c r="AZ232" i="5"/>
  <c r="AY232" i="5"/>
  <c r="AX232" i="5"/>
  <c r="AW232" i="5"/>
  <c r="AV232" i="5"/>
  <c r="AU232" i="5"/>
  <c r="AT232" i="5"/>
  <c r="AS232" i="5"/>
  <c r="AR232" i="5"/>
  <c r="AQ232" i="5"/>
  <c r="AP232" i="5"/>
  <c r="AO232" i="5"/>
  <c r="AN232" i="5"/>
  <c r="AM232" i="5"/>
  <c r="AL232" i="5"/>
  <c r="AK232" i="5"/>
  <c r="AJ232" i="5"/>
  <c r="AI232" i="5"/>
  <c r="AH232" i="5"/>
  <c r="AG232" i="5"/>
  <c r="AF232" i="5"/>
  <c r="AE232" i="5"/>
  <c r="AD232" i="5"/>
  <c r="AC232" i="5"/>
  <c r="AB232" i="5"/>
  <c r="AA232" i="5"/>
  <c r="Z232" i="5"/>
  <c r="Y232" i="5"/>
  <c r="X232" i="5"/>
  <c r="W232" i="5"/>
  <c r="V232" i="5"/>
  <c r="U232" i="5"/>
  <c r="T232" i="5"/>
  <c r="S232" i="5"/>
  <c r="R232" i="5"/>
  <c r="Q232" i="5"/>
  <c r="P232" i="5"/>
  <c r="O232" i="5"/>
  <c r="N232" i="5"/>
  <c r="M232" i="5"/>
  <c r="L232" i="5"/>
  <c r="K232" i="5"/>
  <c r="J232" i="5"/>
  <c r="I232" i="5"/>
  <c r="H232" i="5"/>
  <c r="G232" i="5"/>
  <c r="F232" i="5"/>
  <c r="E232" i="5"/>
  <c r="D232" i="5"/>
  <c r="C231" i="5"/>
  <c r="C230" i="5"/>
  <c r="C229" i="5"/>
  <c r="C228" i="5"/>
  <c r="C227" i="5"/>
  <c r="BF224" i="5"/>
  <c r="BF46" i="5" s="1"/>
  <c r="BE224" i="5"/>
  <c r="BE46" i="5" s="1"/>
  <c r="BD224" i="5"/>
  <c r="BD46" i="5" s="1"/>
  <c r="BC224" i="5"/>
  <c r="BC46" i="5" s="1"/>
  <c r="BB224" i="5"/>
  <c r="BB46" i="5" s="1"/>
  <c r="BA224" i="5"/>
  <c r="BA46" i="5" s="1"/>
  <c r="AZ224" i="5"/>
  <c r="AZ46" i="5" s="1"/>
  <c r="AY224" i="5"/>
  <c r="AY46" i="5" s="1"/>
  <c r="AX224" i="5"/>
  <c r="AX46" i="5" s="1"/>
  <c r="AW224" i="5"/>
  <c r="AW46" i="5" s="1"/>
  <c r="AV224" i="5"/>
  <c r="AV46" i="5" s="1"/>
  <c r="AU224" i="5"/>
  <c r="AU46" i="5" s="1"/>
  <c r="AT224" i="5"/>
  <c r="AT46" i="5" s="1"/>
  <c r="AS224" i="5"/>
  <c r="AS46" i="5" s="1"/>
  <c r="AR224" i="5"/>
  <c r="AR46" i="5" s="1"/>
  <c r="AQ224" i="5"/>
  <c r="AQ46" i="5" s="1"/>
  <c r="AP224" i="5"/>
  <c r="AP46" i="5" s="1"/>
  <c r="AO224" i="5"/>
  <c r="AO46" i="5" s="1"/>
  <c r="AN224" i="5"/>
  <c r="AN46" i="5" s="1"/>
  <c r="AM224" i="5"/>
  <c r="AM46" i="5" s="1"/>
  <c r="AL224" i="5"/>
  <c r="AL46" i="5" s="1"/>
  <c r="AK224" i="5"/>
  <c r="AK46" i="5" s="1"/>
  <c r="AJ224" i="5"/>
  <c r="AJ46" i="5" s="1"/>
  <c r="AI224" i="5"/>
  <c r="AI46" i="5" s="1"/>
  <c r="AH224" i="5"/>
  <c r="AH46" i="5" s="1"/>
  <c r="AG224" i="5"/>
  <c r="AG46" i="5" s="1"/>
  <c r="AF224" i="5"/>
  <c r="AF46" i="5" s="1"/>
  <c r="AE224" i="5"/>
  <c r="AE46" i="5" s="1"/>
  <c r="AD224" i="5"/>
  <c r="AD46" i="5" s="1"/>
  <c r="AC224" i="5"/>
  <c r="AC46" i="5" s="1"/>
  <c r="AB224" i="5"/>
  <c r="AB46" i="5" s="1"/>
  <c r="AA224" i="5"/>
  <c r="AA46" i="5" s="1"/>
  <c r="Z224" i="5"/>
  <c r="Z46" i="5" s="1"/>
  <c r="Y224" i="5"/>
  <c r="Y46" i="5" s="1"/>
  <c r="X224" i="5"/>
  <c r="X46" i="5" s="1"/>
  <c r="W224" i="5"/>
  <c r="W46" i="5" s="1"/>
  <c r="V224" i="5"/>
  <c r="V46" i="5" s="1"/>
  <c r="U224" i="5"/>
  <c r="U46" i="5" s="1"/>
  <c r="T224" i="5"/>
  <c r="T46" i="5" s="1"/>
  <c r="S224" i="5"/>
  <c r="S46" i="5" s="1"/>
  <c r="R224" i="5"/>
  <c r="R46" i="5" s="1"/>
  <c r="Q224" i="5"/>
  <c r="Q46" i="5" s="1"/>
  <c r="P224" i="5"/>
  <c r="P46" i="5" s="1"/>
  <c r="O224" i="5"/>
  <c r="O46" i="5" s="1"/>
  <c r="N224" i="5"/>
  <c r="N46" i="5" s="1"/>
  <c r="M224" i="5"/>
  <c r="M46" i="5" s="1"/>
  <c r="L224" i="5"/>
  <c r="L46" i="5" s="1"/>
  <c r="K224" i="5"/>
  <c r="K46" i="5" s="1"/>
  <c r="J224" i="5"/>
  <c r="J46" i="5" s="1"/>
  <c r="I224" i="5"/>
  <c r="I46" i="5" s="1"/>
  <c r="H224" i="5"/>
  <c r="H46" i="5" s="1"/>
  <c r="G224" i="5"/>
  <c r="G46" i="5" s="1"/>
  <c r="F224" i="5"/>
  <c r="F46" i="5" s="1"/>
  <c r="E224" i="5"/>
  <c r="E46" i="5" s="1"/>
  <c r="D224" i="5"/>
  <c r="D46" i="5" s="1"/>
  <c r="C223" i="5"/>
  <c r="C222" i="5"/>
  <c r="C221" i="5"/>
  <c r="C220" i="5"/>
  <c r="BF215" i="5"/>
  <c r="BE215" i="5"/>
  <c r="BD215" i="5"/>
  <c r="BC215" i="5"/>
  <c r="BB215" i="5"/>
  <c r="BA215" i="5"/>
  <c r="AZ215" i="5"/>
  <c r="AY215" i="5"/>
  <c r="AX215" i="5"/>
  <c r="AW215" i="5"/>
  <c r="AV215" i="5"/>
  <c r="AU215" i="5"/>
  <c r="AT215" i="5"/>
  <c r="AS215" i="5"/>
  <c r="AR215" i="5"/>
  <c r="AQ215" i="5"/>
  <c r="AP215" i="5"/>
  <c r="AO215" i="5"/>
  <c r="AN215" i="5"/>
  <c r="AM215" i="5"/>
  <c r="AL215" i="5"/>
  <c r="AK215" i="5"/>
  <c r="AJ215" i="5"/>
  <c r="AI215" i="5"/>
  <c r="AH215" i="5"/>
  <c r="AG215" i="5"/>
  <c r="AF215" i="5"/>
  <c r="AE215" i="5"/>
  <c r="AD215" i="5"/>
  <c r="AC215" i="5"/>
  <c r="AB215" i="5"/>
  <c r="AA215" i="5"/>
  <c r="Z215" i="5"/>
  <c r="Y215" i="5"/>
  <c r="X215" i="5"/>
  <c r="W215" i="5"/>
  <c r="V215" i="5"/>
  <c r="U215" i="5"/>
  <c r="T215" i="5"/>
  <c r="S215" i="5"/>
  <c r="R215" i="5"/>
  <c r="Q215" i="5"/>
  <c r="P215" i="5"/>
  <c r="O215" i="5"/>
  <c r="N215" i="5"/>
  <c r="M215" i="5"/>
  <c r="L215" i="5"/>
  <c r="K215" i="5"/>
  <c r="J215" i="5"/>
  <c r="I215" i="5"/>
  <c r="H215" i="5"/>
  <c r="G215" i="5"/>
  <c r="F215" i="5"/>
  <c r="E215" i="5"/>
  <c r="D215" i="5"/>
  <c r="C214" i="5"/>
  <c r="C213" i="5"/>
  <c r="BF211" i="5"/>
  <c r="BE211" i="5"/>
  <c r="BD211" i="5"/>
  <c r="BC211" i="5"/>
  <c r="BB211" i="5"/>
  <c r="BA211" i="5"/>
  <c r="AZ211" i="5"/>
  <c r="AY211" i="5"/>
  <c r="AX211" i="5"/>
  <c r="AW211" i="5"/>
  <c r="AV211" i="5"/>
  <c r="AU211" i="5"/>
  <c r="AT211" i="5"/>
  <c r="AS211" i="5"/>
  <c r="AR211" i="5"/>
  <c r="AQ211" i="5"/>
  <c r="AP211" i="5"/>
  <c r="AO211" i="5"/>
  <c r="AN211" i="5"/>
  <c r="AM211" i="5"/>
  <c r="AL211" i="5"/>
  <c r="AK211" i="5"/>
  <c r="AJ211" i="5"/>
  <c r="AI211" i="5"/>
  <c r="AH211" i="5"/>
  <c r="AG211" i="5"/>
  <c r="AF211" i="5"/>
  <c r="AE211" i="5"/>
  <c r="AD211" i="5"/>
  <c r="AC211" i="5"/>
  <c r="AB211" i="5"/>
  <c r="AA211" i="5"/>
  <c r="Z211" i="5"/>
  <c r="Y211" i="5"/>
  <c r="X211" i="5"/>
  <c r="W211" i="5"/>
  <c r="V211" i="5"/>
  <c r="U211" i="5"/>
  <c r="T211" i="5"/>
  <c r="S211" i="5"/>
  <c r="R211" i="5"/>
  <c r="Q211" i="5"/>
  <c r="P211" i="5"/>
  <c r="O211" i="5"/>
  <c r="N211" i="5"/>
  <c r="M211" i="5"/>
  <c r="L211" i="5"/>
  <c r="K211" i="5"/>
  <c r="J211" i="5"/>
  <c r="I211" i="5"/>
  <c r="H211" i="5"/>
  <c r="G211" i="5"/>
  <c r="F211" i="5"/>
  <c r="E211" i="5"/>
  <c r="D211" i="5"/>
  <c r="C210" i="5"/>
  <c r="C209" i="5"/>
  <c r="BF207" i="5"/>
  <c r="BE207" i="5"/>
  <c r="BD207" i="5"/>
  <c r="BC207" i="5"/>
  <c r="BB207" i="5"/>
  <c r="BA207" i="5"/>
  <c r="AZ207" i="5"/>
  <c r="AY207" i="5"/>
  <c r="AX207" i="5"/>
  <c r="AW207" i="5"/>
  <c r="AV207" i="5"/>
  <c r="AU207" i="5"/>
  <c r="AT207" i="5"/>
  <c r="AS207" i="5"/>
  <c r="AR207" i="5"/>
  <c r="AQ207" i="5"/>
  <c r="AP207" i="5"/>
  <c r="AO207" i="5"/>
  <c r="AN207" i="5"/>
  <c r="AM207" i="5"/>
  <c r="AL207" i="5"/>
  <c r="AK207" i="5"/>
  <c r="AJ207" i="5"/>
  <c r="AI207" i="5"/>
  <c r="AH207" i="5"/>
  <c r="AG207" i="5"/>
  <c r="AF207" i="5"/>
  <c r="AE207" i="5"/>
  <c r="AD207" i="5"/>
  <c r="AC207" i="5"/>
  <c r="AB207" i="5"/>
  <c r="AA207" i="5"/>
  <c r="Z207" i="5"/>
  <c r="Y207" i="5"/>
  <c r="X207" i="5"/>
  <c r="W207" i="5"/>
  <c r="V207" i="5"/>
  <c r="U207" i="5"/>
  <c r="T207" i="5"/>
  <c r="S207" i="5"/>
  <c r="R207" i="5"/>
  <c r="Q207" i="5"/>
  <c r="P207" i="5"/>
  <c r="O207" i="5"/>
  <c r="N207" i="5"/>
  <c r="M207" i="5"/>
  <c r="L207" i="5"/>
  <c r="K207" i="5"/>
  <c r="J207" i="5"/>
  <c r="I207" i="5"/>
  <c r="H207" i="5"/>
  <c r="G207" i="5"/>
  <c r="F207" i="5"/>
  <c r="E207" i="5"/>
  <c r="D207" i="5"/>
  <c r="C206" i="5"/>
  <c r="C205" i="5"/>
  <c r="BF203" i="5"/>
  <c r="BE203" i="5"/>
  <c r="BD203" i="5"/>
  <c r="BC203" i="5"/>
  <c r="BB203" i="5"/>
  <c r="BA203" i="5"/>
  <c r="AZ203" i="5"/>
  <c r="AY203" i="5"/>
  <c r="AX203" i="5"/>
  <c r="AW203" i="5"/>
  <c r="AV203" i="5"/>
  <c r="AU203" i="5"/>
  <c r="AT203" i="5"/>
  <c r="AS203" i="5"/>
  <c r="AR203" i="5"/>
  <c r="AQ203" i="5"/>
  <c r="AP203" i="5"/>
  <c r="AO203" i="5"/>
  <c r="AN203" i="5"/>
  <c r="AM203" i="5"/>
  <c r="AL203" i="5"/>
  <c r="AK203" i="5"/>
  <c r="AJ203" i="5"/>
  <c r="AI203" i="5"/>
  <c r="AH203" i="5"/>
  <c r="AG203" i="5"/>
  <c r="AF203" i="5"/>
  <c r="AE203" i="5"/>
  <c r="AD203" i="5"/>
  <c r="AC203" i="5"/>
  <c r="AB203" i="5"/>
  <c r="AA203" i="5"/>
  <c r="Z203" i="5"/>
  <c r="Y203" i="5"/>
  <c r="X203" i="5"/>
  <c r="W203" i="5"/>
  <c r="V203" i="5"/>
  <c r="U203" i="5"/>
  <c r="T203" i="5"/>
  <c r="S203" i="5"/>
  <c r="R203" i="5"/>
  <c r="Q203" i="5"/>
  <c r="P203" i="5"/>
  <c r="O203" i="5"/>
  <c r="N203" i="5"/>
  <c r="M203" i="5"/>
  <c r="L203" i="5"/>
  <c r="K203" i="5"/>
  <c r="J203" i="5"/>
  <c r="I203" i="5"/>
  <c r="H203" i="5"/>
  <c r="G203" i="5"/>
  <c r="F203" i="5"/>
  <c r="E203" i="5"/>
  <c r="D203" i="5"/>
  <c r="C202" i="5"/>
  <c r="C201" i="5"/>
  <c r="BF199" i="5"/>
  <c r="BE199" i="5"/>
  <c r="BD199" i="5"/>
  <c r="BC199" i="5"/>
  <c r="BB199" i="5"/>
  <c r="BA199" i="5"/>
  <c r="AZ199" i="5"/>
  <c r="AY199" i="5"/>
  <c r="AX199" i="5"/>
  <c r="AW199" i="5"/>
  <c r="AV199" i="5"/>
  <c r="AU199" i="5"/>
  <c r="AT199" i="5"/>
  <c r="AS199" i="5"/>
  <c r="AR199" i="5"/>
  <c r="AQ199" i="5"/>
  <c r="AP199" i="5"/>
  <c r="AO199" i="5"/>
  <c r="AN199" i="5"/>
  <c r="AM199" i="5"/>
  <c r="AL199" i="5"/>
  <c r="AK199" i="5"/>
  <c r="AJ199" i="5"/>
  <c r="AI199" i="5"/>
  <c r="AH199" i="5"/>
  <c r="AG199" i="5"/>
  <c r="AF199" i="5"/>
  <c r="AE199" i="5"/>
  <c r="AD199" i="5"/>
  <c r="AC199" i="5"/>
  <c r="AB199" i="5"/>
  <c r="AA199" i="5"/>
  <c r="Z199" i="5"/>
  <c r="Y199" i="5"/>
  <c r="X199" i="5"/>
  <c r="W199" i="5"/>
  <c r="V199" i="5"/>
  <c r="U199" i="5"/>
  <c r="T199" i="5"/>
  <c r="S199" i="5"/>
  <c r="R199" i="5"/>
  <c r="Q199" i="5"/>
  <c r="P199" i="5"/>
  <c r="O199" i="5"/>
  <c r="N199" i="5"/>
  <c r="M199" i="5"/>
  <c r="L199" i="5"/>
  <c r="K199" i="5"/>
  <c r="J199" i="5"/>
  <c r="I199" i="5"/>
  <c r="H199" i="5"/>
  <c r="G199" i="5"/>
  <c r="F199" i="5"/>
  <c r="E199" i="5"/>
  <c r="D199" i="5"/>
  <c r="C198" i="5"/>
  <c r="C197" i="5"/>
  <c r="BF190" i="5"/>
  <c r="BE190" i="5"/>
  <c r="BD190" i="5"/>
  <c r="BC190" i="5"/>
  <c r="BB190" i="5"/>
  <c r="BA190" i="5"/>
  <c r="AZ190" i="5"/>
  <c r="AY190" i="5"/>
  <c r="AX190" i="5"/>
  <c r="AW190" i="5"/>
  <c r="AV190" i="5"/>
  <c r="AU190" i="5"/>
  <c r="AT190" i="5"/>
  <c r="AS190" i="5"/>
  <c r="AR190" i="5"/>
  <c r="AQ190" i="5"/>
  <c r="AP190" i="5"/>
  <c r="AO190" i="5"/>
  <c r="AN190" i="5"/>
  <c r="AM190" i="5"/>
  <c r="AL190" i="5"/>
  <c r="AK190" i="5"/>
  <c r="AJ190" i="5"/>
  <c r="AI190" i="5"/>
  <c r="AH190" i="5"/>
  <c r="AG190" i="5"/>
  <c r="AF190" i="5"/>
  <c r="AE190" i="5"/>
  <c r="AD190" i="5"/>
  <c r="AC190" i="5"/>
  <c r="AB190" i="5"/>
  <c r="AA190" i="5"/>
  <c r="Z190" i="5"/>
  <c r="Y190" i="5"/>
  <c r="X190" i="5"/>
  <c r="W190" i="5"/>
  <c r="V190" i="5"/>
  <c r="U190" i="5"/>
  <c r="T190" i="5"/>
  <c r="S190" i="5"/>
  <c r="R190" i="5"/>
  <c r="Q190" i="5"/>
  <c r="P190" i="5"/>
  <c r="O190" i="5"/>
  <c r="N190" i="5"/>
  <c r="M190" i="5"/>
  <c r="L190" i="5"/>
  <c r="K190" i="5"/>
  <c r="J190" i="5"/>
  <c r="I190" i="5"/>
  <c r="H190" i="5"/>
  <c r="G190" i="5"/>
  <c r="F190" i="5"/>
  <c r="E190" i="5"/>
  <c r="D190" i="5"/>
  <c r="C189" i="5"/>
  <c r="C190" i="5" s="1"/>
  <c r="BF187" i="5"/>
  <c r="BE187" i="5"/>
  <c r="BD187" i="5"/>
  <c r="BC187" i="5"/>
  <c r="BB187" i="5"/>
  <c r="BA187" i="5"/>
  <c r="AZ187" i="5"/>
  <c r="AY187" i="5"/>
  <c r="AX187" i="5"/>
  <c r="AW187" i="5"/>
  <c r="AV187" i="5"/>
  <c r="AU187" i="5"/>
  <c r="AT187" i="5"/>
  <c r="AS187" i="5"/>
  <c r="AR187" i="5"/>
  <c r="AQ187" i="5"/>
  <c r="AP187" i="5"/>
  <c r="AO187" i="5"/>
  <c r="AN187" i="5"/>
  <c r="AM187" i="5"/>
  <c r="AL187" i="5"/>
  <c r="AK187" i="5"/>
  <c r="AJ187" i="5"/>
  <c r="AI187" i="5"/>
  <c r="AH187" i="5"/>
  <c r="AG187" i="5"/>
  <c r="AF187" i="5"/>
  <c r="AE187" i="5"/>
  <c r="AD187" i="5"/>
  <c r="AC187" i="5"/>
  <c r="AB187" i="5"/>
  <c r="AA187" i="5"/>
  <c r="Z187" i="5"/>
  <c r="Y187" i="5"/>
  <c r="X187" i="5"/>
  <c r="W187" i="5"/>
  <c r="V187" i="5"/>
  <c r="U187" i="5"/>
  <c r="T187" i="5"/>
  <c r="S187" i="5"/>
  <c r="R187" i="5"/>
  <c r="Q187" i="5"/>
  <c r="P187" i="5"/>
  <c r="O187" i="5"/>
  <c r="N187" i="5"/>
  <c r="M187" i="5"/>
  <c r="L187" i="5"/>
  <c r="K187" i="5"/>
  <c r="J187" i="5"/>
  <c r="I187" i="5"/>
  <c r="H187" i="5"/>
  <c r="G187" i="5"/>
  <c r="F187" i="5"/>
  <c r="E187" i="5"/>
  <c r="D187" i="5"/>
  <c r="C186" i="5"/>
  <c r="C185" i="5"/>
  <c r="C184" i="5"/>
  <c r="C183" i="5"/>
  <c r="C182" i="5"/>
  <c r="BF179" i="5"/>
  <c r="BE179" i="5"/>
  <c r="BD179" i="5"/>
  <c r="BC179" i="5"/>
  <c r="BB179" i="5"/>
  <c r="BA179" i="5"/>
  <c r="AZ179" i="5"/>
  <c r="AY179" i="5"/>
  <c r="AV179" i="5"/>
  <c r="AU179" i="5"/>
  <c r="AT179" i="5"/>
  <c r="AS179" i="5"/>
  <c r="AR179" i="5"/>
  <c r="AQ179" i="5"/>
  <c r="AP179" i="5"/>
  <c r="AO179" i="5"/>
  <c r="AN179" i="5"/>
  <c r="AM179" i="5"/>
  <c r="AL179" i="5"/>
  <c r="AK179" i="5"/>
  <c r="AJ179" i="5"/>
  <c r="AI179" i="5"/>
  <c r="AH179" i="5"/>
  <c r="AG179" i="5"/>
  <c r="AF179" i="5"/>
  <c r="AE179" i="5"/>
  <c r="AD179" i="5"/>
  <c r="AC179" i="5"/>
  <c r="AB179" i="5"/>
  <c r="AA179" i="5"/>
  <c r="Z179" i="5"/>
  <c r="Y179" i="5"/>
  <c r="X179" i="5"/>
  <c r="W179" i="5"/>
  <c r="V179" i="5"/>
  <c r="U179" i="5"/>
  <c r="T179" i="5"/>
  <c r="S179" i="5"/>
  <c r="R179" i="5"/>
  <c r="Q179" i="5"/>
  <c r="P179" i="5"/>
  <c r="O179" i="5"/>
  <c r="N179" i="5"/>
  <c r="M179" i="5"/>
  <c r="L179" i="5"/>
  <c r="K179" i="5"/>
  <c r="J179" i="5"/>
  <c r="I179" i="5"/>
  <c r="H179" i="5"/>
  <c r="G179" i="5"/>
  <c r="F179" i="5"/>
  <c r="E179" i="5"/>
  <c r="D179" i="5"/>
  <c r="AX178" i="5"/>
  <c r="AW178" i="5"/>
  <c r="C177" i="5"/>
  <c r="C176" i="5"/>
  <c r="AX175" i="5"/>
  <c r="AW175" i="5"/>
  <c r="BF170" i="5"/>
  <c r="BE170" i="5"/>
  <c r="BD170" i="5"/>
  <c r="BC170" i="5"/>
  <c r="BB170" i="5"/>
  <c r="BA170" i="5"/>
  <c r="AZ170" i="5"/>
  <c r="AY170" i="5"/>
  <c r="AX170" i="5"/>
  <c r="AW170" i="5"/>
  <c r="AV170" i="5"/>
  <c r="AU170" i="5"/>
  <c r="AT170" i="5"/>
  <c r="AS170" i="5"/>
  <c r="AR170" i="5"/>
  <c r="AQ170" i="5"/>
  <c r="AP170" i="5"/>
  <c r="AO170" i="5"/>
  <c r="AN170" i="5"/>
  <c r="AM170" i="5"/>
  <c r="AL170" i="5"/>
  <c r="AK170" i="5"/>
  <c r="AJ170" i="5"/>
  <c r="AI170" i="5"/>
  <c r="AH170" i="5"/>
  <c r="AG170" i="5"/>
  <c r="AF170" i="5"/>
  <c r="AE170" i="5"/>
  <c r="AD170" i="5"/>
  <c r="AC170" i="5"/>
  <c r="AB170" i="5"/>
  <c r="AA170" i="5"/>
  <c r="Z170" i="5"/>
  <c r="Y170" i="5"/>
  <c r="X170" i="5"/>
  <c r="W170" i="5"/>
  <c r="V170" i="5"/>
  <c r="U170" i="5"/>
  <c r="T170" i="5"/>
  <c r="S170" i="5"/>
  <c r="R170" i="5"/>
  <c r="Q170" i="5"/>
  <c r="P170" i="5"/>
  <c r="O170" i="5"/>
  <c r="N170" i="5"/>
  <c r="M170" i="5"/>
  <c r="L170" i="5"/>
  <c r="K170" i="5"/>
  <c r="J170" i="5"/>
  <c r="I170" i="5"/>
  <c r="H170" i="5"/>
  <c r="G170" i="5"/>
  <c r="F170" i="5"/>
  <c r="E170" i="5"/>
  <c r="D170" i="5"/>
  <c r="C169" i="5"/>
  <c r="C168" i="5"/>
  <c r="BF166" i="5"/>
  <c r="BE166" i="5"/>
  <c r="BD166" i="5"/>
  <c r="BC166" i="5"/>
  <c r="BB166" i="5"/>
  <c r="BA166" i="5"/>
  <c r="AZ166" i="5"/>
  <c r="AY166" i="5"/>
  <c r="AV166" i="5"/>
  <c r="AU166" i="5"/>
  <c r="AT166" i="5"/>
  <c r="AS166" i="5"/>
  <c r="AR166" i="5"/>
  <c r="AQ166" i="5"/>
  <c r="AP166" i="5"/>
  <c r="AO166" i="5"/>
  <c r="AN166" i="5"/>
  <c r="AM166" i="5"/>
  <c r="AL166" i="5"/>
  <c r="AK166" i="5"/>
  <c r="AJ166" i="5"/>
  <c r="AI166" i="5"/>
  <c r="AH166" i="5"/>
  <c r="AG166" i="5"/>
  <c r="AF166" i="5"/>
  <c r="AE166" i="5"/>
  <c r="AD166" i="5"/>
  <c r="AC166" i="5"/>
  <c r="AB166" i="5"/>
  <c r="AA166" i="5"/>
  <c r="Z166" i="5"/>
  <c r="Y166" i="5"/>
  <c r="X166" i="5"/>
  <c r="W166" i="5"/>
  <c r="V166" i="5"/>
  <c r="U166" i="5"/>
  <c r="T166" i="5"/>
  <c r="S166" i="5"/>
  <c r="R166" i="5"/>
  <c r="Q166" i="5"/>
  <c r="P166" i="5"/>
  <c r="O166" i="5"/>
  <c r="N166" i="5"/>
  <c r="M166" i="5"/>
  <c r="L166" i="5"/>
  <c r="K166" i="5"/>
  <c r="J166" i="5"/>
  <c r="I166" i="5"/>
  <c r="H166" i="5"/>
  <c r="G166" i="5"/>
  <c r="F166" i="5"/>
  <c r="E166" i="5"/>
  <c r="D166" i="5"/>
  <c r="C165" i="5"/>
  <c r="C164" i="5"/>
  <c r="C163" i="5"/>
  <c r="AX162" i="5"/>
  <c r="AX166" i="5" s="1"/>
  <c r="AW162" i="5"/>
  <c r="C161" i="5"/>
  <c r="BF158" i="5"/>
  <c r="BE158" i="5"/>
  <c r="BD158" i="5"/>
  <c r="BC158" i="5"/>
  <c r="BB158" i="5"/>
  <c r="BA158" i="5"/>
  <c r="AZ158" i="5"/>
  <c r="AY158" i="5"/>
  <c r="AX158" i="5"/>
  <c r="AV158" i="5"/>
  <c r="AU158" i="5"/>
  <c r="AT158" i="5"/>
  <c r="AS158" i="5"/>
  <c r="AR158" i="5"/>
  <c r="AQ158" i="5"/>
  <c r="AP158" i="5"/>
  <c r="AO158" i="5"/>
  <c r="AN158" i="5"/>
  <c r="AM158" i="5"/>
  <c r="AL158" i="5"/>
  <c r="AK158" i="5"/>
  <c r="AJ158" i="5"/>
  <c r="AI158" i="5"/>
  <c r="AH158" i="5"/>
  <c r="AG158" i="5"/>
  <c r="AF158" i="5"/>
  <c r="AE158" i="5"/>
  <c r="AD158" i="5"/>
  <c r="AC158" i="5"/>
  <c r="AB158" i="5"/>
  <c r="AA158" i="5"/>
  <c r="Z158" i="5"/>
  <c r="Y158" i="5"/>
  <c r="X158" i="5"/>
  <c r="W158" i="5"/>
  <c r="V158" i="5"/>
  <c r="U158" i="5"/>
  <c r="T158" i="5"/>
  <c r="S158" i="5"/>
  <c r="R158" i="5"/>
  <c r="Q158" i="5"/>
  <c r="P158" i="5"/>
  <c r="O158" i="5"/>
  <c r="N158" i="5"/>
  <c r="M158" i="5"/>
  <c r="L158" i="5"/>
  <c r="K158" i="5"/>
  <c r="J158" i="5"/>
  <c r="I158" i="5"/>
  <c r="H158" i="5"/>
  <c r="G158" i="5"/>
  <c r="F158" i="5"/>
  <c r="E158" i="5"/>
  <c r="D158" i="5"/>
  <c r="C157" i="5"/>
  <c r="C156" i="5"/>
  <c r="AW155" i="5"/>
  <c r="C155" i="5" s="1"/>
  <c r="AW154" i="5"/>
  <c r="C154" i="5" s="1"/>
  <c r="C153" i="5"/>
  <c r="AW152" i="5"/>
  <c r="C152" i="5" s="1"/>
  <c r="C151" i="5"/>
  <c r="AW150" i="5"/>
  <c r="C150" i="5" s="1"/>
  <c r="C149" i="5"/>
  <c r="C148" i="5"/>
  <c r="C147" i="5"/>
  <c r="C146" i="5"/>
  <c r="BF143" i="5"/>
  <c r="BE143" i="5"/>
  <c r="BD143" i="5"/>
  <c r="BC143" i="5"/>
  <c r="BB143" i="5"/>
  <c r="BA143" i="5"/>
  <c r="AZ143" i="5"/>
  <c r="AY143" i="5"/>
  <c r="AX143" i="5"/>
  <c r="AW143" i="5"/>
  <c r="AV143" i="5"/>
  <c r="AU143" i="5"/>
  <c r="AT143" i="5"/>
  <c r="AS143" i="5"/>
  <c r="AR143" i="5"/>
  <c r="AQ143" i="5"/>
  <c r="AP143" i="5"/>
  <c r="AO143" i="5"/>
  <c r="AN143" i="5"/>
  <c r="AM143" i="5"/>
  <c r="AL143" i="5"/>
  <c r="AK143" i="5"/>
  <c r="AJ143" i="5"/>
  <c r="AI143" i="5"/>
  <c r="AH143" i="5"/>
  <c r="AG143" i="5"/>
  <c r="AF143" i="5"/>
  <c r="AE143" i="5"/>
  <c r="AD143" i="5"/>
  <c r="AC143" i="5"/>
  <c r="AB143" i="5"/>
  <c r="AA143" i="5"/>
  <c r="Z143" i="5"/>
  <c r="Y143" i="5"/>
  <c r="X143" i="5"/>
  <c r="W143" i="5"/>
  <c r="V143" i="5"/>
  <c r="U143" i="5"/>
  <c r="T143" i="5"/>
  <c r="S143" i="5"/>
  <c r="R143" i="5"/>
  <c r="Q143" i="5"/>
  <c r="P143" i="5"/>
  <c r="O143" i="5"/>
  <c r="N143" i="5"/>
  <c r="M143" i="5"/>
  <c r="L143" i="5"/>
  <c r="K143" i="5"/>
  <c r="J143" i="5"/>
  <c r="I143" i="5"/>
  <c r="H143" i="5"/>
  <c r="G143" i="5"/>
  <c r="F143" i="5"/>
  <c r="E143" i="5"/>
  <c r="D143" i="5"/>
  <c r="C142" i="5"/>
  <c r="C141" i="5"/>
  <c r="C140" i="5"/>
  <c r="C139" i="5"/>
  <c r="C138" i="5"/>
  <c r="C137" i="5"/>
  <c r="C136" i="5"/>
  <c r="C135" i="5"/>
  <c r="C134" i="5"/>
  <c r="C133" i="5"/>
  <c r="C132" i="5"/>
  <c r="C131" i="5"/>
  <c r="C130" i="5"/>
  <c r="C129" i="5"/>
  <c r="C128" i="5"/>
  <c r="BF125" i="5"/>
  <c r="BE125" i="5"/>
  <c r="BD125" i="5"/>
  <c r="BC125" i="5"/>
  <c r="BB125" i="5"/>
  <c r="BA125" i="5"/>
  <c r="AZ125" i="5"/>
  <c r="AY125" i="5"/>
  <c r="AX125" i="5"/>
  <c r="AW125" i="5"/>
  <c r="AV125" i="5"/>
  <c r="AU125" i="5"/>
  <c r="AT125" i="5"/>
  <c r="AS125" i="5"/>
  <c r="AR125" i="5"/>
  <c r="AQ125" i="5"/>
  <c r="AP125" i="5"/>
  <c r="AO125" i="5"/>
  <c r="AN125" i="5"/>
  <c r="AM125" i="5"/>
  <c r="AL125" i="5"/>
  <c r="AK125" i="5"/>
  <c r="AJ125" i="5"/>
  <c r="AI125" i="5"/>
  <c r="AH125" i="5"/>
  <c r="AG125" i="5"/>
  <c r="AF125" i="5"/>
  <c r="AE125" i="5"/>
  <c r="AD125" i="5"/>
  <c r="AC125" i="5"/>
  <c r="AB125" i="5"/>
  <c r="AA125" i="5"/>
  <c r="Z125" i="5"/>
  <c r="Y125" i="5"/>
  <c r="X125" i="5"/>
  <c r="W125" i="5"/>
  <c r="V125" i="5"/>
  <c r="U125" i="5"/>
  <c r="T125" i="5"/>
  <c r="S125" i="5"/>
  <c r="R125" i="5"/>
  <c r="Q125" i="5"/>
  <c r="P125" i="5"/>
  <c r="O125" i="5"/>
  <c r="N125" i="5"/>
  <c r="M125" i="5"/>
  <c r="L125" i="5"/>
  <c r="K125" i="5"/>
  <c r="J125" i="5"/>
  <c r="I125" i="5"/>
  <c r="H125" i="5"/>
  <c r="G125" i="5"/>
  <c r="F125" i="5"/>
  <c r="E125" i="5"/>
  <c r="D125" i="5"/>
  <c r="C124" i="5"/>
  <c r="C123" i="5"/>
  <c r="C122" i="5"/>
  <c r="C121" i="5"/>
  <c r="C120" i="5"/>
  <c r="C119" i="5"/>
  <c r="C118" i="5"/>
  <c r="C117" i="5"/>
  <c r="C116" i="5"/>
  <c r="C115" i="5"/>
  <c r="C114" i="5"/>
  <c r="C113" i="5"/>
  <c r="BF110" i="5"/>
  <c r="BE110" i="5"/>
  <c r="BD110" i="5"/>
  <c r="BC110" i="5"/>
  <c r="BB110" i="5"/>
  <c r="BA110" i="5"/>
  <c r="AZ110" i="5"/>
  <c r="AY110" i="5"/>
  <c r="AX110" i="5"/>
  <c r="AW110" i="5"/>
  <c r="AV110" i="5"/>
  <c r="AU110" i="5"/>
  <c r="AT110" i="5"/>
  <c r="AS110" i="5"/>
  <c r="AR110" i="5"/>
  <c r="AQ110" i="5"/>
  <c r="AP110" i="5"/>
  <c r="AO110" i="5"/>
  <c r="AN110" i="5"/>
  <c r="AM110" i="5"/>
  <c r="AL110" i="5"/>
  <c r="AK110" i="5"/>
  <c r="AJ110" i="5"/>
  <c r="AI110" i="5"/>
  <c r="AH110" i="5"/>
  <c r="AG110" i="5"/>
  <c r="AF110" i="5"/>
  <c r="AE110" i="5"/>
  <c r="AD110" i="5"/>
  <c r="AC110" i="5"/>
  <c r="AB110" i="5"/>
  <c r="AA110" i="5"/>
  <c r="Z110" i="5"/>
  <c r="Y110" i="5"/>
  <c r="X110" i="5"/>
  <c r="W110" i="5"/>
  <c r="V110" i="5"/>
  <c r="U110" i="5"/>
  <c r="T110" i="5"/>
  <c r="S110" i="5"/>
  <c r="R110" i="5"/>
  <c r="Q110" i="5"/>
  <c r="P110" i="5"/>
  <c r="O110" i="5"/>
  <c r="N110" i="5"/>
  <c r="M110" i="5"/>
  <c r="L110" i="5"/>
  <c r="K110" i="5"/>
  <c r="J110" i="5"/>
  <c r="I110" i="5"/>
  <c r="H110" i="5"/>
  <c r="G110" i="5"/>
  <c r="F110" i="5"/>
  <c r="E110" i="5"/>
  <c r="D110" i="5"/>
  <c r="C109" i="5"/>
  <c r="C108" i="5"/>
  <c r="BF104" i="5"/>
  <c r="BE104" i="5"/>
  <c r="BD104" i="5"/>
  <c r="BC104" i="5"/>
  <c r="BB104" i="5"/>
  <c r="BA104" i="5"/>
  <c r="AZ104" i="5"/>
  <c r="AY104" i="5"/>
  <c r="AX104" i="5"/>
  <c r="AW104" i="5"/>
  <c r="AV104" i="5"/>
  <c r="AU104" i="5"/>
  <c r="AT104" i="5"/>
  <c r="AS104" i="5"/>
  <c r="AR104" i="5"/>
  <c r="AQ104" i="5"/>
  <c r="AP104" i="5"/>
  <c r="AO104" i="5"/>
  <c r="AN104" i="5"/>
  <c r="AM104" i="5"/>
  <c r="AL104" i="5"/>
  <c r="AK104" i="5"/>
  <c r="AJ104" i="5"/>
  <c r="AI104" i="5"/>
  <c r="AH104" i="5"/>
  <c r="AG104" i="5"/>
  <c r="AF104" i="5"/>
  <c r="AE104" i="5"/>
  <c r="AD104" i="5"/>
  <c r="AC104" i="5"/>
  <c r="AB104" i="5"/>
  <c r="AA104" i="5"/>
  <c r="Z104" i="5"/>
  <c r="Y104" i="5"/>
  <c r="X104" i="5"/>
  <c r="W104" i="5"/>
  <c r="V104" i="5"/>
  <c r="U104" i="5"/>
  <c r="T104" i="5"/>
  <c r="S104" i="5"/>
  <c r="R104" i="5"/>
  <c r="Q104" i="5"/>
  <c r="P104" i="5"/>
  <c r="O104" i="5"/>
  <c r="N104" i="5"/>
  <c r="M104" i="5"/>
  <c r="L104" i="5"/>
  <c r="K104" i="5"/>
  <c r="J104" i="5"/>
  <c r="I104" i="5"/>
  <c r="H104" i="5"/>
  <c r="G104" i="5"/>
  <c r="F104" i="5"/>
  <c r="E104" i="5"/>
  <c r="D104" i="5"/>
  <c r="C103" i="5"/>
  <c r="C102" i="5"/>
  <c r="C101" i="5"/>
  <c r="C100" i="5"/>
  <c r="C99" i="5"/>
  <c r="C98" i="5"/>
  <c r="C97" i="5"/>
  <c r="BF94" i="5"/>
  <c r="BE94" i="5"/>
  <c r="BD94" i="5"/>
  <c r="BC94" i="5"/>
  <c r="BB94" i="5"/>
  <c r="BA94" i="5"/>
  <c r="AZ94" i="5"/>
  <c r="AY94" i="5"/>
  <c r="AX94" i="5"/>
  <c r="AW94" i="5"/>
  <c r="AV94" i="5"/>
  <c r="AU94" i="5"/>
  <c r="AT94" i="5"/>
  <c r="AS94" i="5"/>
  <c r="AR94" i="5"/>
  <c r="AQ94" i="5"/>
  <c r="AP94" i="5"/>
  <c r="AO94" i="5"/>
  <c r="AN94" i="5"/>
  <c r="AM94" i="5"/>
  <c r="AL94" i="5"/>
  <c r="AK94" i="5"/>
  <c r="AJ94" i="5"/>
  <c r="AI94" i="5"/>
  <c r="AH94" i="5"/>
  <c r="AG94" i="5"/>
  <c r="AF94" i="5"/>
  <c r="AE94" i="5"/>
  <c r="AD94" i="5"/>
  <c r="AC94" i="5"/>
  <c r="AB94" i="5"/>
  <c r="AA94" i="5"/>
  <c r="Z94" i="5"/>
  <c r="Y94" i="5"/>
  <c r="X94" i="5"/>
  <c r="W94" i="5"/>
  <c r="V94" i="5"/>
  <c r="U94" i="5"/>
  <c r="T94" i="5"/>
  <c r="S94" i="5"/>
  <c r="R94" i="5"/>
  <c r="Q94" i="5"/>
  <c r="P94" i="5"/>
  <c r="O94" i="5"/>
  <c r="N94" i="5"/>
  <c r="M94" i="5"/>
  <c r="L94" i="5"/>
  <c r="K94" i="5"/>
  <c r="J94" i="5"/>
  <c r="I94" i="5"/>
  <c r="H94" i="5"/>
  <c r="G94" i="5"/>
  <c r="F94" i="5"/>
  <c r="E94" i="5"/>
  <c r="D94" i="5"/>
  <c r="C93" i="5"/>
  <c r="C92" i="5"/>
  <c r="C91" i="5"/>
  <c r="C90" i="5"/>
  <c r="C89" i="5"/>
  <c r="C88" i="5"/>
  <c r="C87" i="5"/>
  <c r="C86" i="5"/>
  <c r="BF83" i="5"/>
  <c r="BE83" i="5"/>
  <c r="BD83" i="5"/>
  <c r="BC83" i="5"/>
  <c r="BB83" i="5"/>
  <c r="BA83" i="5"/>
  <c r="AZ83" i="5"/>
  <c r="AY83" i="5"/>
  <c r="AX83" i="5"/>
  <c r="AW83" i="5"/>
  <c r="AV83" i="5"/>
  <c r="AU83" i="5"/>
  <c r="AT83" i="5"/>
  <c r="AS83" i="5"/>
  <c r="AR83" i="5"/>
  <c r="AQ83" i="5"/>
  <c r="AP83" i="5"/>
  <c r="AO83" i="5"/>
  <c r="AN83" i="5"/>
  <c r="AM83" i="5"/>
  <c r="AL83" i="5"/>
  <c r="AK83" i="5"/>
  <c r="AJ83" i="5"/>
  <c r="AI83" i="5"/>
  <c r="AH83" i="5"/>
  <c r="AG83" i="5"/>
  <c r="AF83" i="5"/>
  <c r="AE83" i="5"/>
  <c r="AD83" i="5"/>
  <c r="AC83" i="5"/>
  <c r="AB83" i="5"/>
  <c r="AA83" i="5"/>
  <c r="Z83" i="5"/>
  <c r="Y83" i="5"/>
  <c r="X83" i="5"/>
  <c r="W83" i="5"/>
  <c r="V83" i="5"/>
  <c r="U83" i="5"/>
  <c r="T83" i="5"/>
  <c r="S83" i="5"/>
  <c r="R83" i="5"/>
  <c r="Q83" i="5"/>
  <c r="P83" i="5"/>
  <c r="O83" i="5"/>
  <c r="N83" i="5"/>
  <c r="M83" i="5"/>
  <c r="L83" i="5"/>
  <c r="K83" i="5"/>
  <c r="J83" i="5"/>
  <c r="I83" i="5"/>
  <c r="H83" i="5"/>
  <c r="G83" i="5"/>
  <c r="F83" i="5"/>
  <c r="E83" i="5"/>
  <c r="D83" i="5"/>
  <c r="C82" i="5"/>
  <c r="C81" i="5"/>
  <c r="C80" i="5"/>
  <c r="C79" i="5"/>
  <c r="C78" i="5"/>
  <c r="C77" i="5"/>
  <c r="BF74" i="5"/>
  <c r="BE74" i="5"/>
  <c r="BD74" i="5"/>
  <c r="BC74" i="5"/>
  <c r="BB74" i="5"/>
  <c r="BA74" i="5"/>
  <c r="AZ74" i="5"/>
  <c r="AY74" i="5"/>
  <c r="AX74" i="5"/>
  <c r="AV74" i="5"/>
  <c r="AT74" i="5"/>
  <c r="AS74" i="5"/>
  <c r="AR74" i="5"/>
  <c r="AQ74" i="5"/>
  <c r="AP74" i="5"/>
  <c r="AO74" i="5"/>
  <c r="AN74" i="5"/>
  <c r="AM74" i="5"/>
  <c r="AL74" i="5"/>
  <c r="AK74" i="5"/>
  <c r="AJ74" i="5"/>
  <c r="AI74" i="5"/>
  <c r="AH74" i="5"/>
  <c r="AG74" i="5"/>
  <c r="AF74" i="5"/>
  <c r="AE74" i="5"/>
  <c r="AD74" i="5"/>
  <c r="AC74" i="5"/>
  <c r="AB74" i="5"/>
  <c r="AA74" i="5"/>
  <c r="Z74" i="5"/>
  <c r="Y74" i="5"/>
  <c r="X74" i="5"/>
  <c r="W74" i="5"/>
  <c r="V74" i="5"/>
  <c r="U74" i="5"/>
  <c r="T74" i="5"/>
  <c r="S74" i="5"/>
  <c r="R74" i="5"/>
  <c r="Q74" i="5"/>
  <c r="P74" i="5"/>
  <c r="O74" i="5"/>
  <c r="N74" i="5"/>
  <c r="M74" i="5"/>
  <c r="L74" i="5"/>
  <c r="K74" i="5"/>
  <c r="J74" i="5"/>
  <c r="I74" i="5"/>
  <c r="H74" i="5"/>
  <c r="G74" i="5"/>
  <c r="F74" i="5"/>
  <c r="E74" i="5"/>
  <c r="D74" i="5"/>
  <c r="C73" i="5"/>
  <c r="AW72" i="5"/>
  <c r="C72" i="5" s="1"/>
  <c r="AW71" i="5"/>
  <c r="AU71" i="5"/>
  <c r="AW70" i="5"/>
  <c r="C70" i="5" s="1"/>
  <c r="C69" i="5"/>
  <c r="AW68" i="5"/>
  <c r="C68" i="5" s="1"/>
  <c r="AW67" i="5"/>
  <c r="C67" i="5" s="1"/>
  <c r="C66" i="5"/>
  <c r="BF62" i="5"/>
  <c r="BE62" i="5"/>
  <c r="BD62" i="5"/>
  <c r="BC62" i="5"/>
  <c r="BB62" i="5"/>
  <c r="BA62" i="5"/>
  <c r="AZ62" i="5"/>
  <c r="AY62" i="5"/>
  <c r="AX62" i="5"/>
  <c r="AW62" i="5"/>
  <c r="AV62" i="5"/>
  <c r="AU62" i="5"/>
  <c r="AT62" i="5"/>
  <c r="AS62" i="5"/>
  <c r="AR62" i="5"/>
  <c r="AQ62" i="5"/>
  <c r="AP62" i="5"/>
  <c r="AO62" i="5"/>
  <c r="AN62" i="5"/>
  <c r="AM62" i="5"/>
  <c r="AL62" i="5"/>
  <c r="AK62" i="5"/>
  <c r="AJ62" i="5"/>
  <c r="AI62" i="5"/>
  <c r="AH62" i="5"/>
  <c r="AG62" i="5"/>
  <c r="AF62" i="5"/>
  <c r="AE62" i="5"/>
  <c r="AD62" i="5"/>
  <c r="AC62" i="5"/>
  <c r="AB62" i="5"/>
  <c r="AA62" i="5"/>
  <c r="Z62" i="5"/>
  <c r="Y62" i="5"/>
  <c r="X62" i="5"/>
  <c r="W62" i="5"/>
  <c r="V62" i="5"/>
  <c r="U62" i="5"/>
  <c r="T62" i="5"/>
  <c r="S62" i="5"/>
  <c r="R62" i="5"/>
  <c r="Q62" i="5"/>
  <c r="P62" i="5"/>
  <c r="O62" i="5"/>
  <c r="N62" i="5"/>
  <c r="M62" i="5"/>
  <c r="L62" i="5"/>
  <c r="K62" i="5"/>
  <c r="J62" i="5"/>
  <c r="I62" i="5"/>
  <c r="H62" i="5"/>
  <c r="G62" i="5"/>
  <c r="F62" i="5"/>
  <c r="E62" i="5"/>
  <c r="D62" i="5"/>
  <c r="C61" i="5"/>
  <c r="C60" i="5"/>
  <c r="BF52" i="5"/>
  <c r="BE52" i="5"/>
  <c r="BD52" i="5"/>
  <c r="BC52" i="5"/>
  <c r="BB52" i="5"/>
  <c r="BA52" i="5"/>
  <c r="AZ52" i="5"/>
  <c r="AY52" i="5"/>
  <c r="AX52" i="5"/>
  <c r="AW52" i="5"/>
  <c r="AV52" i="5"/>
  <c r="AU52" i="5"/>
  <c r="AT52" i="5"/>
  <c r="AS52" i="5"/>
  <c r="AR52" i="5"/>
  <c r="AQ52" i="5"/>
  <c r="AP52" i="5"/>
  <c r="AO52" i="5"/>
  <c r="AN52" i="5"/>
  <c r="AM52" i="5"/>
  <c r="AL52" i="5"/>
  <c r="AK52" i="5"/>
  <c r="AJ52" i="5"/>
  <c r="AI52" i="5"/>
  <c r="AH52" i="5"/>
  <c r="AG52" i="5"/>
  <c r="AF52" i="5"/>
  <c r="AE52" i="5"/>
  <c r="AD52" i="5"/>
  <c r="AC52" i="5"/>
  <c r="AB52" i="5"/>
  <c r="AA52" i="5"/>
  <c r="Z52" i="5"/>
  <c r="Y52" i="5"/>
  <c r="X52" i="5"/>
  <c r="W52" i="5"/>
  <c r="V52" i="5"/>
  <c r="U52" i="5"/>
  <c r="T52" i="5"/>
  <c r="S52" i="5"/>
  <c r="R52" i="5"/>
  <c r="Q52" i="5"/>
  <c r="P52" i="5"/>
  <c r="O52" i="5"/>
  <c r="N52" i="5"/>
  <c r="M52" i="5"/>
  <c r="L52" i="5"/>
  <c r="K52" i="5"/>
  <c r="J52" i="5"/>
  <c r="I52" i="5"/>
  <c r="H52" i="5"/>
  <c r="G52" i="5"/>
  <c r="F52" i="5"/>
  <c r="E52" i="5"/>
  <c r="D52" i="5"/>
  <c r="BG51" i="5"/>
  <c r="BF51" i="5"/>
  <c r="BE51" i="5"/>
  <c r="BD51" i="5"/>
  <c r="BC51" i="5"/>
  <c r="BB51" i="5"/>
  <c r="BA51" i="5"/>
  <c r="AZ51" i="5"/>
  <c r="AY51" i="5"/>
  <c r="AX51" i="5"/>
  <c r="AW51" i="5"/>
  <c r="AV51" i="5"/>
  <c r="AU51" i="5"/>
  <c r="AT51" i="5"/>
  <c r="AS51" i="5"/>
  <c r="AR51" i="5"/>
  <c r="AQ51" i="5"/>
  <c r="AP51" i="5"/>
  <c r="AO51" i="5"/>
  <c r="AN51" i="5"/>
  <c r="AM51" i="5"/>
  <c r="AL51" i="5"/>
  <c r="AK51" i="5"/>
  <c r="AJ51" i="5"/>
  <c r="AI51" i="5"/>
  <c r="AH51" i="5"/>
  <c r="AG51" i="5"/>
  <c r="AF51" i="5"/>
  <c r="AE51" i="5"/>
  <c r="AD51" i="5"/>
  <c r="AC51" i="5"/>
  <c r="AB51" i="5"/>
  <c r="AA51" i="5"/>
  <c r="Z51" i="5"/>
  <c r="Y51" i="5"/>
  <c r="X51" i="5"/>
  <c r="W51" i="5"/>
  <c r="V51" i="5"/>
  <c r="U51" i="5"/>
  <c r="T51" i="5"/>
  <c r="S51" i="5"/>
  <c r="R51" i="5"/>
  <c r="Q51" i="5"/>
  <c r="P51" i="5"/>
  <c r="O51" i="5"/>
  <c r="N51" i="5"/>
  <c r="M51" i="5"/>
  <c r="L51" i="5"/>
  <c r="K51" i="5"/>
  <c r="J51" i="5"/>
  <c r="I51" i="5"/>
  <c r="H51" i="5"/>
  <c r="G51" i="5"/>
  <c r="F51" i="5"/>
  <c r="E51" i="5"/>
  <c r="D51" i="5"/>
  <c r="BF50" i="5"/>
  <c r="BE50" i="5"/>
  <c r="BD50" i="5"/>
  <c r="BC50" i="5"/>
  <c r="BB50" i="5"/>
  <c r="BA50" i="5"/>
  <c r="AZ50" i="5"/>
  <c r="AY50" i="5"/>
  <c r="AX50" i="5"/>
  <c r="AW50" i="5"/>
  <c r="AV50" i="5"/>
  <c r="AU50" i="5"/>
  <c r="AT50" i="5"/>
  <c r="AS50" i="5"/>
  <c r="AR50" i="5"/>
  <c r="AQ50" i="5"/>
  <c r="AP50" i="5"/>
  <c r="AO50" i="5"/>
  <c r="AN50" i="5"/>
  <c r="AM50" i="5"/>
  <c r="AL50" i="5"/>
  <c r="AK50" i="5"/>
  <c r="AJ50" i="5"/>
  <c r="AI50" i="5"/>
  <c r="AH50" i="5"/>
  <c r="AG50" i="5"/>
  <c r="AF50" i="5"/>
  <c r="AE50" i="5"/>
  <c r="AD50" i="5"/>
  <c r="AC50" i="5"/>
  <c r="AB50" i="5"/>
  <c r="AA50" i="5"/>
  <c r="Z50" i="5"/>
  <c r="Y50" i="5"/>
  <c r="X50" i="5"/>
  <c r="W50" i="5"/>
  <c r="V50" i="5"/>
  <c r="U50" i="5"/>
  <c r="T50" i="5"/>
  <c r="S50" i="5"/>
  <c r="R50" i="5"/>
  <c r="Q50" i="5"/>
  <c r="P50" i="5"/>
  <c r="O50" i="5"/>
  <c r="N50" i="5"/>
  <c r="M50" i="5"/>
  <c r="L50" i="5"/>
  <c r="K50" i="5"/>
  <c r="J50" i="5"/>
  <c r="I50" i="5"/>
  <c r="H50" i="5"/>
  <c r="G50" i="5"/>
  <c r="F50" i="5"/>
  <c r="E50" i="5"/>
  <c r="D50" i="5"/>
  <c r="BF48" i="5"/>
  <c r="BE48" i="5"/>
  <c r="BD48" i="5"/>
  <c r="BC48" i="5"/>
  <c r="BB48" i="5"/>
  <c r="BA48" i="5"/>
  <c r="AZ48" i="5"/>
  <c r="AY48" i="5"/>
  <c r="AX48" i="5"/>
  <c r="AW48" i="5"/>
  <c r="AV48" i="5"/>
  <c r="AU48" i="5"/>
  <c r="AT48" i="5"/>
  <c r="AS48" i="5"/>
  <c r="AR48" i="5"/>
  <c r="AQ48" i="5"/>
  <c r="AP48" i="5"/>
  <c r="AO48" i="5"/>
  <c r="AN48" i="5"/>
  <c r="AM48" i="5"/>
  <c r="AL48" i="5"/>
  <c r="AK48" i="5"/>
  <c r="AJ48" i="5"/>
  <c r="AI48" i="5"/>
  <c r="AH48" i="5"/>
  <c r="AG48" i="5"/>
  <c r="AF48" i="5"/>
  <c r="AE48" i="5"/>
  <c r="AD48" i="5"/>
  <c r="AC48" i="5"/>
  <c r="AB48" i="5"/>
  <c r="AA48" i="5"/>
  <c r="Z48" i="5"/>
  <c r="Y48" i="5"/>
  <c r="X48" i="5"/>
  <c r="W48" i="5"/>
  <c r="V48" i="5"/>
  <c r="U48" i="5"/>
  <c r="T48" i="5"/>
  <c r="S48" i="5"/>
  <c r="R48" i="5"/>
  <c r="Q48" i="5"/>
  <c r="P48" i="5"/>
  <c r="O48" i="5"/>
  <c r="N48" i="5"/>
  <c r="M48" i="5"/>
  <c r="L48" i="5"/>
  <c r="K48" i="5"/>
  <c r="J48" i="5"/>
  <c r="I48" i="5"/>
  <c r="H48" i="5"/>
  <c r="G48" i="5"/>
  <c r="F48" i="5"/>
  <c r="E48" i="5"/>
  <c r="D48" i="5"/>
  <c r="BF47" i="5"/>
  <c r="BE47" i="5"/>
  <c r="BD47" i="5"/>
  <c r="BC47" i="5"/>
  <c r="BB47" i="5"/>
  <c r="BA47" i="5"/>
  <c r="AZ47" i="5"/>
  <c r="AY47" i="5"/>
  <c r="AX47" i="5"/>
  <c r="AW47" i="5"/>
  <c r="AV47" i="5"/>
  <c r="AU47" i="5"/>
  <c r="AT47" i="5"/>
  <c r="AS47" i="5"/>
  <c r="AR47" i="5"/>
  <c r="AQ47" i="5"/>
  <c r="AP47" i="5"/>
  <c r="AO47" i="5"/>
  <c r="AN47" i="5"/>
  <c r="AM47" i="5"/>
  <c r="AL47" i="5"/>
  <c r="AK47" i="5"/>
  <c r="AJ47" i="5"/>
  <c r="AI47" i="5"/>
  <c r="AH47" i="5"/>
  <c r="AG47" i="5"/>
  <c r="AF47" i="5"/>
  <c r="AE47" i="5"/>
  <c r="AD47" i="5"/>
  <c r="AC47" i="5"/>
  <c r="AB47" i="5"/>
  <c r="AA47" i="5"/>
  <c r="Z47" i="5"/>
  <c r="Y47" i="5"/>
  <c r="X47" i="5"/>
  <c r="W47" i="5"/>
  <c r="V47" i="5"/>
  <c r="U47" i="5"/>
  <c r="T47" i="5"/>
  <c r="S47" i="5"/>
  <c r="R47" i="5"/>
  <c r="Q47" i="5"/>
  <c r="P47" i="5"/>
  <c r="O47" i="5"/>
  <c r="N47" i="5"/>
  <c r="M47" i="5"/>
  <c r="L47" i="5"/>
  <c r="K47" i="5"/>
  <c r="J47" i="5"/>
  <c r="I47" i="5"/>
  <c r="H47" i="5"/>
  <c r="G47" i="5"/>
  <c r="F47" i="5"/>
  <c r="E47" i="5"/>
  <c r="D47" i="5"/>
  <c r="BF40" i="5"/>
  <c r="BE40" i="5"/>
  <c r="BD40" i="5"/>
  <c r="BC40" i="5"/>
  <c r="BB40" i="5"/>
  <c r="BA40" i="5"/>
  <c r="AZ40" i="5"/>
  <c r="AY40" i="5"/>
  <c r="AX40" i="5"/>
  <c r="AW40" i="5"/>
  <c r="AV40" i="5"/>
  <c r="AU40" i="5"/>
  <c r="AT40" i="5"/>
  <c r="AS40" i="5"/>
  <c r="AR40" i="5"/>
  <c r="AQ40" i="5"/>
  <c r="AP40" i="5"/>
  <c r="AO40" i="5"/>
  <c r="AN40" i="5"/>
  <c r="AM40" i="5"/>
  <c r="AL40" i="5"/>
  <c r="AK40" i="5"/>
  <c r="AJ40" i="5"/>
  <c r="AI40" i="5"/>
  <c r="AH40" i="5"/>
  <c r="AG40" i="5"/>
  <c r="AF40" i="5"/>
  <c r="AE40" i="5"/>
  <c r="AD40" i="5"/>
  <c r="AC40" i="5"/>
  <c r="AB40" i="5"/>
  <c r="AA40" i="5"/>
  <c r="Z40" i="5"/>
  <c r="Y40" i="5"/>
  <c r="X40" i="5"/>
  <c r="W40" i="5"/>
  <c r="V40" i="5"/>
  <c r="U40" i="5"/>
  <c r="T40" i="5"/>
  <c r="S40" i="5"/>
  <c r="R40" i="5"/>
  <c r="Q40" i="5"/>
  <c r="P40" i="5"/>
  <c r="O40" i="5"/>
  <c r="N40" i="5"/>
  <c r="M40" i="5"/>
  <c r="L40" i="5"/>
  <c r="K40" i="5"/>
  <c r="J40" i="5"/>
  <c r="I40" i="5"/>
  <c r="H40" i="5"/>
  <c r="G40" i="5"/>
  <c r="F40" i="5"/>
  <c r="E40" i="5"/>
  <c r="D40" i="5"/>
  <c r="BF36" i="5"/>
  <c r="BE36" i="5"/>
  <c r="BD36" i="5"/>
  <c r="BC36" i="5"/>
  <c r="BB36" i="5"/>
  <c r="BA36" i="5"/>
  <c r="AZ36" i="5"/>
  <c r="AY36" i="5"/>
  <c r="AX36" i="5"/>
  <c r="AW36" i="5"/>
  <c r="AV36" i="5"/>
  <c r="AU36" i="5"/>
  <c r="AT36" i="5"/>
  <c r="AS36" i="5"/>
  <c r="AR36" i="5"/>
  <c r="AQ36" i="5"/>
  <c r="AP36" i="5"/>
  <c r="AO36" i="5"/>
  <c r="AN36" i="5"/>
  <c r="AM36" i="5"/>
  <c r="AL36" i="5"/>
  <c r="AK36" i="5"/>
  <c r="AJ36" i="5"/>
  <c r="AI36" i="5"/>
  <c r="AH36"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BF35" i="5"/>
  <c r="BE35" i="5"/>
  <c r="BD35" i="5"/>
  <c r="BC35" i="5"/>
  <c r="BB35" i="5"/>
  <c r="BA35" i="5"/>
  <c r="AZ35" i="5"/>
  <c r="AY35" i="5"/>
  <c r="AX35" i="5"/>
  <c r="AW35" i="5"/>
  <c r="AV35" i="5"/>
  <c r="AU35" i="5"/>
  <c r="AT35" i="5"/>
  <c r="AS35" i="5"/>
  <c r="AR35" i="5"/>
  <c r="AQ35" i="5"/>
  <c r="AP35" i="5"/>
  <c r="AO35" i="5"/>
  <c r="AN35" i="5"/>
  <c r="AM35" i="5"/>
  <c r="AL35" i="5"/>
  <c r="AK35" i="5"/>
  <c r="AJ35" i="5"/>
  <c r="AI35" i="5"/>
  <c r="AH35"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BA34" i="5"/>
  <c r="AZ34" i="5"/>
  <c r="AS34" i="5"/>
  <c r="AR34" i="5"/>
  <c r="AQ34" i="5"/>
  <c r="U34" i="5"/>
  <c r="F34" i="5"/>
  <c r="BA33" i="5"/>
  <c r="BF28" i="5"/>
  <c r="BE28" i="5"/>
  <c r="BD28" i="5"/>
  <c r="BC28" i="5"/>
  <c r="BB28" i="5"/>
  <c r="BA28" i="5"/>
  <c r="AZ28" i="5"/>
  <c r="AY28" i="5"/>
  <c r="AX28" i="5"/>
  <c r="AW28" i="5"/>
  <c r="AV28" i="5"/>
  <c r="AU28" i="5"/>
  <c r="AT28" i="5"/>
  <c r="AS28" i="5"/>
  <c r="AR28" i="5"/>
  <c r="AQ28" i="5"/>
  <c r="AP28" i="5"/>
  <c r="AO28" i="5"/>
  <c r="AN28" i="5"/>
  <c r="AM28" i="5"/>
  <c r="AL28" i="5"/>
  <c r="AK28" i="5"/>
  <c r="AJ28" i="5"/>
  <c r="AI28" i="5"/>
  <c r="AH28"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BC27" i="5"/>
  <c r="BA27" i="5"/>
  <c r="C22" i="5"/>
  <c r="BF9" i="5"/>
  <c r="BE9" i="5"/>
  <c r="BD9" i="5"/>
  <c r="BC9" i="5"/>
  <c r="BB9" i="5"/>
  <c r="BA9" i="5"/>
  <c r="AZ9" i="5"/>
  <c r="AY9" i="5"/>
  <c r="AX9" i="5"/>
  <c r="AW9" i="5"/>
  <c r="AV9" i="5"/>
  <c r="AU9" i="5"/>
  <c r="AT9" i="5"/>
  <c r="AS9" i="5"/>
  <c r="AR9" i="5"/>
  <c r="AQ9" i="5"/>
  <c r="AP9" i="5"/>
  <c r="AO9" i="5"/>
  <c r="AN9" i="5"/>
  <c r="AM9" i="5"/>
  <c r="AL9" i="5"/>
  <c r="AK9" i="5"/>
  <c r="AJ9" i="5"/>
  <c r="AI9" i="5"/>
  <c r="AH9" i="5"/>
  <c r="AG9" i="5"/>
  <c r="AF9" i="5"/>
  <c r="AE9" i="5"/>
  <c r="AD9" i="5"/>
  <c r="AC9" i="5"/>
  <c r="AB9" i="5"/>
  <c r="AA9" i="5"/>
  <c r="Z9" i="5"/>
  <c r="Y9" i="5"/>
  <c r="X9" i="5"/>
  <c r="W9" i="5"/>
  <c r="V9" i="5"/>
  <c r="U9" i="5"/>
  <c r="T9" i="5"/>
  <c r="S9" i="5"/>
  <c r="R9" i="5"/>
  <c r="Q9" i="5"/>
  <c r="P9" i="5"/>
  <c r="O9" i="5"/>
  <c r="N9" i="5"/>
  <c r="M9" i="5"/>
  <c r="L9" i="5"/>
  <c r="K9" i="5"/>
  <c r="J9" i="5"/>
  <c r="I9" i="5"/>
  <c r="H9" i="5"/>
  <c r="G9" i="5"/>
  <c r="F9" i="5"/>
  <c r="E9" i="5"/>
  <c r="D9" i="5"/>
  <c r="BF8" i="5"/>
  <c r="BE8" i="5"/>
  <c r="BD8" i="5"/>
  <c r="BC8" i="5"/>
  <c r="BB8" i="5"/>
  <c r="BA8" i="5"/>
  <c r="AZ8" i="5"/>
  <c r="AY8" i="5"/>
  <c r="AX8" i="5"/>
  <c r="AW8" i="5"/>
  <c r="AV8" i="5"/>
  <c r="AU8" i="5"/>
  <c r="AT8" i="5"/>
  <c r="AS8" i="5"/>
  <c r="AR8" i="5"/>
  <c r="AQ8" i="5"/>
  <c r="AP8" i="5"/>
  <c r="AO8" i="5"/>
  <c r="AN8"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I8" i="5"/>
  <c r="H8" i="5"/>
  <c r="G8" i="5"/>
  <c r="F8" i="5"/>
  <c r="E8" i="5"/>
  <c r="D8"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S7" i="5"/>
  <c r="R7" i="5"/>
  <c r="P7" i="5"/>
  <c r="O7" i="5"/>
  <c r="N7" i="5"/>
  <c r="L7" i="5"/>
  <c r="K7" i="5"/>
  <c r="J7" i="5"/>
  <c r="I7" i="5"/>
  <c r="H7" i="5"/>
  <c r="G7" i="5"/>
  <c r="F7" i="5"/>
  <c r="E7" i="5"/>
  <c r="AZ2" i="5"/>
  <c r="BA2" i="5" s="1"/>
  <c r="BB2" i="5" s="1"/>
  <c r="BC2" i="5" s="1"/>
  <c r="BD2" i="5" s="1"/>
  <c r="BE2" i="5" s="1"/>
  <c r="BF2" i="5" s="1"/>
  <c r="AI2" i="5"/>
  <c r="AJ2" i="5" s="1"/>
  <c r="AK2" i="5" s="1"/>
  <c r="AL2" i="5" s="1"/>
  <c r="AM2" i="5" s="1"/>
  <c r="AN2" i="5" s="1"/>
  <c r="AO2" i="5" s="1"/>
  <c r="AP2" i="5" s="1"/>
  <c r="AQ2" i="5" s="1"/>
  <c r="AR2" i="5" s="1"/>
  <c r="AS2" i="5" s="1"/>
  <c r="AT2" i="5" s="1"/>
  <c r="AU2" i="5" s="1"/>
  <c r="AV2" i="5" s="1"/>
  <c r="E2" i="5"/>
  <c r="F2" i="5" s="1"/>
  <c r="G2" i="5" s="1"/>
  <c r="H2" i="5" s="1"/>
  <c r="I2" i="5" s="1"/>
  <c r="J2" i="5" s="1"/>
  <c r="K2" i="5" s="1"/>
  <c r="L2" i="5" s="1"/>
  <c r="M2" i="5" s="1"/>
  <c r="N2" i="5" s="1"/>
  <c r="O2" i="5" s="1"/>
  <c r="P2" i="5" s="1"/>
  <c r="Q2" i="5" s="1"/>
  <c r="R2" i="5" s="1"/>
  <c r="S2" i="5" s="1"/>
  <c r="T2" i="5" s="1"/>
  <c r="U2" i="5" s="1"/>
  <c r="V2" i="5" s="1"/>
  <c r="W2" i="5" s="1"/>
  <c r="X2" i="5" s="1"/>
  <c r="Y2" i="5" s="1"/>
  <c r="Z2" i="5" s="1"/>
  <c r="AA2" i="5" s="1"/>
  <c r="AB2" i="5" s="1"/>
  <c r="AC2" i="5" s="1"/>
  <c r="AD2" i="5" s="1"/>
  <c r="AE2" i="5" s="1"/>
  <c r="AF2" i="5" s="1"/>
  <c r="G9" i="4"/>
  <c r="K28" i="3"/>
  <c r="K30" i="3" s="1"/>
  <c r="K34" i="3" s="1"/>
  <c r="F7" i="1" s="1"/>
  <c r="G18" i="3"/>
  <c r="G16" i="3"/>
  <c r="G14" i="3"/>
  <c r="K12" i="3"/>
  <c r="G12" i="3"/>
  <c r="A12" i="3"/>
  <c r="A14" i="3" s="1"/>
  <c r="A16" i="3" s="1"/>
  <c r="A18" i="3" s="1"/>
  <c r="A20" i="3" s="1"/>
  <c r="A22" i="3" s="1"/>
  <c r="A24" i="3" s="1"/>
  <c r="A26" i="3" s="1"/>
  <c r="A28" i="3" s="1"/>
  <c r="A30" i="3" s="1"/>
  <c r="A32" i="3" s="1"/>
  <c r="A34" i="3" s="1"/>
  <c r="K10" i="3"/>
  <c r="G10" i="3"/>
  <c r="H46" i="2"/>
  <c r="G46" i="2"/>
  <c r="D46" i="2"/>
  <c r="C46" i="2"/>
  <c r="I45" i="2"/>
  <c r="E45" i="2"/>
  <c r="I44" i="2"/>
  <c r="E44" i="2"/>
  <c r="I43" i="2"/>
  <c r="E43" i="2"/>
  <c r="I42" i="2"/>
  <c r="E42" i="2"/>
  <c r="I41" i="2"/>
  <c r="E41" i="2"/>
  <c r="I40" i="2"/>
  <c r="E40" i="2"/>
  <c r="I39" i="2"/>
  <c r="E39" i="2"/>
  <c r="I38" i="2"/>
  <c r="E38" i="2"/>
  <c r="I37" i="2"/>
  <c r="E37" i="2"/>
  <c r="I36" i="2"/>
  <c r="E36" i="2"/>
  <c r="I35" i="2"/>
  <c r="E35" i="2"/>
  <c r="I34" i="2"/>
  <c r="E34" i="2"/>
  <c r="I33" i="2"/>
  <c r="E33" i="2"/>
  <c r="I32" i="2"/>
  <c r="E32" i="2"/>
  <c r="I31" i="2"/>
  <c r="E31" i="2"/>
  <c r="I30" i="2"/>
  <c r="E30" i="2"/>
  <c r="I29" i="2"/>
  <c r="E29" i="2"/>
  <c r="I28" i="2"/>
  <c r="E28" i="2"/>
  <c r="I27" i="2"/>
  <c r="E27" i="2"/>
  <c r="I26" i="2"/>
  <c r="E26" i="2"/>
  <c r="I25" i="2"/>
  <c r="E25" i="2"/>
  <c r="I24" i="2"/>
  <c r="E24" i="2"/>
  <c r="I23" i="2"/>
  <c r="E23" i="2"/>
  <c r="I22" i="2"/>
  <c r="E22" i="2"/>
  <c r="I21" i="2"/>
  <c r="E21" i="2"/>
  <c r="I20" i="2"/>
  <c r="E20" i="2"/>
  <c r="I19" i="2"/>
  <c r="E19" i="2"/>
  <c r="I18" i="2"/>
  <c r="E18" i="2"/>
  <c r="I17" i="2"/>
  <c r="E17" i="2"/>
  <c r="I16" i="2"/>
  <c r="E16" i="2"/>
  <c r="I15" i="2"/>
  <c r="E15" i="2"/>
  <c r="I14" i="2"/>
  <c r="E14" i="2"/>
  <c r="I13" i="2"/>
  <c r="E13" i="2"/>
  <c r="I12" i="2"/>
  <c r="E12" i="2"/>
  <c r="I11" i="2"/>
  <c r="E11" i="2"/>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8" i="2" s="1"/>
  <c r="I10" i="2"/>
  <c r="E10" i="2"/>
  <c r="I221" i="7" l="1"/>
  <c r="I231" i="7"/>
  <c r="C231" i="7" s="1"/>
  <c r="D230" i="7"/>
  <c r="H14" i="1"/>
  <c r="D16" i="1"/>
  <c r="G13" i="4"/>
  <c r="G17" i="4" s="1"/>
  <c r="F9" i="1" s="1"/>
  <c r="X44" i="5"/>
  <c r="Z359" i="5"/>
  <c r="Z16" i="5" s="1"/>
  <c r="BB359" i="5"/>
  <c r="BB16" i="5" s="1"/>
  <c r="AN359" i="5"/>
  <c r="AN16" i="5" s="1"/>
  <c r="C175" i="5"/>
  <c r="AO464" i="5"/>
  <c r="AO25" i="5" s="1"/>
  <c r="AB464" i="5"/>
  <c r="AB25" i="5" s="1"/>
  <c r="AP464" i="5"/>
  <c r="AP25" i="5" s="1"/>
  <c r="K291" i="5"/>
  <c r="K10" i="5" s="1"/>
  <c r="C215" i="5"/>
  <c r="BB44" i="5"/>
  <c r="F359" i="5"/>
  <c r="F16" i="5" s="1"/>
  <c r="V291" i="5"/>
  <c r="V10" i="5" s="1"/>
  <c r="V12" i="5" s="1"/>
  <c r="C224" i="5"/>
  <c r="BC464" i="5"/>
  <c r="BC25" i="5" s="1"/>
  <c r="U44" i="5"/>
  <c r="C341" i="5"/>
  <c r="C347" i="5" s="1"/>
  <c r="K387" i="5"/>
  <c r="K17" i="5" s="1"/>
  <c r="Y387" i="5"/>
  <c r="Y17" i="5" s="1"/>
  <c r="AM387" i="5"/>
  <c r="AM17" i="5" s="1"/>
  <c r="BA387" i="5"/>
  <c r="BA17" i="5" s="1"/>
  <c r="P359" i="5"/>
  <c r="P16" i="5" s="1"/>
  <c r="K44" i="5"/>
  <c r="Y44" i="5"/>
  <c r="AM44" i="5"/>
  <c r="W192" i="5"/>
  <c r="AK192" i="5"/>
  <c r="L192" i="5"/>
  <c r="Z192" i="5"/>
  <c r="AN44" i="5"/>
  <c r="T387" i="5"/>
  <c r="T17" i="5" s="1"/>
  <c r="BA44" i="5"/>
  <c r="S44" i="5"/>
  <c r="C199" i="5"/>
  <c r="C262" i="5"/>
  <c r="L359" i="5"/>
  <c r="L16" i="5" s="1"/>
  <c r="X291" i="5"/>
  <c r="X10" i="5" s="1"/>
  <c r="X12" i="5" s="1"/>
  <c r="U359" i="5"/>
  <c r="U16" i="5" s="1"/>
  <c r="AC359" i="5"/>
  <c r="AC16" i="5" s="1"/>
  <c r="AQ359" i="5"/>
  <c r="AQ16" i="5" s="1"/>
  <c r="BE359" i="5"/>
  <c r="BE16" i="5" s="1"/>
  <c r="AN192" i="5"/>
  <c r="Z291" i="5"/>
  <c r="Z10" i="5" s="1"/>
  <c r="Z12" i="5" s="1"/>
  <c r="AN291" i="5"/>
  <c r="AN10" i="5" s="1"/>
  <c r="AN12" i="5" s="1"/>
  <c r="BB291" i="5"/>
  <c r="BB10" i="5" s="1"/>
  <c r="BB12" i="5" s="1"/>
  <c r="AD359" i="5"/>
  <c r="AD16" i="5" s="1"/>
  <c r="AR359" i="5"/>
  <c r="AR16" i="5" s="1"/>
  <c r="BF359" i="5"/>
  <c r="BF16" i="5" s="1"/>
  <c r="H319" i="5"/>
  <c r="H332" i="5" s="1"/>
  <c r="H15" i="5" s="1"/>
  <c r="AX319" i="5"/>
  <c r="AX332" i="5" s="1"/>
  <c r="AX15" i="5" s="1"/>
  <c r="N319" i="5"/>
  <c r="N332" i="5" s="1"/>
  <c r="N15" i="5" s="1"/>
  <c r="AB319" i="5"/>
  <c r="AB332" i="5" s="1"/>
  <c r="AP319" i="5"/>
  <c r="AP332" i="5" s="1"/>
  <c r="AP15" i="5" s="1"/>
  <c r="C410" i="5"/>
  <c r="V319" i="5"/>
  <c r="V332" i="5" s="1"/>
  <c r="V15" i="5" s="1"/>
  <c r="AJ319" i="5"/>
  <c r="AJ332" i="5" s="1"/>
  <c r="AJ15" i="5" s="1"/>
  <c r="AQ464" i="5"/>
  <c r="AQ25" i="5" s="1"/>
  <c r="F291" i="5"/>
  <c r="F10" i="5" s="1"/>
  <c r="F12" i="5" s="1"/>
  <c r="T291" i="5"/>
  <c r="T293" i="5" s="1"/>
  <c r="AV291" i="5"/>
  <c r="AV10" i="5" s="1"/>
  <c r="AV12" i="5" s="1"/>
  <c r="O319" i="5"/>
  <c r="O332" i="5" s="1"/>
  <c r="O15" i="5" s="1"/>
  <c r="AC319" i="5"/>
  <c r="AC332" i="5" s="1"/>
  <c r="AC15" i="5" s="1"/>
  <c r="AQ319" i="5"/>
  <c r="AQ332" i="5" s="1"/>
  <c r="AQ15" i="5" s="1"/>
  <c r="Y319" i="5"/>
  <c r="Y332" i="5" s="1"/>
  <c r="Y15" i="5" s="1"/>
  <c r="BA319" i="5"/>
  <c r="BA332" i="5" s="1"/>
  <c r="BA15" i="5" s="1"/>
  <c r="E359" i="5"/>
  <c r="E16" i="5" s="1"/>
  <c r="S359" i="5"/>
  <c r="S16" i="5" s="1"/>
  <c r="J387" i="5"/>
  <c r="J17" i="5" s="1"/>
  <c r="X387" i="5"/>
  <c r="X17" i="5" s="1"/>
  <c r="AL387" i="5"/>
  <c r="AL17" i="5" s="1"/>
  <c r="AZ387" i="5"/>
  <c r="AZ17" i="5" s="1"/>
  <c r="BC44" i="5"/>
  <c r="L106" i="5"/>
  <c r="L172" i="5" s="1"/>
  <c r="AZ44" i="5"/>
  <c r="AF291" i="5"/>
  <c r="AF10" i="5" s="1"/>
  <c r="AF12" i="5" s="1"/>
  <c r="AT291" i="5"/>
  <c r="AT10" i="5" s="1"/>
  <c r="AT12" i="5" s="1"/>
  <c r="J291" i="5"/>
  <c r="J10" i="5" s="1"/>
  <c r="J12" i="5" s="1"/>
  <c r="AM291" i="5"/>
  <c r="AM10" i="5" s="1"/>
  <c r="AM12" i="5" s="1"/>
  <c r="BA291" i="5"/>
  <c r="BA10" i="5" s="1"/>
  <c r="BA12" i="5" s="1"/>
  <c r="K319" i="5"/>
  <c r="K332" i="5" s="1"/>
  <c r="C207" i="5"/>
  <c r="S291" i="5"/>
  <c r="S10" i="5" s="1"/>
  <c r="S12" i="5" s="1"/>
  <c r="AX359" i="5"/>
  <c r="AX16" i="5" s="1"/>
  <c r="W464" i="5"/>
  <c r="W25" i="5" s="1"/>
  <c r="AY464" i="5"/>
  <c r="AY25" i="5" s="1"/>
  <c r="AL192" i="5"/>
  <c r="AA387" i="5"/>
  <c r="AA17" i="5" s="1"/>
  <c r="C187" i="5"/>
  <c r="L291" i="5"/>
  <c r="L10" i="5" s="1"/>
  <c r="L12" i="5" s="1"/>
  <c r="AD319" i="5"/>
  <c r="AD332" i="5" s="1"/>
  <c r="AR319" i="5"/>
  <c r="AR332" i="5" s="1"/>
  <c r="AR15" i="5" s="1"/>
  <c r="BF319" i="5"/>
  <c r="BF332" i="5" s="1"/>
  <c r="L464" i="5"/>
  <c r="L25" i="5" s="1"/>
  <c r="BB464" i="5"/>
  <c r="BB25" i="5" s="1"/>
  <c r="AA291" i="5"/>
  <c r="AA10" i="5" s="1"/>
  <c r="AA12" i="5" s="1"/>
  <c r="AO291" i="5"/>
  <c r="AO10" i="5" s="1"/>
  <c r="AO12" i="5" s="1"/>
  <c r="BC291" i="5"/>
  <c r="BC10" i="5" s="1"/>
  <c r="BC12" i="5" s="1"/>
  <c r="Q319" i="5"/>
  <c r="Q332" i="5" s="1"/>
  <c r="Q15" i="5" s="1"/>
  <c r="AE319" i="5"/>
  <c r="AE332" i="5" s="1"/>
  <c r="AE15" i="5" s="1"/>
  <c r="AS319" i="5"/>
  <c r="AS332" i="5" s="1"/>
  <c r="AS15" i="5" s="1"/>
  <c r="O359" i="5"/>
  <c r="O16" i="5" s="1"/>
  <c r="I192" i="5"/>
  <c r="X192" i="5"/>
  <c r="C317" i="5"/>
  <c r="M387" i="5"/>
  <c r="M17" i="5" s="1"/>
  <c r="BC387" i="5"/>
  <c r="BC17" i="5" s="1"/>
  <c r="AB44" i="5"/>
  <c r="AP291" i="5"/>
  <c r="AP10" i="5" s="1"/>
  <c r="AE359" i="5"/>
  <c r="AE16" i="5" s="1"/>
  <c r="F387" i="5"/>
  <c r="F17" i="5" s="1"/>
  <c r="AS192" i="5"/>
  <c r="AC291" i="5"/>
  <c r="AC10" i="5" s="1"/>
  <c r="AQ291" i="5"/>
  <c r="AQ10" i="5" s="1"/>
  <c r="BE291" i="5"/>
  <c r="BE10" i="5" s="1"/>
  <c r="AX291" i="5"/>
  <c r="AX10" i="5" s="1"/>
  <c r="AX12" i="5" s="1"/>
  <c r="E319" i="5"/>
  <c r="E332" i="5" s="1"/>
  <c r="E15" i="5" s="1"/>
  <c r="S319" i="5"/>
  <c r="S332" i="5" s="1"/>
  <c r="S15" i="5" s="1"/>
  <c r="AG319" i="5"/>
  <c r="AG332" i="5" s="1"/>
  <c r="AG15" i="5" s="1"/>
  <c r="AU319" i="5"/>
  <c r="AU332" i="5" s="1"/>
  <c r="AU15" i="5" s="1"/>
  <c r="Q359" i="5"/>
  <c r="Q16" i="5" s="1"/>
  <c r="T217" i="5"/>
  <c r="AB291" i="5"/>
  <c r="AB10" i="5" s="1"/>
  <c r="F44" i="5"/>
  <c r="AF44" i="5"/>
  <c r="BF291" i="5"/>
  <c r="BF10" i="5" s="1"/>
  <c r="BF12" i="5" s="1"/>
  <c r="T319" i="5"/>
  <c r="T332" i="5" s="1"/>
  <c r="AH319" i="5"/>
  <c r="AH332" i="5" s="1"/>
  <c r="AH15" i="5" s="1"/>
  <c r="AV319" i="5"/>
  <c r="AV332" i="5" s="1"/>
  <c r="AV15" i="5" s="1"/>
  <c r="D359" i="5"/>
  <c r="D16" i="5" s="1"/>
  <c r="AG359" i="5"/>
  <c r="AG16" i="5" s="1"/>
  <c r="J192" i="5"/>
  <c r="H359" i="5"/>
  <c r="H16" i="5" s="1"/>
  <c r="AO387" i="5"/>
  <c r="AO17" i="5" s="1"/>
  <c r="BD291" i="5"/>
  <c r="BD10" i="5" s="1"/>
  <c r="D319" i="5"/>
  <c r="D332" i="5" s="1"/>
  <c r="AS359" i="5"/>
  <c r="AS16" i="5" s="1"/>
  <c r="C71" i="5"/>
  <c r="C74" i="5" s="1"/>
  <c r="J106" i="5"/>
  <c r="J172" i="5" s="1"/>
  <c r="Q291" i="5"/>
  <c r="Q10" i="5" s="1"/>
  <c r="Q12" i="5" s="1"/>
  <c r="U319" i="5"/>
  <c r="U332" i="5" s="1"/>
  <c r="AI319" i="5"/>
  <c r="AI332" i="5" s="1"/>
  <c r="AI15" i="5" s="1"/>
  <c r="AW319" i="5"/>
  <c r="AW332" i="5" s="1"/>
  <c r="AW15" i="5" s="1"/>
  <c r="AW179" i="5"/>
  <c r="AW192" i="5" s="1"/>
  <c r="AT217" i="5"/>
  <c r="E291" i="5"/>
  <c r="E10" i="5" s="1"/>
  <c r="E12" i="5" s="1"/>
  <c r="AG291" i="5"/>
  <c r="AG10" i="5" s="1"/>
  <c r="AG12" i="5" s="1"/>
  <c r="AU291" i="5"/>
  <c r="AU293" i="5" s="1"/>
  <c r="T359" i="5"/>
  <c r="T16" i="5" s="1"/>
  <c r="AH359" i="5"/>
  <c r="AH16" i="5" s="1"/>
  <c r="AV359" i="5"/>
  <c r="AV16" i="5" s="1"/>
  <c r="I387" i="5"/>
  <c r="I17" i="5" s="1"/>
  <c r="W387" i="5"/>
  <c r="W17" i="5" s="1"/>
  <c r="AK387" i="5"/>
  <c r="AK17" i="5" s="1"/>
  <c r="AY387" i="5"/>
  <c r="AY17" i="5" s="1"/>
  <c r="AC464" i="5"/>
  <c r="AC25" i="5" s="1"/>
  <c r="AW74" i="5"/>
  <c r="AW106" i="5" s="1"/>
  <c r="R291" i="5"/>
  <c r="R10" i="5" s="1"/>
  <c r="R12" i="5" s="1"/>
  <c r="BA37" i="5"/>
  <c r="D106" i="5"/>
  <c r="D172" i="5" s="1"/>
  <c r="AT106" i="5"/>
  <c r="AT172" i="5" s="1"/>
  <c r="Y106" i="5"/>
  <c r="Y172" i="5" s="1"/>
  <c r="M44" i="5"/>
  <c r="BE44" i="5"/>
  <c r="AH291" i="5"/>
  <c r="AH10" i="5" s="1"/>
  <c r="AH12" i="5" s="1"/>
  <c r="R319" i="5"/>
  <c r="R332" i="5" s="1"/>
  <c r="R15" i="5" s="1"/>
  <c r="AF319" i="5"/>
  <c r="AF332" i="5" s="1"/>
  <c r="AF15" i="5" s="1"/>
  <c r="AT319" i="5"/>
  <c r="AT332" i="5" s="1"/>
  <c r="AT15" i="5" s="1"/>
  <c r="AA359" i="5"/>
  <c r="AA16" i="5" s="1"/>
  <c r="AO359" i="5"/>
  <c r="AO16" i="5" s="1"/>
  <c r="BC359" i="5"/>
  <c r="BC16" i="5" s="1"/>
  <c r="G359" i="5"/>
  <c r="G16" i="5" s="1"/>
  <c r="N387" i="5"/>
  <c r="N17" i="5" s="1"/>
  <c r="BD387" i="5"/>
  <c r="BD17" i="5" s="1"/>
  <c r="D291" i="5"/>
  <c r="D10" i="5" s="1"/>
  <c r="D12" i="5" s="1"/>
  <c r="AU359" i="5"/>
  <c r="AU16" i="5" s="1"/>
  <c r="C94" i="5"/>
  <c r="Z106" i="5"/>
  <c r="Z172" i="5" s="1"/>
  <c r="AN106" i="5"/>
  <c r="AN172" i="5" s="1"/>
  <c r="BB106" i="5"/>
  <c r="BB172" i="5" s="1"/>
  <c r="C110" i="5"/>
  <c r="N44" i="5"/>
  <c r="F217" i="5"/>
  <c r="AV217" i="5"/>
  <c r="M359" i="5"/>
  <c r="M16" i="5" s="1"/>
  <c r="AB359" i="5"/>
  <c r="AB16" i="5" s="1"/>
  <c r="AP359" i="5"/>
  <c r="AP16" i="5" s="1"/>
  <c r="BD359" i="5"/>
  <c r="BD16" i="5" s="1"/>
  <c r="V359" i="5"/>
  <c r="V16" i="5" s="1"/>
  <c r="O387" i="5"/>
  <c r="O17" i="5" s="1"/>
  <c r="AC387" i="5"/>
  <c r="AC17" i="5" s="1"/>
  <c r="AQ387" i="5"/>
  <c r="AQ17" i="5" s="1"/>
  <c r="BE387" i="5"/>
  <c r="BE17" i="5" s="1"/>
  <c r="M106" i="5"/>
  <c r="M172" i="5" s="1"/>
  <c r="O44" i="5"/>
  <c r="AM319" i="5"/>
  <c r="AM332" i="5" s="1"/>
  <c r="AM15" i="5" s="1"/>
  <c r="N359" i="5"/>
  <c r="N16" i="5" s="1"/>
  <c r="L387" i="5"/>
  <c r="L17" i="5" s="1"/>
  <c r="Z387" i="5"/>
  <c r="Z17" i="5" s="1"/>
  <c r="AN387" i="5"/>
  <c r="AN17" i="5" s="1"/>
  <c r="BB387" i="5"/>
  <c r="BB17" i="5" s="1"/>
  <c r="G217" i="5"/>
  <c r="U217" i="5"/>
  <c r="C512" i="5"/>
  <c r="Q44" i="5"/>
  <c r="AE44" i="5"/>
  <c r="K192" i="5"/>
  <c r="K10" i="2"/>
  <c r="L10" i="2" s="1"/>
  <c r="E44" i="5"/>
  <c r="AG44" i="5"/>
  <c r="N291" i="5"/>
  <c r="N10" i="5" s="1"/>
  <c r="N12" i="5" s="1"/>
  <c r="J464" i="5"/>
  <c r="J25" i="5" s="1"/>
  <c r="X464" i="5"/>
  <c r="X25" i="5" s="1"/>
  <c r="AL464" i="5"/>
  <c r="AL25" i="5" s="1"/>
  <c r="AZ464" i="5"/>
  <c r="AZ25" i="5" s="1"/>
  <c r="H192" i="5"/>
  <c r="V192" i="5"/>
  <c r="F192" i="5"/>
  <c r="H44" i="5"/>
  <c r="E106" i="5"/>
  <c r="E172" i="5" s="1"/>
  <c r="AU74" i="5"/>
  <c r="AU106" i="5" s="1"/>
  <c r="AU172" i="5" s="1"/>
  <c r="C83" i="5"/>
  <c r="AC106" i="5"/>
  <c r="AC172" i="5" s="1"/>
  <c r="AQ106" i="5"/>
  <c r="AQ172" i="5" s="1"/>
  <c r="G192" i="5"/>
  <c r="U192" i="5"/>
  <c r="AI192" i="5"/>
  <c r="P291" i="5"/>
  <c r="P10" i="5" s="1"/>
  <c r="P12" i="5" s="1"/>
  <c r="AD291" i="5"/>
  <c r="AD10" i="5" s="1"/>
  <c r="AD12" i="5" s="1"/>
  <c r="AR291" i="5"/>
  <c r="AR10" i="5" s="1"/>
  <c r="AR12" i="5" s="1"/>
  <c r="H291" i="5"/>
  <c r="H10" i="5" s="1"/>
  <c r="H12" i="5" s="1"/>
  <c r="AY291" i="5"/>
  <c r="AY293" i="5" s="1"/>
  <c r="Z464" i="5"/>
  <c r="Z25" i="5" s="1"/>
  <c r="AN464" i="5"/>
  <c r="AN25" i="5" s="1"/>
  <c r="C471" i="5"/>
  <c r="C483" i="5" s="1"/>
  <c r="AX106" i="5"/>
  <c r="AX172" i="5" s="1"/>
  <c r="AX43" i="5" s="1"/>
  <c r="AD106" i="5"/>
  <c r="AD172" i="5" s="1"/>
  <c r="BB192" i="5"/>
  <c r="AE291" i="5"/>
  <c r="AE10" i="5" s="1"/>
  <c r="AE12" i="5" s="1"/>
  <c r="AS291" i="5"/>
  <c r="AS10" i="5" s="1"/>
  <c r="AS12" i="5" s="1"/>
  <c r="I291" i="5"/>
  <c r="I293" i="5" s="1"/>
  <c r="AL291" i="5"/>
  <c r="AL10" i="5" s="1"/>
  <c r="AL12" i="5" s="1"/>
  <c r="AZ291" i="5"/>
  <c r="AZ10" i="5" s="1"/>
  <c r="AZ12" i="5" s="1"/>
  <c r="BE319" i="5"/>
  <c r="BE332" i="5" s="1"/>
  <c r="AF359" i="5"/>
  <c r="AF16" i="5" s="1"/>
  <c r="AS464" i="5"/>
  <c r="AS25" i="5" s="1"/>
  <c r="C34" i="5"/>
  <c r="M327" i="5"/>
  <c r="C324" i="5"/>
  <c r="C327" i="5" s="1"/>
  <c r="Q464" i="5"/>
  <c r="Q25" i="5" s="1"/>
  <c r="AE464" i="5"/>
  <c r="AE25" i="5" s="1"/>
  <c r="V44" i="5"/>
  <c r="AM106" i="5"/>
  <c r="AM172" i="5" s="1"/>
  <c r="BA106" i="5"/>
  <c r="BA172" i="5" s="1"/>
  <c r="D44" i="5"/>
  <c r="R44" i="5"/>
  <c r="AT192" i="5"/>
  <c r="AI217" i="5"/>
  <c r="D217" i="5"/>
  <c r="R217" i="5"/>
  <c r="O217" i="5"/>
  <c r="AC217" i="5"/>
  <c r="BE217" i="5"/>
  <c r="AB11" i="5"/>
  <c r="AP11" i="5"/>
  <c r="BD11" i="5"/>
  <c r="AH217" i="5"/>
  <c r="BE11" i="5"/>
  <c r="F106" i="5"/>
  <c r="F172" i="5" s="1"/>
  <c r="T106" i="5"/>
  <c r="T172" i="5" s="1"/>
  <c r="AH106" i="5"/>
  <c r="AH172" i="5" s="1"/>
  <c r="E217" i="5"/>
  <c r="S217" i="5"/>
  <c r="AU217" i="5"/>
  <c r="AJ192" i="5"/>
  <c r="AJ44" i="5"/>
  <c r="AH192" i="5"/>
  <c r="AH44" i="5"/>
  <c r="I217" i="5"/>
  <c r="BD319" i="5"/>
  <c r="BD332" i="5" s="1"/>
  <c r="AQ11" i="5"/>
  <c r="Y192" i="5"/>
  <c r="AB387" i="5"/>
  <c r="AB17" i="5" s="1"/>
  <c r="AP387" i="5"/>
  <c r="AP17" i="5" s="1"/>
  <c r="K11" i="5"/>
  <c r="C170" i="5"/>
  <c r="J44" i="5"/>
  <c r="AL44" i="5"/>
  <c r="AA464" i="5"/>
  <c r="AA25" i="5" s="1"/>
  <c r="AC11" i="5"/>
  <c r="AL106" i="5"/>
  <c r="AL172" i="5" s="1"/>
  <c r="AY192" i="5"/>
  <c r="AM192" i="5"/>
  <c r="Y291" i="5"/>
  <c r="Y10" i="5" s="1"/>
  <c r="Y12" i="5" s="1"/>
  <c r="P387" i="5"/>
  <c r="P17" i="5" s="1"/>
  <c r="AD387" i="5"/>
  <c r="AD17" i="5" s="1"/>
  <c r="AR387" i="5"/>
  <c r="AR17" i="5" s="1"/>
  <c r="BF387" i="5"/>
  <c r="BF17" i="5" s="1"/>
  <c r="AT44" i="5"/>
  <c r="K106" i="5"/>
  <c r="K172" i="5" s="1"/>
  <c r="AZ192" i="5"/>
  <c r="W319" i="5"/>
  <c r="W332" i="5" s="1"/>
  <c r="W15" i="5" s="1"/>
  <c r="AK319" i="5"/>
  <c r="AK332" i="5" s="1"/>
  <c r="AK15" i="5" s="1"/>
  <c r="AY319" i="5"/>
  <c r="AY332" i="5" s="1"/>
  <c r="AY15" i="5" s="1"/>
  <c r="C19" i="5"/>
  <c r="C62" i="5"/>
  <c r="C8" i="5"/>
  <c r="BA192" i="5"/>
  <c r="C396" i="5"/>
  <c r="AA106" i="5"/>
  <c r="AA172" i="5" s="1"/>
  <c r="J359" i="5"/>
  <c r="J16" i="5" s="1"/>
  <c r="Y359" i="5"/>
  <c r="Y16" i="5" s="1"/>
  <c r="AM359" i="5"/>
  <c r="AM16" i="5" s="1"/>
  <c r="BA359" i="5"/>
  <c r="BA16" i="5" s="1"/>
  <c r="C458" i="5"/>
  <c r="M464" i="5"/>
  <c r="M25" i="5" s="1"/>
  <c r="N106" i="5"/>
  <c r="N172" i="5" s="1"/>
  <c r="N43" i="5" s="1"/>
  <c r="AB106" i="5"/>
  <c r="AB172" i="5" s="1"/>
  <c r="AP106" i="5"/>
  <c r="AP172" i="5" s="1"/>
  <c r="AQ192" i="5"/>
  <c r="AQ44" i="5"/>
  <c r="G319" i="5"/>
  <c r="G332" i="5" s="1"/>
  <c r="G15" i="5" s="1"/>
  <c r="K359" i="5"/>
  <c r="K16" i="5" s="1"/>
  <c r="AH387" i="5"/>
  <c r="AH17" i="5" s="1"/>
  <c r="AV387" i="5"/>
  <c r="AV17" i="5" s="1"/>
  <c r="I319" i="5"/>
  <c r="I332" i="5" s="1"/>
  <c r="I15" i="5" s="1"/>
  <c r="N464" i="5"/>
  <c r="N25" i="5" s="1"/>
  <c r="BD464" i="5"/>
  <c r="BD25" i="5" s="1"/>
  <c r="C40" i="5"/>
  <c r="C52" i="5"/>
  <c r="AF217" i="5"/>
  <c r="C211" i="5"/>
  <c r="C237" i="5"/>
  <c r="AJ291" i="5"/>
  <c r="AJ10" i="5" s="1"/>
  <c r="AJ12" i="5" s="1"/>
  <c r="F319" i="5"/>
  <c r="F332" i="5" s="1"/>
  <c r="F15" i="5" s="1"/>
  <c r="AT464" i="5"/>
  <c r="AT25" i="5" s="1"/>
  <c r="H106" i="5"/>
  <c r="H172" i="5" s="1"/>
  <c r="V106" i="5"/>
  <c r="V172" i="5" s="1"/>
  <c r="AJ106" i="5"/>
  <c r="AJ172" i="5" s="1"/>
  <c r="J217" i="5"/>
  <c r="X217" i="5"/>
  <c r="AL217" i="5"/>
  <c r="AZ217" i="5"/>
  <c r="H217" i="5"/>
  <c r="V217" i="5"/>
  <c r="AJ217" i="5"/>
  <c r="AX217" i="5"/>
  <c r="C283" i="5"/>
  <c r="C289" i="5" s="1"/>
  <c r="J319" i="5"/>
  <c r="J332" i="5" s="1"/>
  <c r="X319" i="5"/>
  <c r="X332" i="5" s="1"/>
  <c r="X15" i="5" s="1"/>
  <c r="AL319" i="5"/>
  <c r="AL332" i="5" s="1"/>
  <c r="AL15" i="5" s="1"/>
  <c r="AZ319" i="5"/>
  <c r="AZ332" i="5" s="1"/>
  <c r="AZ15" i="5" s="1"/>
  <c r="AT359" i="5"/>
  <c r="AT16" i="5" s="1"/>
  <c r="D387" i="5"/>
  <c r="D17" i="5" s="1"/>
  <c r="R387" i="5"/>
  <c r="R17" i="5" s="1"/>
  <c r="AF387" i="5"/>
  <c r="AF17" i="5" s="1"/>
  <c r="AT387" i="5"/>
  <c r="AT17" i="5" s="1"/>
  <c r="L44" i="5"/>
  <c r="Z44" i="5"/>
  <c r="W217" i="5"/>
  <c r="AK217" i="5"/>
  <c r="AY217" i="5"/>
  <c r="G291" i="5"/>
  <c r="U291" i="5"/>
  <c r="U10" i="5" s="1"/>
  <c r="U12" i="5" s="1"/>
  <c r="AI291" i="5"/>
  <c r="AI10" i="5" s="1"/>
  <c r="AI12" i="5" s="1"/>
  <c r="AW291" i="5"/>
  <c r="P319" i="5"/>
  <c r="P332" i="5" s="1"/>
  <c r="P15" i="5" s="1"/>
  <c r="R359" i="5"/>
  <c r="R16" i="5" s="1"/>
  <c r="E387" i="5"/>
  <c r="E17" i="5" s="1"/>
  <c r="S387" i="5"/>
  <c r="S17" i="5" s="1"/>
  <c r="AG387" i="5"/>
  <c r="AG17" i="5" s="1"/>
  <c r="AU387" i="5"/>
  <c r="AU17" i="5" s="1"/>
  <c r="K464" i="5"/>
  <c r="K25" i="5" s="1"/>
  <c r="C35" i="5"/>
  <c r="AR106" i="5"/>
  <c r="AR172" i="5" s="1"/>
  <c r="BF106" i="5"/>
  <c r="BF172" i="5" s="1"/>
  <c r="BF43" i="5" s="1"/>
  <c r="X106" i="5"/>
  <c r="X172" i="5" s="1"/>
  <c r="AZ106" i="5"/>
  <c r="AZ172" i="5" s="1"/>
  <c r="D192" i="5"/>
  <c r="N192" i="5"/>
  <c r="BD192" i="5"/>
  <c r="M192" i="5"/>
  <c r="AA44" i="5"/>
  <c r="BC192" i="5"/>
  <c r="L319" i="5"/>
  <c r="L332" i="5" s="1"/>
  <c r="L15" i="5" s="1"/>
  <c r="Z319" i="5"/>
  <c r="Z332" i="5" s="1"/>
  <c r="Z15" i="5" s="1"/>
  <c r="AN319" i="5"/>
  <c r="AN332" i="5" s="1"/>
  <c r="AN15" i="5" s="1"/>
  <c r="BB319" i="5"/>
  <c r="BB332" i="5" s="1"/>
  <c r="BB15" i="5" s="1"/>
  <c r="C385" i="5"/>
  <c r="C26" i="5"/>
  <c r="AU44" i="5"/>
  <c r="AB192" i="5"/>
  <c r="AP44" i="5"/>
  <c r="BD44" i="5"/>
  <c r="W291" i="5"/>
  <c r="W10" i="5" s="1"/>
  <c r="W12" i="5" s="1"/>
  <c r="AK291" i="5"/>
  <c r="AK10" i="5" s="1"/>
  <c r="AK12" i="5" s="1"/>
  <c r="M319" i="5"/>
  <c r="AA319" i="5"/>
  <c r="AA332" i="5" s="1"/>
  <c r="AA15" i="5" s="1"/>
  <c r="AO319" i="5"/>
  <c r="AO332" i="5" s="1"/>
  <c r="AO15" i="5" s="1"/>
  <c r="BC319" i="5"/>
  <c r="BC332" i="5" s="1"/>
  <c r="BC15" i="5" s="1"/>
  <c r="G387" i="5"/>
  <c r="G17" i="5" s="1"/>
  <c r="U387" i="5"/>
  <c r="U17" i="5" s="1"/>
  <c r="AI387" i="5"/>
  <c r="AI17" i="5" s="1"/>
  <c r="AW387" i="5"/>
  <c r="AW17" i="5" s="1"/>
  <c r="C450" i="5"/>
  <c r="I464" i="5"/>
  <c r="I25" i="5" s="1"/>
  <c r="AK464" i="5"/>
  <c r="AK25" i="5" s="1"/>
  <c r="BF192" i="5"/>
  <c r="N217" i="5"/>
  <c r="AB217" i="5"/>
  <c r="AP217" i="5"/>
  <c r="BD217" i="5"/>
  <c r="C277" i="5"/>
  <c r="C501" i="5"/>
  <c r="C104" i="5"/>
  <c r="AO106" i="5"/>
  <c r="AO172" i="5" s="1"/>
  <c r="Q192" i="5"/>
  <c r="AE192" i="5"/>
  <c r="AQ217" i="5"/>
  <c r="C232" i="5"/>
  <c r="Y464" i="5"/>
  <c r="Y25" i="5" s="1"/>
  <c r="AM464" i="5"/>
  <c r="AM25" i="5" s="1"/>
  <c r="BA464" i="5"/>
  <c r="BA25" i="5" s="1"/>
  <c r="C507" i="5"/>
  <c r="C510" i="5" s="1"/>
  <c r="C29" i="5"/>
  <c r="C18" i="5"/>
  <c r="C9" i="5"/>
  <c r="P44" i="5"/>
  <c r="P192" i="5"/>
  <c r="C20" i="5"/>
  <c r="C36" i="5"/>
  <c r="Q217" i="5"/>
  <c r="AS217" i="5"/>
  <c r="C28" i="5"/>
  <c r="T192" i="5"/>
  <c r="T44" i="5"/>
  <c r="AV192" i="5"/>
  <c r="AV44" i="5"/>
  <c r="C47" i="5"/>
  <c r="C48" i="5"/>
  <c r="G44" i="5"/>
  <c r="C46" i="5"/>
  <c r="C50" i="5"/>
  <c r="C51" i="5"/>
  <c r="Q106" i="5"/>
  <c r="Q172" i="5" s="1"/>
  <c r="AE106" i="5"/>
  <c r="AE172" i="5" s="1"/>
  <c r="AS106" i="5"/>
  <c r="AS172" i="5" s="1"/>
  <c r="O192" i="5"/>
  <c r="AC192" i="5"/>
  <c r="AC44" i="5"/>
  <c r="BF44" i="5"/>
  <c r="C7" i="5"/>
  <c r="C178" i="5"/>
  <c r="AX179" i="5"/>
  <c r="AD44" i="5"/>
  <c r="AR44" i="5"/>
  <c r="AR192" i="5"/>
  <c r="K217" i="5"/>
  <c r="Y217" i="5"/>
  <c r="AM217" i="5"/>
  <c r="BA217" i="5"/>
  <c r="R106" i="5"/>
  <c r="R172" i="5" s="1"/>
  <c r="I16" i="3"/>
  <c r="K16" i="3" s="1"/>
  <c r="U106" i="5"/>
  <c r="U172" i="5" s="1"/>
  <c r="J21" i="5"/>
  <c r="C21" i="5" s="1"/>
  <c r="C158" i="5"/>
  <c r="AW166" i="5"/>
  <c r="C162" i="5"/>
  <c r="C166" i="5" s="1"/>
  <c r="AI44" i="5"/>
  <c r="AF106" i="5"/>
  <c r="AF172" i="5" s="1"/>
  <c r="S106" i="5"/>
  <c r="S172" i="5" s="1"/>
  <c r="AS44" i="5"/>
  <c r="AG217" i="5"/>
  <c r="C254" i="5"/>
  <c r="AV106" i="5"/>
  <c r="AV172" i="5" s="1"/>
  <c r="G106" i="5"/>
  <c r="G172" i="5" s="1"/>
  <c r="AI106" i="5"/>
  <c r="AI172" i="5" s="1"/>
  <c r="M217" i="5"/>
  <c r="AA217" i="5"/>
  <c r="AO217" i="5"/>
  <c r="BC217" i="5"/>
  <c r="BE192" i="5"/>
  <c r="C203" i="5"/>
  <c r="BC106" i="5"/>
  <c r="BC172" i="5" s="1"/>
  <c r="C125" i="5"/>
  <c r="AD192" i="5"/>
  <c r="BD106" i="5"/>
  <c r="BD172" i="5" s="1"/>
  <c r="AO44" i="5"/>
  <c r="AO192" i="5"/>
  <c r="P217" i="5"/>
  <c r="AD217" i="5"/>
  <c r="AR217" i="5"/>
  <c r="BF217" i="5"/>
  <c r="O106" i="5"/>
  <c r="R192" i="5"/>
  <c r="AF192" i="5"/>
  <c r="AA192" i="5"/>
  <c r="P106" i="5"/>
  <c r="P172" i="5" s="1"/>
  <c r="C143" i="5"/>
  <c r="AW158" i="5"/>
  <c r="E192" i="5"/>
  <c r="S192" i="5"/>
  <c r="AG192" i="5"/>
  <c r="AU192" i="5"/>
  <c r="L217" i="5"/>
  <c r="Z217" i="5"/>
  <c r="AN217" i="5"/>
  <c r="BB217" i="5"/>
  <c r="H387" i="5"/>
  <c r="H17" i="5" s="1"/>
  <c r="V387" i="5"/>
  <c r="V17" i="5" s="1"/>
  <c r="AJ387" i="5"/>
  <c r="AJ17" i="5" s="1"/>
  <c r="AX387" i="5"/>
  <c r="AX17" i="5" s="1"/>
  <c r="AE217" i="5"/>
  <c r="BE106" i="5"/>
  <c r="BE172" i="5" s="1"/>
  <c r="I44" i="5"/>
  <c r="W44" i="5"/>
  <c r="AK44" i="5"/>
  <c r="AY44" i="5"/>
  <c r="D464" i="5"/>
  <c r="D25" i="5" s="1"/>
  <c r="R464" i="5"/>
  <c r="R25" i="5" s="1"/>
  <c r="AF464" i="5"/>
  <c r="AF25" i="5" s="1"/>
  <c r="AP192" i="5"/>
  <c r="AW217" i="5"/>
  <c r="P464" i="5"/>
  <c r="P25" i="5" s="1"/>
  <c r="AD464" i="5"/>
  <c r="AD25" i="5" s="1"/>
  <c r="AR464" i="5"/>
  <c r="AR25" i="5" s="1"/>
  <c r="BF464" i="5"/>
  <c r="BF25" i="5" s="1"/>
  <c r="AG106" i="5"/>
  <c r="AG172" i="5" s="1"/>
  <c r="C249" i="5"/>
  <c r="C357" i="5"/>
  <c r="C427" i="5"/>
  <c r="C431" i="5" s="1"/>
  <c r="O464" i="5"/>
  <c r="O25" i="5" s="1"/>
  <c r="BE464" i="5"/>
  <c r="BE25" i="5" s="1"/>
  <c r="I106" i="5"/>
  <c r="I172" i="5" s="1"/>
  <c r="W106" i="5"/>
  <c r="W172" i="5" s="1"/>
  <c r="AK106" i="5"/>
  <c r="AK172" i="5" s="1"/>
  <c r="AY106" i="5"/>
  <c r="AY172" i="5" s="1"/>
  <c r="AI359" i="5"/>
  <c r="AI16" i="5" s="1"/>
  <c r="AW359" i="5"/>
  <c r="AJ359" i="5"/>
  <c r="AJ16" i="5" s="1"/>
  <c r="C403" i="5"/>
  <c r="M291" i="5"/>
  <c r="M10" i="5" s="1"/>
  <c r="C372" i="5"/>
  <c r="Q387" i="5"/>
  <c r="Q17" i="5" s="1"/>
  <c r="AE387" i="5"/>
  <c r="AE17" i="5" s="1"/>
  <c r="AS387" i="5"/>
  <c r="AS17" i="5" s="1"/>
  <c r="E464" i="5"/>
  <c r="E25" i="5" s="1"/>
  <c r="S464" i="5"/>
  <c r="S25" i="5" s="1"/>
  <c r="AG464" i="5"/>
  <c r="AG25" i="5" s="1"/>
  <c r="AU464" i="5"/>
  <c r="AU25" i="5" s="1"/>
  <c r="W359" i="5"/>
  <c r="W16" i="5" s="1"/>
  <c r="AK359" i="5"/>
  <c r="AK16" i="5" s="1"/>
  <c r="AY359" i="5"/>
  <c r="AY16" i="5" s="1"/>
  <c r="F464" i="5"/>
  <c r="F25" i="5" s="1"/>
  <c r="T464" i="5"/>
  <c r="T25" i="5" s="1"/>
  <c r="AH464" i="5"/>
  <c r="AH25" i="5" s="1"/>
  <c r="AV464" i="5"/>
  <c r="AV25" i="5" s="1"/>
  <c r="O291" i="5"/>
  <c r="O10" i="5" s="1"/>
  <c r="O12" i="5" s="1"/>
  <c r="I359" i="5"/>
  <c r="I16" i="5" s="1"/>
  <c r="X359" i="5"/>
  <c r="X16" i="5" s="1"/>
  <c r="AL359" i="5"/>
  <c r="AL16" i="5" s="1"/>
  <c r="AZ359" i="5"/>
  <c r="AZ16" i="5" s="1"/>
  <c r="G464" i="5"/>
  <c r="G25" i="5" s="1"/>
  <c r="U464" i="5"/>
  <c r="U25" i="5" s="1"/>
  <c r="AI464" i="5"/>
  <c r="AI25" i="5" s="1"/>
  <c r="AW464" i="5"/>
  <c r="AW25" i="5" s="1"/>
  <c r="H464" i="5"/>
  <c r="H25" i="5" s="1"/>
  <c r="V464" i="5"/>
  <c r="V25" i="5" s="1"/>
  <c r="AJ464" i="5"/>
  <c r="AJ25" i="5" s="1"/>
  <c r="AX464" i="5"/>
  <c r="AX25" i="5" s="1"/>
  <c r="C441" i="5"/>
  <c r="C442" i="5" s="1"/>
  <c r="C301" i="5"/>
  <c r="C310" i="5" s="1"/>
  <c r="K16" i="2"/>
  <c r="L16" i="2" s="1"/>
  <c r="K11" i="2"/>
  <c r="L11" i="2" s="1"/>
  <c r="K18" i="2"/>
  <c r="L18" i="2" s="1"/>
  <c r="K25" i="2"/>
  <c r="L25" i="2" s="1"/>
  <c r="K32" i="2"/>
  <c r="L32" i="2" s="1"/>
  <c r="K39" i="2"/>
  <c r="L39" i="2" s="1"/>
  <c r="K35" i="2"/>
  <c r="L35" i="2" s="1"/>
  <c r="K41" i="2"/>
  <c r="L41" i="2" s="1"/>
  <c r="K15" i="2"/>
  <c r="L15" i="2" s="1"/>
  <c r="K22" i="2"/>
  <c r="L22" i="2" s="1"/>
  <c r="K29" i="2"/>
  <c r="L29" i="2" s="1"/>
  <c r="K43" i="2"/>
  <c r="L43" i="2" s="1"/>
  <c r="I14" i="3"/>
  <c r="K14" i="3" s="1"/>
  <c r="K23" i="2"/>
  <c r="L23" i="2" s="1"/>
  <c r="K30" i="2"/>
  <c r="L30" i="2" s="1"/>
  <c r="K37" i="2"/>
  <c r="L37" i="2" s="1"/>
  <c r="K44" i="2"/>
  <c r="L44" i="2" s="1"/>
  <c r="K17" i="2"/>
  <c r="L17" i="2" s="1"/>
  <c r="K24" i="2"/>
  <c r="L24" i="2" s="1"/>
  <c r="K31" i="2"/>
  <c r="L31" i="2" s="1"/>
  <c r="K38" i="2"/>
  <c r="L38" i="2" s="1"/>
  <c r="I18" i="3"/>
  <c r="K18" i="3" s="1"/>
  <c r="I46" i="2"/>
  <c r="K12" i="2"/>
  <c r="L12" i="2" s="1"/>
  <c r="K19" i="2"/>
  <c r="L19" i="2" s="1"/>
  <c r="K26" i="2"/>
  <c r="L26" i="2" s="1"/>
  <c r="K40" i="2"/>
  <c r="L40" i="2" s="1"/>
  <c r="K14" i="2"/>
  <c r="L14" i="2" s="1"/>
  <c r="K13" i="2"/>
  <c r="L13" i="2" s="1"/>
  <c r="K27" i="2"/>
  <c r="L27" i="2" s="1"/>
  <c r="K34" i="2"/>
  <c r="L34" i="2" s="1"/>
  <c r="K28" i="2"/>
  <c r="L28" i="2" s="1"/>
  <c r="K42" i="2"/>
  <c r="L42" i="2" s="1"/>
  <c r="K20" i="2"/>
  <c r="L20" i="2" s="1"/>
  <c r="K33" i="2"/>
  <c r="L33" i="2" s="1"/>
  <c r="K45" i="2"/>
  <c r="L45" i="2" s="1"/>
  <c r="K21" i="2"/>
  <c r="L21" i="2" s="1"/>
  <c r="K36" i="2"/>
  <c r="L36" i="2" s="1"/>
  <c r="E46" i="2"/>
  <c r="L14" i="1" l="1"/>
  <c r="H16" i="1"/>
  <c r="K293" i="5"/>
  <c r="AQ12" i="5"/>
  <c r="C179" i="5"/>
  <c r="C192" i="5" s="1"/>
  <c r="K12" i="5"/>
  <c r="V293" i="5"/>
  <c r="BB293" i="5"/>
  <c r="AW44" i="5"/>
  <c r="F293" i="5"/>
  <c r="BE12" i="5"/>
  <c r="AC12" i="5"/>
  <c r="AF23" i="5"/>
  <c r="AU10" i="5"/>
  <c r="AU12" i="5" s="1"/>
  <c r="X293" i="5"/>
  <c r="BC293" i="5"/>
  <c r="AC293" i="5"/>
  <c r="J293" i="5"/>
  <c r="BE293" i="5"/>
  <c r="L293" i="5"/>
  <c r="AQ293" i="5"/>
  <c r="T10" i="5"/>
  <c r="T12" i="5" s="1"/>
  <c r="AA23" i="5"/>
  <c r="AH194" i="5"/>
  <c r="AH251" i="5" s="1"/>
  <c r="AI23" i="5"/>
  <c r="Q293" i="5"/>
  <c r="AL23" i="5"/>
  <c r="BF293" i="5"/>
  <c r="AN293" i="5"/>
  <c r="F23" i="5"/>
  <c r="Z293" i="5"/>
  <c r="AE23" i="5"/>
  <c r="C291" i="5"/>
  <c r="C293" i="5" s="1"/>
  <c r="AV293" i="5"/>
  <c r="O23" i="5"/>
  <c r="BB433" i="5"/>
  <c r="V23" i="5"/>
  <c r="AX293" i="5"/>
  <c r="H293" i="5"/>
  <c r="P23" i="5"/>
  <c r="S23" i="5"/>
  <c r="K15" i="5"/>
  <c r="K23" i="5" s="1"/>
  <c r="K433" i="5"/>
  <c r="BF15" i="5"/>
  <c r="BF23" i="5" s="1"/>
  <c r="BF433" i="5"/>
  <c r="AD15" i="5"/>
  <c r="AD23" i="5" s="1"/>
  <c r="AD433" i="5"/>
  <c r="H23" i="5"/>
  <c r="AO293" i="5"/>
  <c r="AE433" i="5"/>
  <c r="AA293" i="5"/>
  <c r="Q23" i="5"/>
  <c r="P293" i="5"/>
  <c r="AN23" i="5"/>
  <c r="BD12" i="5"/>
  <c r="AC23" i="5"/>
  <c r="N293" i="5"/>
  <c r="AT23" i="5"/>
  <c r="S293" i="5"/>
  <c r="C464" i="5"/>
  <c r="AJ433" i="5"/>
  <c r="BB23" i="5"/>
  <c r="AG293" i="5"/>
  <c r="G23" i="5"/>
  <c r="BD293" i="5"/>
  <c r="L23" i="5"/>
  <c r="AT293" i="5"/>
  <c r="AP12" i="5"/>
  <c r="I10" i="5"/>
  <c r="I12" i="5" s="1"/>
  <c r="AM293" i="5"/>
  <c r="E293" i="5"/>
  <c r="AF293" i="5"/>
  <c r="AP293" i="5"/>
  <c r="AM23" i="5"/>
  <c r="BC433" i="5"/>
  <c r="R293" i="5"/>
  <c r="BA293" i="5"/>
  <c r="AJ293" i="5"/>
  <c r="AB12" i="5"/>
  <c r="C319" i="5"/>
  <c r="C332" i="5" s="1"/>
  <c r="Y433" i="5"/>
  <c r="AH293" i="5"/>
  <c r="D293" i="5"/>
  <c r="AB293" i="5"/>
  <c r="AQ23" i="5"/>
  <c r="BE15" i="5"/>
  <c r="BE23" i="5" s="1"/>
  <c r="BE433" i="5"/>
  <c r="BD15" i="5"/>
  <c r="BD23" i="5" s="1"/>
  <c r="BD433" i="5"/>
  <c r="AO23" i="5"/>
  <c r="N194" i="5"/>
  <c r="N251" i="5" s="1"/>
  <c r="AS293" i="5"/>
  <c r="O433" i="5"/>
  <c r="AK293" i="5"/>
  <c r="AN433" i="5"/>
  <c r="AE293" i="5"/>
  <c r="Z23" i="5"/>
  <c r="V433" i="5"/>
  <c r="U293" i="5"/>
  <c r="BF194" i="5"/>
  <c r="BF251" i="5" s="1"/>
  <c r="Z433" i="5"/>
  <c r="H433" i="5"/>
  <c r="N23" i="5"/>
  <c r="AY23" i="5"/>
  <c r="L433" i="5"/>
  <c r="AZ293" i="5"/>
  <c r="AH23" i="5"/>
  <c r="AR293" i="5"/>
  <c r="AX23" i="5"/>
  <c r="AY10" i="5"/>
  <c r="AY12" i="5" s="1"/>
  <c r="AQ433" i="5"/>
  <c r="W293" i="5"/>
  <c r="N45" i="5"/>
  <c r="N53" i="5" s="1"/>
  <c r="BC23" i="5"/>
  <c r="BC506" i="5" s="1"/>
  <c r="AL293" i="5"/>
  <c r="I23" i="5"/>
  <c r="AD293" i="5"/>
  <c r="AI433" i="5"/>
  <c r="AX433" i="5"/>
  <c r="AJ194" i="5"/>
  <c r="AJ251" i="5" s="1"/>
  <c r="AJ43" i="5"/>
  <c r="AJ45" i="5" s="1"/>
  <c r="AJ53" i="5" s="1"/>
  <c r="J15" i="5"/>
  <c r="J23" i="5" s="1"/>
  <c r="J433" i="5"/>
  <c r="H43" i="5"/>
  <c r="H45" i="5" s="1"/>
  <c r="H53" i="5" s="1"/>
  <c r="H194" i="5"/>
  <c r="H251" i="5" s="1"/>
  <c r="AZ43" i="5"/>
  <c r="AZ45" i="5" s="1"/>
  <c r="AZ53" i="5" s="1"/>
  <c r="AZ194" i="5"/>
  <c r="AZ251" i="5" s="1"/>
  <c r="X194" i="5"/>
  <c r="X251" i="5" s="1"/>
  <c r="X43" i="5"/>
  <c r="X45" i="5" s="1"/>
  <c r="X53" i="5" s="1"/>
  <c r="AL43" i="5"/>
  <c r="AL45" i="5" s="1"/>
  <c r="AL53" i="5" s="1"/>
  <c r="AL194" i="5"/>
  <c r="AL251" i="5" s="1"/>
  <c r="E23" i="5"/>
  <c r="C217" i="5"/>
  <c r="R23" i="5"/>
  <c r="C11" i="5"/>
  <c r="U433" i="5"/>
  <c r="U15" i="5"/>
  <c r="U23" i="5" s="1"/>
  <c r="AO433" i="5"/>
  <c r="BA23" i="5"/>
  <c r="BA30" i="5" s="1"/>
  <c r="BA39" i="5" s="1"/>
  <c r="BA41" i="5" s="1"/>
  <c r="AS23" i="5"/>
  <c r="AH43" i="5"/>
  <c r="AH45" i="5" s="1"/>
  <c r="AH53" i="5" s="1"/>
  <c r="R433" i="5"/>
  <c r="AI293" i="5"/>
  <c r="AA433" i="5"/>
  <c r="AK23" i="5"/>
  <c r="C106" i="5"/>
  <c r="C172" i="5" s="1"/>
  <c r="AP23" i="5"/>
  <c r="G433" i="5"/>
  <c r="P433" i="5"/>
  <c r="Y293" i="5"/>
  <c r="AW293" i="5"/>
  <c r="AW10" i="5"/>
  <c r="AW12" i="5" s="1"/>
  <c r="AC433" i="5"/>
  <c r="G293" i="5"/>
  <c r="G10" i="5"/>
  <c r="G12" i="5" s="1"/>
  <c r="AZ23" i="5"/>
  <c r="C387" i="5"/>
  <c r="AR433" i="5"/>
  <c r="AT433" i="5"/>
  <c r="K22" i="3"/>
  <c r="W23" i="5"/>
  <c r="AU23" i="5"/>
  <c r="Y23" i="5"/>
  <c r="AW172" i="5"/>
  <c r="AW194" i="5" s="1"/>
  <c r="AW251" i="5" s="1"/>
  <c r="C359" i="5"/>
  <c r="BF45" i="5"/>
  <c r="BF53" i="5" s="1"/>
  <c r="X23" i="5"/>
  <c r="AV23" i="5"/>
  <c r="AG23" i="5"/>
  <c r="AJ23" i="5"/>
  <c r="AY433" i="5"/>
  <c r="AR23" i="5"/>
  <c r="AF433" i="5"/>
  <c r="M332" i="5"/>
  <c r="BE194" i="5"/>
  <c r="BE251" i="5" s="1"/>
  <c r="BE43" i="5"/>
  <c r="BE45" i="5" s="1"/>
  <c r="BE53" i="5" s="1"/>
  <c r="G194" i="5"/>
  <c r="G251" i="5" s="1"/>
  <c r="G43" i="5"/>
  <c r="G45" i="5" s="1"/>
  <c r="G53" i="5" s="1"/>
  <c r="AI194" i="5"/>
  <c r="AI251" i="5" s="1"/>
  <c r="AI43" i="5"/>
  <c r="AI45" i="5" s="1"/>
  <c r="AI53" i="5" s="1"/>
  <c r="W43" i="5"/>
  <c r="W45" i="5" s="1"/>
  <c r="W53" i="5" s="1"/>
  <c r="W194" i="5"/>
  <c r="W251" i="5" s="1"/>
  <c r="I194" i="5"/>
  <c r="I251" i="5" s="1"/>
  <c r="I43" i="5"/>
  <c r="I45" i="5" s="1"/>
  <c r="I53" i="5" s="1"/>
  <c r="BD194" i="5"/>
  <c r="BD251" i="5" s="1"/>
  <c r="BD43" i="5"/>
  <c r="BD45" i="5" s="1"/>
  <c r="BD53" i="5" s="1"/>
  <c r="BC194" i="5"/>
  <c r="BC251" i="5" s="1"/>
  <c r="BC43" i="5"/>
  <c r="BC45" i="5" s="1"/>
  <c r="AD194" i="5"/>
  <c r="AD251" i="5" s="1"/>
  <c r="AD43" i="5"/>
  <c r="AD45" i="5" s="1"/>
  <c r="AD53" i="5" s="1"/>
  <c r="AG433" i="5"/>
  <c r="O293" i="5"/>
  <c r="V43" i="5"/>
  <c r="V45" i="5" s="1"/>
  <c r="V53" i="5" s="1"/>
  <c r="V194" i="5"/>
  <c r="V251" i="5" s="1"/>
  <c r="AU433" i="5"/>
  <c r="C17" i="5"/>
  <c r="D433" i="5"/>
  <c r="D15" i="5"/>
  <c r="AY43" i="5"/>
  <c r="AY45" i="5" s="1"/>
  <c r="AY53" i="5" s="1"/>
  <c r="AY194" i="5"/>
  <c r="AY251" i="5" s="1"/>
  <c r="AB194" i="5"/>
  <c r="AB251" i="5" s="1"/>
  <c r="AB43" i="5"/>
  <c r="AB45" i="5" s="1"/>
  <c r="AB53" i="5" s="1"/>
  <c r="Y43" i="5"/>
  <c r="Y45" i="5" s="1"/>
  <c r="Y53" i="5" s="1"/>
  <c r="Y194" i="5"/>
  <c r="Y251" i="5" s="1"/>
  <c r="M12" i="5"/>
  <c r="AF194" i="5"/>
  <c r="AF251" i="5" s="1"/>
  <c r="AF43" i="5"/>
  <c r="AF45" i="5" s="1"/>
  <c r="AF53" i="5" s="1"/>
  <c r="AV194" i="5"/>
  <c r="AV251" i="5" s="1"/>
  <c r="AV43" i="5"/>
  <c r="AV45" i="5" s="1"/>
  <c r="AV53" i="5" s="1"/>
  <c r="T194" i="5"/>
  <c r="T251" i="5" s="1"/>
  <c r="T43" i="5"/>
  <c r="T45" i="5" s="1"/>
  <c r="T53" i="5" s="1"/>
  <c r="M194" i="5"/>
  <c r="M251" i="5" s="1"/>
  <c r="M43" i="5"/>
  <c r="M45" i="5" s="1"/>
  <c r="M53" i="5" s="1"/>
  <c r="BA43" i="5"/>
  <c r="BA45" i="5" s="1"/>
  <c r="BA53" i="5" s="1"/>
  <c r="BA194" i="5"/>
  <c r="BA251" i="5" s="1"/>
  <c r="E194" i="5"/>
  <c r="E251" i="5" s="1"/>
  <c r="E43" i="5"/>
  <c r="E45" i="5" s="1"/>
  <c r="E53" i="5" s="1"/>
  <c r="AB433" i="5"/>
  <c r="AB15" i="5"/>
  <c r="AB23" i="5" s="1"/>
  <c r="T433" i="5"/>
  <c r="T15" i="5"/>
  <c r="T23" i="5" s="1"/>
  <c r="AP194" i="5"/>
  <c r="AP251" i="5" s="1"/>
  <c r="AP43" i="5"/>
  <c r="AP45" i="5" s="1"/>
  <c r="AP53" i="5" s="1"/>
  <c r="AW433" i="5"/>
  <c r="AW16" i="5"/>
  <c r="AW23" i="5" s="1"/>
  <c r="AV433" i="5"/>
  <c r="E433" i="5"/>
  <c r="W433" i="5"/>
  <c r="F194" i="5"/>
  <c r="F251" i="5" s="1"/>
  <c r="F43" i="5"/>
  <c r="F45" i="5" s="1"/>
  <c r="F53" i="5" s="1"/>
  <c r="AL433" i="5"/>
  <c r="I433" i="5"/>
  <c r="AC194" i="5"/>
  <c r="AC251" i="5" s="1"/>
  <c r="AC43" i="5"/>
  <c r="AC45" i="5" s="1"/>
  <c r="AC53" i="5" s="1"/>
  <c r="AT194" i="5"/>
  <c r="AT251" i="5" s="1"/>
  <c r="AT43" i="5"/>
  <c r="AT45" i="5" s="1"/>
  <c r="AT53" i="5" s="1"/>
  <c r="F433" i="5"/>
  <c r="AH433" i="5"/>
  <c r="AN194" i="5"/>
  <c r="AN251" i="5" s="1"/>
  <c r="AN43" i="5"/>
  <c r="AN45" i="5" s="1"/>
  <c r="AN53" i="5" s="1"/>
  <c r="AE194" i="5"/>
  <c r="AE251" i="5" s="1"/>
  <c r="AE43" i="5"/>
  <c r="AE45" i="5" s="1"/>
  <c r="AE53" i="5" s="1"/>
  <c r="AG194" i="5"/>
  <c r="AG251" i="5" s="1"/>
  <c r="AG43" i="5"/>
  <c r="AG45" i="5" s="1"/>
  <c r="AG53" i="5" s="1"/>
  <c r="S194" i="5"/>
  <c r="S251" i="5" s="1"/>
  <c r="S43" i="5"/>
  <c r="S45" i="5" s="1"/>
  <c r="S53" i="5" s="1"/>
  <c r="Q433" i="5"/>
  <c r="AZ433" i="5"/>
  <c r="AS433" i="5"/>
  <c r="BB43" i="5"/>
  <c r="BB45" i="5" s="1"/>
  <c r="BB53" i="5" s="1"/>
  <c r="BB194" i="5"/>
  <c r="BB251" i="5" s="1"/>
  <c r="AU194" i="5"/>
  <c r="AU251" i="5" s="1"/>
  <c r="AU43" i="5"/>
  <c r="AU45" i="5" s="1"/>
  <c r="AU53" i="5" s="1"/>
  <c r="AA43" i="5"/>
  <c r="AA45" i="5" s="1"/>
  <c r="AA53" i="5" s="1"/>
  <c r="AA194" i="5"/>
  <c r="AA251" i="5" s="1"/>
  <c r="AX192" i="5"/>
  <c r="AX194" i="5" s="1"/>
  <c r="AX251" i="5" s="1"/>
  <c r="AX44" i="5"/>
  <c r="AX45" i="5" s="1"/>
  <c r="AX53" i="5" s="1"/>
  <c r="N433" i="5"/>
  <c r="AQ194" i="5"/>
  <c r="AQ251" i="5" s="1"/>
  <c r="AQ43" i="5"/>
  <c r="AQ45" i="5" s="1"/>
  <c r="AQ53" i="5" s="1"/>
  <c r="S433" i="5"/>
  <c r="O172" i="5"/>
  <c r="Z194" i="5"/>
  <c r="Z251" i="5" s="1"/>
  <c r="Z43" i="5"/>
  <c r="Z45" i="5" s="1"/>
  <c r="Z53" i="5" s="1"/>
  <c r="U194" i="5"/>
  <c r="U251" i="5" s="1"/>
  <c r="U43" i="5"/>
  <c r="U45" i="5" s="1"/>
  <c r="U53" i="5" s="1"/>
  <c r="M293" i="5"/>
  <c r="K194" i="5"/>
  <c r="K251" i="5" s="1"/>
  <c r="K43" i="5"/>
  <c r="K45" i="5" s="1"/>
  <c r="K53" i="5" s="1"/>
  <c r="L194" i="5"/>
  <c r="L251" i="5" s="1"/>
  <c r="L43" i="5"/>
  <c r="L45" i="5" s="1"/>
  <c r="L53" i="5" s="1"/>
  <c r="J43" i="5"/>
  <c r="J45" i="5" s="1"/>
  <c r="J53" i="5" s="1"/>
  <c r="J194" i="5"/>
  <c r="J251" i="5" s="1"/>
  <c r="AR194" i="5"/>
  <c r="AR251" i="5" s="1"/>
  <c r="AR43" i="5"/>
  <c r="AR45" i="5" s="1"/>
  <c r="AR53" i="5" s="1"/>
  <c r="AP433" i="5"/>
  <c r="X433" i="5"/>
  <c r="AS194" i="5"/>
  <c r="AS251" i="5" s="1"/>
  <c r="AS43" i="5"/>
  <c r="AS45" i="5" s="1"/>
  <c r="AS53" i="5" s="1"/>
  <c r="AO194" i="5"/>
  <c r="AO251" i="5" s="1"/>
  <c r="AO43" i="5"/>
  <c r="AO45" i="5" s="1"/>
  <c r="AO53" i="5" s="1"/>
  <c r="AK194" i="5"/>
  <c r="AK251" i="5" s="1"/>
  <c r="AK43" i="5"/>
  <c r="AK45" i="5" s="1"/>
  <c r="AK53" i="5" s="1"/>
  <c r="C25" i="5"/>
  <c r="AK433" i="5"/>
  <c r="D194" i="5"/>
  <c r="D251" i="5" s="1"/>
  <c r="D43" i="5"/>
  <c r="AM194" i="5"/>
  <c r="AM251" i="5" s="1"/>
  <c r="AM43" i="5"/>
  <c r="AM45" i="5" s="1"/>
  <c r="AM53" i="5" s="1"/>
  <c r="Q194" i="5"/>
  <c r="Q251" i="5" s="1"/>
  <c r="Q43" i="5"/>
  <c r="Q45" i="5" s="1"/>
  <c r="Q53" i="5" s="1"/>
  <c r="BA433" i="5"/>
  <c r="P194" i="5"/>
  <c r="P251" i="5" s="1"/>
  <c r="P43" i="5"/>
  <c r="P45" i="5" s="1"/>
  <c r="P53" i="5" s="1"/>
  <c r="AM433" i="5"/>
  <c r="R194" i="5"/>
  <c r="R251" i="5" s="1"/>
  <c r="R43" i="5"/>
  <c r="R45" i="5" s="1"/>
  <c r="R53" i="5" s="1"/>
  <c r="K20" i="3"/>
  <c r="L46" i="2"/>
  <c r="K46" i="2"/>
  <c r="N14" i="1" l="1"/>
  <c r="L16" i="1"/>
  <c r="C194" i="5"/>
  <c r="C251" i="5" s="1"/>
  <c r="AW43" i="5"/>
  <c r="AW45" i="5" s="1"/>
  <c r="AW53" i="5" s="1"/>
  <c r="BC30" i="5"/>
  <c r="BC31" i="5" s="1"/>
  <c r="C433" i="5"/>
  <c r="C10" i="5"/>
  <c r="C12" i="5" s="1"/>
  <c r="C16" i="5"/>
  <c r="M15" i="5"/>
  <c r="M23" i="5" s="1"/>
  <c r="M433" i="5"/>
  <c r="BA31" i="5"/>
  <c r="O43" i="5"/>
  <c r="O45" i="5" s="1"/>
  <c r="O53" i="5" s="1"/>
  <c r="O194" i="5"/>
  <c r="O251" i="5" s="1"/>
  <c r="BC510" i="5"/>
  <c r="BC33" i="5"/>
  <c r="BC37" i="5" s="1"/>
  <c r="D23" i="5"/>
  <c r="C44" i="5"/>
  <c r="D45" i="5"/>
  <c r="P16" i="1" l="1"/>
  <c r="N16" i="1"/>
  <c r="N18" i="1" s="1"/>
  <c r="N59" i="1" s="1"/>
  <c r="BC39" i="5"/>
  <c r="BC41" i="5" s="1"/>
  <c r="C15" i="5"/>
  <c r="C23" i="5" s="1"/>
  <c r="C43" i="5"/>
  <c r="C45" i="5"/>
  <c r="D53" i="5"/>
  <c r="D11" i="1" l="1"/>
  <c r="D8" i="1"/>
  <c r="H8" i="1" s="1"/>
  <c r="L8" i="1" s="1"/>
  <c r="P8" i="1" s="1"/>
  <c r="D9" i="1"/>
  <c r="D7" i="1"/>
  <c r="H7" i="1" s="1"/>
  <c r="L7" i="1" s="1"/>
  <c r="P7" i="1" l="1"/>
  <c r="B18" i="1"/>
  <c r="B59" i="1" s="1"/>
  <c r="H11" i="1"/>
  <c r="L11" i="1" s="1"/>
  <c r="B60" i="1" l="1"/>
  <c r="B62" i="1" s="1"/>
  <c r="B64" i="1" s="1"/>
  <c r="P11" i="1"/>
  <c r="D12" i="1"/>
  <c r="D18" i="1" s="1"/>
  <c r="D59" i="1" l="1"/>
  <c r="H9" i="1"/>
  <c r="F12" i="1"/>
  <c r="F18" i="1" s="1"/>
  <c r="F59" i="1" s="1"/>
  <c r="F60" i="1" s="1"/>
  <c r="F62" i="1" s="1"/>
  <c r="F64" i="1" s="1"/>
  <c r="H59" i="1" l="1"/>
  <c r="H60" i="1" s="1"/>
  <c r="H62" i="1" s="1"/>
  <c r="D60" i="1"/>
  <c r="D62" i="1" s="1"/>
  <c r="D64" i="1" s="1"/>
  <c r="H12" i="1"/>
  <c r="H18" i="1" l="1"/>
  <c r="H13" i="1"/>
  <c r="H64" i="1"/>
  <c r="L9" i="1"/>
  <c r="J12" i="1"/>
  <c r="J18" i="1" s="1"/>
  <c r="J59" i="1" s="1"/>
  <c r="J60" i="1" s="1"/>
  <c r="J62" i="1" s="1"/>
  <c r="J64" i="1" s="1"/>
  <c r="P9" i="1" l="1"/>
  <c r="P12" i="1" s="1"/>
  <c r="P18" i="1" s="1"/>
  <c r="P59" i="1" s="1"/>
  <c r="L12" i="1"/>
  <c r="L18" i="1" s="1"/>
  <c r="L59" i="1" s="1"/>
  <c r="L60" i="1" s="1"/>
  <c r="L62" i="1" s="1"/>
  <c r="L64" i="1" s="1"/>
  <c r="BB505" i="5" l="1"/>
  <c r="AM505" i="5"/>
  <c r="AX505" i="5"/>
  <c r="AU505" i="5"/>
  <c r="AA505" i="5"/>
  <c r="AB505" i="5"/>
  <c r="AQ505" i="5"/>
  <c r="AP505" i="5"/>
  <c r="AT505" i="5"/>
  <c r="Q505" i="5"/>
  <c r="BD505" i="5"/>
  <c r="AV505" i="5"/>
  <c r="E505" i="5"/>
  <c r="Z505" i="5"/>
  <c r="Y505" i="5"/>
  <c r="L505" i="5"/>
  <c r="AZ505" i="5"/>
  <c r="AK505" i="5"/>
  <c r="AE505" i="5"/>
  <c r="T505" i="5"/>
  <c r="O505" i="5"/>
  <c r="R505" i="5"/>
  <c r="AS505" i="5"/>
  <c r="AG505" i="5"/>
  <c r="AN505" i="5"/>
  <c r="AF505" i="5"/>
  <c r="F505" i="5"/>
  <c r="AR505" i="5"/>
  <c r="AY505" i="5"/>
  <c r="U505" i="5"/>
  <c r="AH505" i="5"/>
  <c r="AL505" i="5"/>
  <c r="G505" i="5"/>
  <c r="AI505" i="5"/>
  <c r="I505" i="5"/>
  <c r="AC505" i="5"/>
  <c r="S505" i="5"/>
  <c r="AD505" i="5"/>
  <c r="M505" i="5"/>
  <c r="J505" i="5"/>
  <c r="P505" i="5"/>
  <c r="AW505" i="5"/>
  <c r="N505" i="5"/>
  <c r="W505" i="5"/>
  <c r="K505" i="5"/>
  <c r="X505" i="5"/>
  <c r="AO505" i="5"/>
  <c r="H505" i="5"/>
  <c r="V505" i="5"/>
  <c r="BE505" i="5"/>
  <c r="BF505" i="5"/>
  <c r="D505" i="5"/>
  <c r="AJ505" i="5"/>
  <c r="AF506" i="5" l="1"/>
  <c r="AF33" i="5" s="1"/>
  <c r="AF37" i="5" s="1"/>
  <c r="AF27" i="5"/>
  <c r="AF30" i="5" s="1"/>
  <c r="BD27" i="5"/>
  <c r="BD30" i="5" s="1"/>
  <c r="BD506" i="5"/>
  <c r="BD33" i="5" s="1"/>
  <c r="BD37" i="5" s="1"/>
  <c r="Q506" i="5"/>
  <c r="Q33" i="5" s="1"/>
  <c r="Q37" i="5" s="1"/>
  <c r="Q27" i="5"/>
  <c r="Q30" i="5" s="1"/>
  <c r="J27" i="5"/>
  <c r="J30" i="5" s="1"/>
  <c r="J506" i="5"/>
  <c r="J33" i="5" s="1"/>
  <c r="J37" i="5" s="1"/>
  <c r="AQ506" i="5"/>
  <c r="AQ33" i="5" s="1"/>
  <c r="AQ37" i="5" s="1"/>
  <c r="AQ27" i="5"/>
  <c r="AQ30" i="5" s="1"/>
  <c r="P27" i="5"/>
  <c r="P30" i="5" s="1"/>
  <c r="P506" i="5"/>
  <c r="P33" i="5" s="1"/>
  <c r="P37" i="5" s="1"/>
  <c r="M27" i="5"/>
  <c r="M30" i="5" s="1"/>
  <c r="M506" i="5"/>
  <c r="M33" i="5" s="1"/>
  <c r="M37" i="5" s="1"/>
  <c r="BF27" i="5"/>
  <c r="BF30" i="5" s="1"/>
  <c r="BF506" i="5"/>
  <c r="BF33" i="5" s="1"/>
  <c r="BF37" i="5" s="1"/>
  <c r="H27" i="5"/>
  <c r="H30" i="5" s="1"/>
  <c r="H506" i="5"/>
  <c r="H33" i="5" s="1"/>
  <c r="H37" i="5" s="1"/>
  <c r="AB27" i="5"/>
  <c r="AB30" i="5" s="1"/>
  <c r="AB506" i="5"/>
  <c r="AB33" i="5" s="1"/>
  <c r="AB37" i="5" s="1"/>
  <c r="Z506" i="5"/>
  <c r="Z33" i="5" s="1"/>
  <c r="Z37" i="5" s="1"/>
  <c r="Z27" i="5"/>
  <c r="Z30" i="5" s="1"/>
  <c r="AV27" i="5"/>
  <c r="AV30" i="5" s="1"/>
  <c r="AV506" i="5"/>
  <c r="AV33" i="5" s="1"/>
  <c r="AV37" i="5" s="1"/>
  <c r="AJ27" i="5"/>
  <c r="AJ30" i="5" s="1"/>
  <c r="AJ506" i="5"/>
  <c r="AJ33" i="5" s="1"/>
  <c r="AJ37" i="5" s="1"/>
  <c r="AG27" i="5"/>
  <c r="AG30" i="5" s="1"/>
  <c r="AG506" i="5"/>
  <c r="AG33" i="5" s="1"/>
  <c r="AG37" i="5" s="1"/>
  <c r="BE27" i="5"/>
  <c r="BE30" i="5" s="1"/>
  <c r="BE506" i="5"/>
  <c r="BE33" i="5" s="1"/>
  <c r="BE37" i="5" s="1"/>
  <c r="AP27" i="5"/>
  <c r="AP30" i="5" s="1"/>
  <c r="AP506" i="5"/>
  <c r="AP33" i="5" s="1"/>
  <c r="AP37" i="5" s="1"/>
  <c r="O506" i="5"/>
  <c r="O33" i="5" s="1"/>
  <c r="O37" i="5" s="1"/>
  <c r="O27" i="5"/>
  <c r="O30" i="5" s="1"/>
  <c r="AI27" i="5"/>
  <c r="AI30" i="5" s="1"/>
  <c r="AI506" i="5"/>
  <c r="AI33" i="5" s="1"/>
  <c r="AI37" i="5" s="1"/>
  <c r="T27" i="5"/>
  <c r="T30" i="5" s="1"/>
  <c r="T506" i="5"/>
  <c r="T33" i="5" s="1"/>
  <c r="T37" i="5" s="1"/>
  <c r="AO27" i="5"/>
  <c r="AO30" i="5" s="1"/>
  <c r="AO506" i="5"/>
  <c r="AO33" i="5" s="1"/>
  <c r="AO37" i="5" s="1"/>
  <c r="G506" i="5"/>
  <c r="G33" i="5" s="1"/>
  <c r="G37" i="5" s="1"/>
  <c r="G27" i="5"/>
  <c r="G30" i="5" s="1"/>
  <c r="AE27" i="5"/>
  <c r="AE30" i="5" s="1"/>
  <c r="AE506" i="5"/>
  <c r="AE33" i="5" s="1"/>
  <c r="AE37" i="5" s="1"/>
  <c r="AA27" i="5"/>
  <c r="AA30" i="5" s="1"/>
  <c r="AA506" i="5"/>
  <c r="AA33" i="5" s="1"/>
  <c r="AA37" i="5" s="1"/>
  <c r="AR506" i="5"/>
  <c r="AR33" i="5" s="1"/>
  <c r="AR37" i="5" s="1"/>
  <c r="AR27" i="5"/>
  <c r="AR30" i="5" s="1"/>
  <c r="R27" i="5"/>
  <c r="R30" i="5" s="1"/>
  <c r="R506" i="5"/>
  <c r="R33" i="5" s="1"/>
  <c r="R37" i="5" s="1"/>
  <c r="AU27" i="5"/>
  <c r="AU30" i="5" s="1"/>
  <c r="AU506" i="5"/>
  <c r="AU33" i="5" s="1"/>
  <c r="AU37" i="5" s="1"/>
  <c r="D506" i="5"/>
  <c r="D33" i="5" s="1"/>
  <c r="D27" i="5"/>
  <c r="AT27" i="5"/>
  <c r="AT30" i="5" s="1"/>
  <c r="AT506" i="5"/>
  <c r="AT33" i="5" s="1"/>
  <c r="AT37" i="5" s="1"/>
  <c r="V27" i="5"/>
  <c r="V30" i="5" s="1"/>
  <c r="V506" i="5"/>
  <c r="V33" i="5" s="1"/>
  <c r="V37" i="5" s="1"/>
  <c r="AK27" i="5"/>
  <c r="AK30" i="5" s="1"/>
  <c r="AK506" i="5"/>
  <c r="AK33" i="5" s="1"/>
  <c r="AK37" i="5" s="1"/>
  <c r="K506" i="5"/>
  <c r="K33" i="5" s="1"/>
  <c r="K37" i="5" s="1"/>
  <c r="K27" i="5"/>
  <c r="K30" i="5" s="1"/>
  <c r="AH27" i="5"/>
  <c r="AH30" i="5" s="1"/>
  <c r="AH506" i="5"/>
  <c r="AH33" i="5" s="1"/>
  <c r="AH37" i="5" s="1"/>
  <c r="AZ506" i="5"/>
  <c r="AZ33" i="5" s="1"/>
  <c r="AZ37" i="5" s="1"/>
  <c r="AZ27" i="5"/>
  <c r="AZ30" i="5" s="1"/>
  <c r="AX27" i="5"/>
  <c r="AX30" i="5" s="1"/>
  <c r="AX506" i="5"/>
  <c r="AX33" i="5" s="1"/>
  <c r="AX37" i="5" s="1"/>
  <c r="AW27" i="5"/>
  <c r="AW30" i="5" s="1"/>
  <c r="AW506" i="5"/>
  <c r="AW33" i="5" s="1"/>
  <c r="AW37" i="5" s="1"/>
  <c r="E27" i="5"/>
  <c r="E30" i="5" s="1"/>
  <c r="E506" i="5"/>
  <c r="E33" i="5" s="1"/>
  <c r="E37" i="5" s="1"/>
  <c r="AN27" i="5"/>
  <c r="AN30" i="5" s="1"/>
  <c r="AN506" i="5"/>
  <c r="AN33" i="5" s="1"/>
  <c r="AN37" i="5" s="1"/>
  <c r="AS27" i="5"/>
  <c r="AS30" i="5" s="1"/>
  <c r="AS506" i="5"/>
  <c r="AS33" i="5" s="1"/>
  <c r="AS37" i="5" s="1"/>
  <c r="I506" i="5"/>
  <c r="I33" i="5" s="1"/>
  <c r="I37" i="5" s="1"/>
  <c r="I27" i="5"/>
  <c r="I30" i="5" s="1"/>
  <c r="AL27" i="5"/>
  <c r="AL30" i="5" s="1"/>
  <c r="AL506" i="5"/>
  <c r="AL33" i="5" s="1"/>
  <c r="AL37" i="5" s="1"/>
  <c r="W27" i="5"/>
  <c r="W30" i="5" s="1"/>
  <c r="W506" i="5"/>
  <c r="W33" i="5" s="1"/>
  <c r="W37" i="5" s="1"/>
  <c r="U27" i="5"/>
  <c r="U30" i="5" s="1"/>
  <c r="U506" i="5"/>
  <c r="U33" i="5" s="1"/>
  <c r="U37" i="5" s="1"/>
  <c r="L27" i="5"/>
  <c r="L30" i="5" s="1"/>
  <c r="L506" i="5"/>
  <c r="L33" i="5" s="1"/>
  <c r="L37" i="5" s="1"/>
  <c r="AM27" i="5"/>
  <c r="AM30" i="5" s="1"/>
  <c r="AM506" i="5"/>
  <c r="AM33" i="5" s="1"/>
  <c r="AM37" i="5" s="1"/>
  <c r="F506" i="5"/>
  <c r="F33" i="5" s="1"/>
  <c r="F37" i="5" s="1"/>
  <c r="F27" i="5"/>
  <c r="F30" i="5" s="1"/>
  <c r="AD27" i="5"/>
  <c r="AD30" i="5" s="1"/>
  <c r="AD506" i="5"/>
  <c r="AD33" i="5" s="1"/>
  <c r="AD37" i="5" s="1"/>
  <c r="S506" i="5"/>
  <c r="S33" i="5" s="1"/>
  <c r="S37" i="5" s="1"/>
  <c r="S27" i="5"/>
  <c r="S30" i="5" s="1"/>
  <c r="AC27" i="5"/>
  <c r="AC30" i="5" s="1"/>
  <c r="AC506" i="5"/>
  <c r="AC33" i="5" s="1"/>
  <c r="AC37" i="5" s="1"/>
  <c r="X506" i="5"/>
  <c r="X33" i="5" s="1"/>
  <c r="X37" i="5" s="1"/>
  <c r="X27" i="5"/>
  <c r="X30" i="5" s="1"/>
  <c r="N27" i="5"/>
  <c r="N30" i="5" s="1"/>
  <c r="N506" i="5"/>
  <c r="N33" i="5" s="1"/>
  <c r="N37" i="5" s="1"/>
  <c r="AY506" i="5"/>
  <c r="AY33" i="5" s="1"/>
  <c r="AY37" i="5" s="1"/>
  <c r="AY27" i="5"/>
  <c r="AY30" i="5" s="1"/>
  <c r="Y506" i="5"/>
  <c r="Y33" i="5" s="1"/>
  <c r="Y37" i="5" s="1"/>
  <c r="Y27" i="5"/>
  <c r="Y30" i="5" s="1"/>
  <c r="BB27" i="5"/>
  <c r="BB30" i="5" s="1"/>
  <c r="BB506" i="5"/>
  <c r="BB33" i="5" s="1"/>
  <c r="BB37" i="5" s="1"/>
  <c r="I510" i="5" l="1"/>
  <c r="I516" i="5" s="1"/>
  <c r="AE510" i="5"/>
  <c r="AE516" i="5" s="1"/>
  <c r="J510" i="5"/>
  <c r="J516" i="5" s="1"/>
  <c r="X510" i="5"/>
  <c r="X516" i="5" s="1"/>
  <c r="BD510" i="5"/>
  <c r="D510" i="5"/>
  <c r="AI510" i="5"/>
  <c r="AI516" i="5" s="1"/>
  <c r="Q510" i="5"/>
  <c r="Q516" i="5" s="1"/>
  <c r="F510" i="5"/>
  <c r="F516" i="5" s="1"/>
  <c r="AF510" i="5"/>
  <c r="AF516" i="5" s="1"/>
  <c r="AA510" i="5"/>
  <c r="AA516" i="5" s="1"/>
  <c r="N510" i="5"/>
  <c r="N516" i="5" s="1"/>
  <c r="AS510" i="5"/>
  <c r="AS516" i="5" s="1"/>
  <c r="AW510" i="5"/>
  <c r="AL510" i="5"/>
  <c r="AL516" i="5" s="1"/>
  <c r="AT510" i="5"/>
  <c r="AT516" i="5" s="1"/>
  <c r="BF510" i="5"/>
  <c r="AM510" i="5"/>
  <c r="AM516" i="5" s="1"/>
  <c r="L510" i="5"/>
  <c r="L516" i="5" s="1"/>
  <c r="AK510" i="5"/>
  <c r="AK516" i="5" s="1"/>
  <c r="BB510" i="5"/>
  <c r="AN510" i="5"/>
  <c r="AN516" i="5" s="1"/>
  <c r="R510" i="5"/>
  <c r="R516" i="5" s="1"/>
  <c r="AD510" i="5"/>
  <c r="AD516" i="5" s="1"/>
  <c r="BE510" i="5"/>
  <c r="AB510" i="5"/>
  <c r="AB516" i="5" s="1"/>
  <c r="V510" i="5"/>
  <c r="V516" i="5" s="1"/>
  <c r="AG510" i="5"/>
  <c r="AG516" i="5" s="1"/>
  <c r="H510" i="5"/>
  <c r="H516" i="5" s="1"/>
  <c r="U510" i="5"/>
  <c r="U516" i="5" s="1"/>
  <c r="AH510" i="5"/>
  <c r="AH516" i="5" s="1"/>
  <c r="O510" i="5"/>
  <c r="O516" i="5" s="1"/>
  <c r="AV510" i="5"/>
  <c r="AV516" i="5" s="1"/>
  <c r="AY510" i="5"/>
  <c r="W510" i="5"/>
  <c r="W516" i="5" s="1"/>
  <c r="K510" i="5"/>
  <c r="K516" i="5" s="1"/>
  <c r="AP510" i="5"/>
  <c r="AP516" i="5" s="1"/>
  <c r="Z510" i="5"/>
  <c r="Z516" i="5" s="1"/>
  <c r="E510" i="5"/>
  <c r="E516" i="5" s="1"/>
  <c r="AU510" i="5"/>
  <c r="AU516" i="5" s="1"/>
  <c r="G510" i="5"/>
  <c r="G516" i="5" s="1"/>
  <c r="AB39" i="5"/>
  <c r="AB41" i="5" s="1"/>
  <c r="AB31" i="5"/>
  <c r="AA39" i="5"/>
  <c r="AA41" i="5" s="1"/>
  <c r="AA31" i="5"/>
  <c r="AJ510" i="5"/>
  <c r="AJ516" i="5" s="1"/>
  <c r="H39" i="5"/>
  <c r="H41" i="5" s="1"/>
  <c r="H31" i="5"/>
  <c r="S39" i="5"/>
  <c r="S41" i="5" s="1"/>
  <c r="S31" i="5"/>
  <c r="AQ31" i="5"/>
  <c r="AQ39" i="5"/>
  <c r="AQ41" i="5" s="1"/>
  <c r="T39" i="5"/>
  <c r="T41" i="5" s="1"/>
  <c r="T31" i="5"/>
  <c r="AI39" i="5"/>
  <c r="AI41" i="5" s="1"/>
  <c r="AI31" i="5"/>
  <c r="AE31" i="5"/>
  <c r="AE39" i="5"/>
  <c r="AE41" i="5" s="1"/>
  <c r="M510" i="5"/>
  <c r="M516" i="5" s="1"/>
  <c r="AH39" i="5"/>
  <c r="AH41" i="5" s="1"/>
  <c r="AH31" i="5"/>
  <c r="C33" i="5"/>
  <c r="C37" i="5" s="1"/>
  <c r="D37" i="5"/>
  <c r="N39" i="5"/>
  <c r="N41" i="5" s="1"/>
  <c r="N31" i="5"/>
  <c r="G39" i="5"/>
  <c r="G41" i="5" s="1"/>
  <c r="G31" i="5"/>
  <c r="AV31" i="5"/>
  <c r="AV39" i="5"/>
  <c r="AV41" i="5" s="1"/>
  <c r="AD31" i="5"/>
  <c r="AD39" i="5"/>
  <c r="AD41" i="5" s="1"/>
  <c r="J39" i="5"/>
  <c r="J41" i="5" s="1"/>
  <c r="J31" i="5"/>
  <c r="O31" i="5"/>
  <c r="O39" i="5"/>
  <c r="O41" i="5" s="1"/>
  <c r="AW39" i="5"/>
  <c r="AW41" i="5" s="1"/>
  <c r="AW31" i="5"/>
  <c r="M31" i="5"/>
  <c r="M39" i="5"/>
  <c r="M41" i="5" s="1"/>
  <c r="AY39" i="5"/>
  <c r="AY41" i="5" s="1"/>
  <c r="AY31" i="5"/>
  <c r="AT31" i="5"/>
  <c r="AT39" i="5"/>
  <c r="AT41" i="5" s="1"/>
  <c r="C27" i="5"/>
  <c r="C30" i="5" s="1"/>
  <c r="C31" i="5" s="1"/>
  <c r="D30" i="5"/>
  <c r="K31" i="5"/>
  <c r="K39" i="5"/>
  <c r="K41" i="5" s="1"/>
  <c r="Q31" i="5"/>
  <c r="Q39" i="5"/>
  <c r="Q41" i="5" s="1"/>
  <c r="X31" i="5"/>
  <c r="X39" i="5"/>
  <c r="X41" i="5" s="1"/>
  <c r="AC510" i="5"/>
  <c r="AC516" i="5" s="1"/>
  <c r="AM39" i="5"/>
  <c r="AM41" i="5" s="1"/>
  <c r="AM31" i="5"/>
  <c r="I39" i="5"/>
  <c r="I41" i="5" s="1"/>
  <c r="I31" i="5"/>
  <c r="AX510" i="5"/>
  <c r="AK31" i="5"/>
  <c r="AK39" i="5"/>
  <c r="AK41" i="5" s="1"/>
  <c r="AO510" i="5"/>
  <c r="AO516" i="5" s="1"/>
  <c r="AP39" i="5"/>
  <c r="AP41" i="5" s="1"/>
  <c r="AP31" i="5"/>
  <c r="Z39" i="5"/>
  <c r="Z41" i="5" s="1"/>
  <c r="Z31" i="5"/>
  <c r="P510" i="5"/>
  <c r="P516" i="5" s="1"/>
  <c r="BD39" i="5"/>
  <c r="BD41" i="5" s="1"/>
  <c r="BD31" i="5"/>
  <c r="AJ39" i="5"/>
  <c r="AJ41" i="5" s="1"/>
  <c r="AJ31" i="5"/>
  <c r="F39" i="5"/>
  <c r="F41" i="5" s="1"/>
  <c r="F31" i="5"/>
  <c r="AL39" i="5"/>
  <c r="AL41" i="5" s="1"/>
  <c r="AL31" i="5"/>
  <c r="BB31" i="5"/>
  <c r="BB39" i="5"/>
  <c r="BB41" i="5" s="1"/>
  <c r="R39" i="5"/>
  <c r="R41" i="5" s="1"/>
  <c r="R31" i="5"/>
  <c r="AS31" i="5"/>
  <c r="AS39" i="5"/>
  <c r="AS41" i="5" s="1"/>
  <c r="AC39" i="5"/>
  <c r="AC41" i="5" s="1"/>
  <c r="AC31" i="5"/>
  <c r="AO39" i="5"/>
  <c r="AO41" i="5" s="1"/>
  <c r="AO31" i="5"/>
  <c r="P31" i="5"/>
  <c r="P39" i="5"/>
  <c r="P41" i="5" s="1"/>
  <c r="AF39" i="5"/>
  <c r="AF41" i="5" s="1"/>
  <c r="AF31" i="5"/>
  <c r="AZ39" i="5"/>
  <c r="AZ41" i="5" s="1"/>
  <c r="AZ31" i="5"/>
  <c r="U31" i="5"/>
  <c r="U39" i="5"/>
  <c r="U41" i="5" s="1"/>
  <c r="AG39" i="5"/>
  <c r="AG41" i="5" s="1"/>
  <c r="AG31" i="5"/>
  <c r="AN39" i="5"/>
  <c r="AN41" i="5" s="1"/>
  <c r="AN31" i="5"/>
  <c r="W31" i="5"/>
  <c r="W39" i="5"/>
  <c r="W41" i="5" s="1"/>
  <c r="E39" i="5"/>
  <c r="E41" i="5" s="1"/>
  <c r="E31" i="5"/>
  <c r="BF31" i="5"/>
  <c r="BF39" i="5"/>
  <c r="BF41" i="5" s="1"/>
  <c r="AU31" i="5"/>
  <c r="AU39" i="5"/>
  <c r="AU41" i="5" s="1"/>
  <c r="Y510" i="5"/>
  <c r="Y516" i="5" s="1"/>
  <c r="AX39" i="5"/>
  <c r="AX41" i="5" s="1"/>
  <c r="AX31" i="5"/>
  <c r="AR510" i="5"/>
  <c r="AR516" i="5" s="1"/>
  <c r="Y31" i="5"/>
  <c r="Y39" i="5"/>
  <c r="Y41" i="5" s="1"/>
  <c r="S510" i="5"/>
  <c r="S516" i="5" s="1"/>
  <c r="L39" i="5"/>
  <c r="L41" i="5" s="1"/>
  <c r="L31" i="5"/>
  <c r="AZ510" i="5"/>
  <c r="V31" i="5"/>
  <c r="V39" i="5"/>
  <c r="V41" i="5" s="1"/>
  <c r="AR31" i="5"/>
  <c r="AR39" i="5"/>
  <c r="AR41" i="5" s="1"/>
  <c r="T510" i="5"/>
  <c r="T516" i="5" s="1"/>
  <c r="BE39" i="5"/>
  <c r="BE41" i="5" s="1"/>
  <c r="BE31" i="5"/>
  <c r="AQ510" i="5"/>
  <c r="AQ516" i="5" s="1"/>
  <c r="D39" i="5" l="1"/>
  <c r="D31" i="5"/>
  <c r="D516" i="5"/>
  <c r="C39" i="5" l="1"/>
  <c r="C41" i="5" s="1"/>
  <c r="D41" i="5"/>
  <c r="BC442" i="5" l="1"/>
  <c r="BC49" i="5" s="1"/>
  <c r="C49" i="5" l="1"/>
  <c r="C53" i="5" s="1"/>
  <c r="BC53" i="5"/>
  <c r="N56" i="1" l="1"/>
  <c r="P60" i="1"/>
  <c r="P62" i="1" s="1"/>
  <c r="P64" i="1" s="1"/>
  <c r="N55" i="1"/>
  <c r="N60" i="1" l="1"/>
  <c r="N62" i="1" s="1"/>
  <c r="N64" i="1" s="1"/>
  <c r="F49" i="25" l="1"/>
  <c r="F53" i="25" s="1"/>
  <c r="G49" i="25" l="1"/>
  <c r="G53" i="25" s="1"/>
  <c r="G55"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tc={F297AC00-B33B-4BCF-BAD1-400229BB32F7}</author>
  </authors>
  <commentList>
    <comment ref="J11" authorId="0" shapeId="0" xr:uid="{F297AC00-B33B-4BCF-BAD1-400229BB32F7}">
      <text>
        <t>[Threaded comment]
Your version of Excel allows you to read this threaded comment; however, any edits to it will get removed if the file is opened in a newer version of Excel. Learn more: https://go.microsoft.com/fwlink/?linkid=870924
Comment:
    Remove all incentive expense</t>
      </text>
    </comment>
  </commentList>
</comments>
</file>

<file path=xl/sharedStrings.xml><?xml version="1.0" encoding="utf-8"?>
<sst xmlns="http://schemas.openxmlformats.org/spreadsheetml/2006/main" count="10359" uniqueCount="1455">
  <si>
    <t>Revenue Requirement Summary - TIR, TOR, and Storms/Other Distribution Overhead Line Costs</t>
  </si>
  <si>
    <t>Kentucky Power Company</t>
  </si>
  <si>
    <t>Case No. 2025-00257</t>
  </si>
  <si>
    <t>Description</t>
  </si>
  <si>
    <t>Per Book</t>
  </si>
  <si>
    <t>Allocator</t>
  </si>
  <si>
    <t>KY Juris Per Book</t>
  </si>
  <si>
    <t>Adjustments
(per Section V, Sch 5)</t>
  </si>
  <si>
    <t>KY Juris</t>
  </si>
  <si>
    <t>Final Order Adjustments</t>
  </si>
  <si>
    <t>February 2026 Order</t>
  </si>
  <si>
    <t>Adjustment</t>
  </si>
  <si>
    <t>March 2026 Rehearing Request</t>
  </si>
  <si>
    <t>FERC Account 593 - Maintenance of Overhead Lines (Distribution)</t>
  </si>
  <si>
    <t>Major Storm Expense</t>
  </si>
  <si>
    <t>Major Storm Expense Deferral Amortization</t>
  </si>
  <si>
    <t>TIR</t>
  </si>
  <si>
    <t>1,8</t>
  </si>
  <si>
    <t>TIR Deferral Amortization (2018-May 25 Costs)</t>
  </si>
  <si>
    <t>1,7</t>
  </si>
  <si>
    <t>Other (Minor Storms, Trouble, etc.)</t>
  </si>
  <si>
    <t>Subtotal TIR, Storms, Other</t>
  </si>
  <si>
    <t>TOR</t>
  </si>
  <si>
    <t>1,5</t>
  </si>
  <si>
    <t>TOR Deferral Amortization (2018-May 25 Costs)</t>
  </si>
  <si>
    <t>1,2</t>
  </si>
  <si>
    <t>Subtotal TOR</t>
  </si>
  <si>
    <t>Total Expense</t>
  </si>
  <si>
    <t>Distribution Vegetation Management Rate Base</t>
  </si>
  <si>
    <t>TOR Gross Plant in Service - FERC Plant Accts 364 &amp; 365</t>
  </si>
  <si>
    <t>2</t>
  </si>
  <si>
    <t>Accumulated Depreciation</t>
  </si>
  <si>
    <t>Net Plant in Service</t>
  </si>
  <si>
    <t>CWIP</t>
  </si>
  <si>
    <t>Net Plant</t>
  </si>
  <si>
    <t>ADIT - Plant in Service</t>
  </si>
  <si>
    <t>3</t>
  </si>
  <si>
    <t>Subtotal TOR Rate Base</t>
  </si>
  <si>
    <t>TIR Gross Plant in Service - FERC Plant Accts 364 &amp; 365</t>
  </si>
  <si>
    <t>7</t>
  </si>
  <si>
    <t>Subtotal TIR Rate Base</t>
  </si>
  <si>
    <t>TOR Regulatory Asset (2018-May 25 Costs)</t>
  </si>
  <si>
    <t>4</t>
  </si>
  <si>
    <t>TIR Regulatory Asset (2018-May 25 Costs)</t>
  </si>
  <si>
    <t>ADIT - TOR Regulatory Asset (2018-May 25 Costs)</t>
  </si>
  <si>
    <t>ADIT - TIR Regulatory Asset (2018-May 25 Costs)</t>
  </si>
  <si>
    <t>Subtotal - Regulatory Assets - Other Rate Base</t>
  </si>
  <si>
    <t>Total Rate Base</t>
  </si>
  <si>
    <t>Distribution Vegetation Management Revenue Requirement</t>
  </si>
  <si>
    <t>WACC (After-Tax)</t>
  </si>
  <si>
    <t>Return on Rate Base (After-Tax)</t>
  </si>
  <si>
    <t>Gross Revenue Conversion Factor</t>
  </si>
  <si>
    <t>Revenue Requirement - Rate Base</t>
  </si>
  <si>
    <t>TOR Depreciation Expense - FERC Plant Acct 364</t>
  </si>
  <si>
    <t>TOR Depreciation Expense - FERC Plant Acct 365</t>
  </si>
  <si>
    <t>TIR Depreciation Expense - FERC Plant Acct 364</t>
  </si>
  <si>
    <t>TIR Depreciation Expense - FERC Plant Acct 365</t>
  </si>
  <si>
    <t>FERC Account 593 O&amp;M Expense</t>
  </si>
  <si>
    <t>Subtotal Expense</t>
  </si>
  <si>
    <t>Revenue Requirement - Expense</t>
  </si>
  <si>
    <t>Total Revenue Requirement</t>
  </si>
  <si>
    <t>Proposed/Approved  Depreciation Rate - FERC Plant Acct 364</t>
  </si>
  <si>
    <t>Proposed/Approved Depreciation Rate - FERC Plant Acct 365</t>
  </si>
  <si>
    <t>Adjustment - Rehearing Request</t>
  </si>
  <si>
    <r>
      <rPr>
        <b/>
        <sz val="11"/>
        <color rgb="FFFF0000"/>
        <rFont val="Calibri"/>
        <family val="2"/>
        <scheme val="minor"/>
      </rPr>
      <t>1</t>
    </r>
    <r>
      <rPr>
        <sz val="11"/>
        <color theme="1"/>
        <rFont val="Calibri"/>
        <family val="2"/>
        <scheme val="minor"/>
      </rPr>
      <t>.  TOR:  Distribution function FERC Account 593 (not Transmission function FERC Account 571)</t>
    </r>
  </si>
  <si>
    <r>
      <rPr>
        <b/>
        <sz val="11"/>
        <color rgb="FFFF0000"/>
        <rFont val="Calibri"/>
        <family val="2"/>
        <scheme val="minor"/>
      </rPr>
      <t>2</t>
    </r>
    <r>
      <rPr>
        <sz val="11"/>
        <color theme="1"/>
        <rFont val="Calibri"/>
        <family val="2"/>
        <scheme val="minor"/>
      </rPr>
      <t>.  TOR:  MR-5 based on additions to CWIP.  Depreciation should be computed based on timing of additions to Plant in Service.  Corrections to calculation of depreciation expense, accumulated depreciation, NBV through May 2025 (TOR Deferral) required.  Also, update needed to level of TOR deferral amortization expense in cost of service.</t>
    </r>
  </si>
  <si>
    <r>
      <rPr>
        <b/>
        <sz val="11"/>
        <color rgb="FFFF0000"/>
        <rFont val="Calibri"/>
        <family val="2"/>
        <scheme val="minor"/>
      </rPr>
      <t>3</t>
    </r>
    <r>
      <rPr>
        <sz val="11"/>
        <color theme="1"/>
        <rFont val="Calibri"/>
        <family val="2"/>
        <scheme val="minor"/>
      </rPr>
      <t xml:space="preserve">.  TOR:  Remove ADIT associated with TOR Plant in Service from ratemaking </t>
    </r>
  </si>
  <si>
    <r>
      <rPr>
        <b/>
        <sz val="11"/>
        <color rgb="FFFF0000"/>
        <rFont val="Calibri"/>
        <family val="2"/>
        <scheme val="minor"/>
      </rPr>
      <t>4</t>
    </r>
    <r>
      <rPr>
        <sz val="11"/>
        <color theme="1"/>
        <rFont val="Calibri"/>
        <family val="2"/>
        <scheme val="minor"/>
      </rPr>
      <t>.  TOR:  Through base rates, recover carrying cost on TOR Deferral net of related ADIT as of TYE (WACC)</t>
    </r>
  </si>
  <si>
    <r>
      <rPr>
        <b/>
        <sz val="11"/>
        <color rgb="FFFF0000"/>
        <rFont val="Calibri"/>
        <family val="2"/>
        <scheme val="minor"/>
      </rPr>
      <t>5</t>
    </r>
    <r>
      <rPr>
        <sz val="11"/>
        <color theme="1"/>
        <rFont val="Calibri"/>
        <family val="2"/>
        <scheme val="minor"/>
      </rPr>
      <t xml:space="preserve">.  TOR:  Set ongoing-level of annual expense based on 7-year average of actual plant in service [2018-2024].  </t>
    </r>
  </si>
  <si>
    <r>
      <rPr>
        <b/>
        <sz val="11"/>
        <color rgb="FFFF0000"/>
        <rFont val="Calibri"/>
        <family val="2"/>
        <scheme val="minor"/>
      </rPr>
      <t>6</t>
    </r>
    <r>
      <rPr>
        <sz val="11"/>
        <color theme="1"/>
        <rFont val="Calibri"/>
        <family val="2"/>
        <scheme val="minor"/>
      </rPr>
      <t>.  TOR:  Authority to defer costs incurred June 2025 - Feb 2026 (including CWIP) for future recovery.  In next base case, principal to be included in rate base, and recovery of principal over 30 years to be included in revenue requirement.  No impact to revenue requirement resulting from this case.</t>
    </r>
  </si>
  <si>
    <r>
      <rPr>
        <b/>
        <sz val="11"/>
        <color rgb="FFFF0000"/>
        <rFont val="Calibri"/>
        <family val="2"/>
        <scheme val="minor"/>
      </rPr>
      <t>7</t>
    </r>
    <r>
      <rPr>
        <sz val="11"/>
        <color theme="1"/>
        <rFont val="Calibri"/>
        <family val="2"/>
        <scheme val="minor"/>
      </rPr>
      <t>.  TIR:  Capitalized cost since 2018 to follow ratemaking treatment for TOR</t>
    </r>
  </si>
  <si>
    <r>
      <rPr>
        <b/>
        <sz val="11"/>
        <color rgb="FFFF0000"/>
        <rFont val="Calibri"/>
        <family val="2"/>
        <scheme val="minor"/>
      </rPr>
      <t>8</t>
    </r>
    <r>
      <rPr>
        <sz val="11"/>
        <color rgb="FFFF0000"/>
        <rFont val="Calibri"/>
        <family val="2"/>
        <scheme val="minor"/>
      </rPr>
      <t>.</t>
    </r>
    <r>
      <rPr>
        <sz val="11"/>
        <color theme="1"/>
        <rFont val="Calibri"/>
        <family val="2"/>
        <scheme val="minor"/>
      </rPr>
      <t xml:space="preserve">  TIR:  Set ongoing-level of annual expense based on 7-year average of actual plant in service [2018-2024].  </t>
    </r>
  </si>
  <si>
    <r>
      <rPr>
        <b/>
        <sz val="11"/>
        <color rgb="FFFF0000"/>
        <rFont val="Calibri"/>
        <family val="2"/>
        <scheme val="minor"/>
      </rPr>
      <t>9</t>
    </r>
    <r>
      <rPr>
        <sz val="11"/>
        <color theme="1"/>
        <rFont val="Calibri"/>
        <family val="2"/>
        <scheme val="minor"/>
      </rPr>
      <t>.  TIR:  Authority to defer costs incurred June 2025 - Feb 2026 (including CWIP) for future recovery.  In next base case, principal to be included in rate base, and recovery of principal over 30 years to be included in revenue requirement.  No impact to revenue requirement resulting from this case.</t>
    </r>
  </si>
  <si>
    <t>Storm Damage Expense</t>
  </si>
  <si>
    <t>Test Year Ended 05/31/2025</t>
  </si>
  <si>
    <t>W21</t>
  </si>
  <si>
    <t>Line No.</t>
  </si>
  <si>
    <t>Twelve Months Ended</t>
  </si>
  <si>
    <t>Storm Damage Expense Excluding In-House Labor</t>
  </si>
  <si>
    <t>Handy -Whitman Index (*1)</t>
  </si>
  <si>
    <t>Constant Dollar Index (*1)</t>
  </si>
  <si>
    <t>Constant Dollar Expense</t>
  </si>
  <si>
    <t>(Col. 3 * Col. 5)</t>
  </si>
  <si>
    <t>12 Months Ended 05/31/25</t>
  </si>
  <si>
    <t>12 Months Ended 05/31/24</t>
  </si>
  <si>
    <t xml:space="preserve"> </t>
  </si>
  <si>
    <t>***</t>
  </si>
  <si>
    <t>12 Months Ended 05/31/23</t>
  </si>
  <si>
    <t>12 Months Ended 05/31/22</t>
  </si>
  <si>
    <t>12 Months Ended 05/31/21</t>
  </si>
  <si>
    <t>5-Year Total Storm Damage (Ln 1 + Ln 2 + Ln 3 + Ln4 + Ln5)</t>
  </si>
  <si>
    <t>5-Year Average (Ln 6 / 5 yrs)</t>
  </si>
  <si>
    <t xml:space="preserve">Test Year Storm Damage </t>
  </si>
  <si>
    <t>Test Year Storm Expense Deferral</t>
  </si>
  <si>
    <t>Total Test Year Storm Expense</t>
  </si>
  <si>
    <t>Adjustment to O&amp;M to set Storm Damage Expense at $0</t>
  </si>
  <si>
    <t>Allocation Factor - GP-DIST</t>
  </si>
  <si>
    <t>KPSC Jurisdictional Amount (Ln 11 x Ln 12)</t>
  </si>
  <si>
    <t>(*1)</t>
  </si>
  <si>
    <t>Handy-Whitman Contract Labor Index</t>
  </si>
  <si>
    <t>Current base level amount:</t>
  </si>
  <si>
    <t>Reference E-2 Line 42</t>
  </si>
  <si>
    <t>2025/Jan</t>
  </si>
  <si>
    <t>2024/Jan</t>
  </si>
  <si>
    <t>2023/Jan</t>
  </si>
  <si>
    <t>2022/Jan</t>
  </si>
  <si>
    <t>2021/Jan</t>
  </si>
  <si>
    <t>Witness:  Tanner Wolffram</t>
  </si>
  <si>
    <t>***excludes July 2022 Historic Flood event and 2021 Ice Events</t>
  </si>
  <si>
    <t>KPCo Incentive Compensation Expense Adjustment</t>
  </si>
  <si>
    <t>Test Year Ended May 31, 2025</t>
  </si>
  <si>
    <t>W30</t>
  </si>
  <si>
    <t>FERC Account</t>
  </si>
  <si>
    <t>Test Year ICP</t>
  </si>
  <si>
    <t>Expected Cost at a Level 1.0 Target</t>
  </si>
  <si>
    <t>Net Change in ICP Cost
(c-b)</t>
  </si>
  <si>
    <t>Test Year LTIP</t>
  </si>
  <si>
    <t>Net Change in LTIP Cost
(f-e)</t>
  </si>
  <si>
    <t>Total Adjustment to Incentive Compensation Expense
(d+g)</t>
  </si>
  <si>
    <t>KY Jurisdictional Factor - OML</t>
  </si>
  <si>
    <t>(a)</t>
  </si>
  <si>
    <t>(b)</t>
  </si>
  <si>
    <t>(c)</t>
  </si>
  <si>
    <t>(d)</t>
  </si>
  <si>
    <t>(e)</t>
  </si>
  <si>
    <t>(f)</t>
  </si>
  <si>
    <t>(g)</t>
  </si>
  <si>
    <t>(h)</t>
  </si>
  <si>
    <t>(i)</t>
  </si>
  <si>
    <t>Grand Total</t>
  </si>
  <si>
    <t>All amounts include 50% of Mitchell</t>
  </si>
  <si>
    <t>Witness:</t>
  </si>
  <si>
    <t>B.C. Ciborek</t>
  </si>
  <si>
    <t>Vegetation Management Tree Trimming</t>
  </si>
  <si>
    <t>W50</t>
  </si>
  <si>
    <t>Amount</t>
  </si>
  <si>
    <t>( c)</t>
  </si>
  <si>
    <t>Going Forward Vegetation Management O&amp;M</t>
  </si>
  <si>
    <t>Current Vegetation Management O&amp;M</t>
  </si>
  <si>
    <t>Change to Vegetation Management O&amp;M (Ln 1 - Ln 2)</t>
  </si>
  <si>
    <t>Allocation Factor - Specific</t>
  </si>
  <si>
    <t>KPSC Jurisdictional Amount (Ln 3 X Ln 4)</t>
  </si>
  <si>
    <t>593</t>
  </si>
  <si>
    <t>Michele Ross</t>
  </si>
  <si>
    <t>KPCo TOTAL</t>
  </si>
  <si>
    <t>Line</t>
  </si>
  <si>
    <t>COMPANY</t>
  </si>
  <si>
    <t>NON-KY P.S.C</t>
  </si>
  <si>
    <t>KENTUCKY PSC</t>
  </si>
  <si>
    <t>GOING LEVEL</t>
  </si>
  <si>
    <t>ADJUSTED</t>
  </si>
  <si>
    <t xml:space="preserve">HARD CODES  </t>
  </si>
  <si>
    <t>No.</t>
  </si>
  <si>
    <t>PER BOOKS</t>
  </si>
  <si>
    <t>JURIS</t>
  </si>
  <si>
    <t>JURIS ONLY</t>
  </si>
  <si>
    <t>ADJUSTMENTS</t>
  </si>
  <si>
    <t>KY PSC JURIS</t>
  </si>
  <si>
    <t>ALLOCATOR</t>
  </si>
  <si>
    <t>TO BE ALLOCATED</t>
  </si>
  <si>
    <t>ACCOUNTS</t>
  </si>
  <si>
    <t>(1)</t>
  </si>
  <si>
    <t>(2)</t>
  </si>
  <si>
    <t>(3)</t>
  </si>
  <si>
    <t>(4)</t>
  </si>
  <si>
    <t>(5)</t>
  </si>
  <si>
    <t>(6)</t>
  </si>
  <si>
    <t>Operating Revenues - Sales of Electricity</t>
  </si>
  <si>
    <t>Operating Revenues - Firm Wholesale Sales of Electricity</t>
  </si>
  <si>
    <t>Provision for Rate Refund</t>
  </si>
  <si>
    <t>Other Electric Operating Revenues</t>
  </si>
  <si>
    <t>Non-Firm Sales Revenues</t>
  </si>
  <si>
    <t xml:space="preserve">    Total Operating Revenues</t>
  </si>
  <si>
    <t>Operation and Maintenance Expenses</t>
  </si>
  <si>
    <t>Power Production</t>
  </si>
  <si>
    <t>Transmission</t>
  </si>
  <si>
    <t>Distribution</t>
  </si>
  <si>
    <t>Customer Accounts</t>
  </si>
  <si>
    <t>Sales Expense</t>
  </si>
  <si>
    <t>Customer Service &amp; Information</t>
  </si>
  <si>
    <t>Administrative and General</t>
  </si>
  <si>
    <t>Undistributed Adjustments</t>
  </si>
  <si>
    <t xml:space="preserve">    Total Operation and Maintenance Expense</t>
  </si>
  <si>
    <t>Depreciation and Amortization Expense</t>
  </si>
  <si>
    <t>Taxes Other than Federal Income Taxes</t>
  </si>
  <si>
    <t>State Income Tax</t>
  </si>
  <si>
    <t>Interest on Customer Deposits</t>
  </si>
  <si>
    <t>Other</t>
  </si>
  <si>
    <t>Net Operating Income Before F.I.T.</t>
  </si>
  <si>
    <t>Federal Income Tax</t>
  </si>
  <si>
    <t xml:space="preserve">  Current Federal Income Tax</t>
  </si>
  <si>
    <t xml:space="preserve">  Deferred Federal Income Tax</t>
  </si>
  <si>
    <t xml:space="preserve">  Deferred Investment Tax Credit</t>
  </si>
  <si>
    <t xml:space="preserve">  ITC Adjustment</t>
  </si>
  <si>
    <t xml:space="preserve">    Total Federal Income Taxes</t>
  </si>
  <si>
    <t>Operating Income</t>
  </si>
  <si>
    <t>AFUDC Offset</t>
  </si>
  <si>
    <t>Net Operating Income</t>
  </si>
  <si>
    <t>Electric Plant in Service - Original Cost</t>
  </si>
  <si>
    <t>Accumulated Provision for Depreciation &amp; Amortization</t>
  </si>
  <si>
    <t xml:space="preserve">    Electric Plant In Service - Net</t>
  </si>
  <si>
    <t>Electric Plant Held for Future Use</t>
  </si>
  <si>
    <t>Prepayments</t>
  </si>
  <si>
    <t>Materials &amp; Supplies</t>
  </si>
  <si>
    <t>Cash Working Capital</t>
  </si>
  <si>
    <t>Construction Work in Progress (excludes AFUDC in CWIP)</t>
  </si>
  <si>
    <t>Customer Advances &amp; Deposits &amp; Other</t>
  </si>
  <si>
    <t>Accumulated Deferred Income Taxes</t>
  </si>
  <si>
    <t>Rate Base</t>
  </si>
  <si>
    <t>`</t>
  </si>
  <si>
    <t>Rate of Return</t>
  </si>
  <si>
    <t>Development of Rate Base</t>
  </si>
  <si>
    <t>Electric Plant in Service</t>
  </si>
  <si>
    <t>Intangible Plant</t>
  </si>
  <si>
    <t>GP-PTD</t>
  </si>
  <si>
    <t>Capitalized Software</t>
  </si>
  <si>
    <t xml:space="preserve">    Total Intangible Plant</t>
  </si>
  <si>
    <t>1010001, 1010008</t>
  </si>
  <si>
    <t>Production Plant</t>
  </si>
  <si>
    <t>Steam Production</t>
  </si>
  <si>
    <t>A310 Land &amp; Land Rights</t>
  </si>
  <si>
    <t>PDAF</t>
  </si>
  <si>
    <t>A311 Structures and Improvements</t>
  </si>
  <si>
    <t xml:space="preserve">A312 Boiler Plant Equipment </t>
  </si>
  <si>
    <t>A313 Engines/Engine Driven Gen.</t>
  </si>
  <si>
    <t>A314 Turbogenerator Units</t>
  </si>
  <si>
    <t>A315 Accessory Electric Equip.</t>
  </si>
  <si>
    <t>A316 Misc. Power Plant Equip.</t>
  </si>
  <si>
    <t>A317 ARO Steam Production Plant</t>
  </si>
  <si>
    <t xml:space="preserve">    Total Steam Production</t>
  </si>
  <si>
    <t>Nuclear Production</t>
  </si>
  <si>
    <t>A320 Land &amp; Land Rights</t>
  </si>
  <si>
    <t>A321 Structures and Improvements</t>
  </si>
  <si>
    <t xml:space="preserve">A322 Reactor Plant Equipment </t>
  </si>
  <si>
    <t>A323 Turbogenerator Units</t>
  </si>
  <si>
    <t>A324 Accessory Electric Equip.</t>
  </si>
  <si>
    <t>A325 Misc. Power Plant Equipment</t>
  </si>
  <si>
    <t xml:space="preserve">    Total Nuclear Production</t>
  </si>
  <si>
    <t>Hydraulic Production</t>
  </si>
  <si>
    <t>A330 Land &amp; Land Rights(MACSS Cap)</t>
  </si>
  <si>
    <t>A331 Structures and Improvements</t>
  </si>
  <si>
    <t>A332 Reservoirs, Dams, and Waterways</t>
  </si>
  <si>
    <t>A333 Water Wheels, Turbines, and Generators</t>
  </si>
  <si>
    <t>A334 Accessory Electric Equipment</t>
  </si>
  <si>
    <t>A335 Miscellaneous Power Plant Equip.</t>
  </si>
  <si>
    <t>A336 Roads, Railroads, and Bridges</t>
  </si>
  <si>
    <t>A337 ARO Hydraulic Production</t>
  </si>
  <si>
    <t xml:space="preserve">    Total  Hydraulic Production</t>
  </si>
  <si>
    <t>Other Production</t>
  </si>
  <si>
    <t>A340 Land &amp; Land Rights</t>
  </si>
  <si>
    <t>A341 Structures and Improvements</t>
  </si>
  <si>
    <t>A342 Fuel Holder, Producer &amp; Acc</t>
  </si>
  <si>
    <t>A343 Prime Movers</t>
  </si>
  <si>
    <t>A344 Generators</t>
  </si>
  <si>
    <t>A345 Accessory Plant Equipment</t>
  </si>
  <si>
    <t>A346 Misc. Power Plant Equipment</t>
  </si>
  <si>
    <t xml:space="preserve">    Total Other Production</t>
  </si>
  <si>
    <t xml:space="preserve">    Total Production Plant</t>
  </si>
  <si>
    <t>FERC AFUDC Adjustment</t>
  </si>
  <si>
    <t>GP-TRANS</t>
  </si>
  <si>
    <t>Contra AFUDC Adjustment</t>
  </si>
  <si>
    <t xml:space="preserve">    Total AFUDC Adjustment</t>
  </si>
  <si>
    <t>Transmission Plant</t>
  </si>
  <si>
    <t>A350 Land and Land Rights</t>
  </si>
  <si>
    <t>TDAF</t>
  </si>
  <si>
    <t>A351 Computer Software and Equipment</t>
  </si>
  <si>
    <t>A352 Structures and Improvements TRAN</t>
  </si>
  <si>
    <t>A353 Station Equipment TRAN</t>
  </si>
  <si>
    <t>Olive Hill Substation</t>
  </si>
  <si>
    <t>A352 Structures and Improvements GEN</t>
  </si>
  <si>
    <t>A353 Station Equipment GEN</t>
  </si>
  <si>
    <t>A354 Towers and Fixtures</t>
  </si>
  <si>
    <t>A355 Poles and Fixtures</t>
  </si>
  <si>
    <t>A356 O.H. Conductors &amp; Devices</t>
  </si>
  <si>
    <t>A357 Underground Conduit</t>
  </si>
  <si>
    <t>A358 Underground Conductors</t>
  </si>
  <si>
    <t>A359 Roads and Trails</t>
  </si>
  <si>
    <t xml:space="preserve">    Total Transmission Plant</t>
  </si>
  <si>
    <t>Distribution Plant</t>
  </si>
  <si>
    <t>A360Land and Land Rights</t>
  </si>
  <si>
    <t>Direct</t>
  </si>
  <si>
    <t>A361Structures and Improvements</t>
  </si>
  <si>
    <t>A362Station Equipment</t>
  </si>
  <si>
    <t>A363Storage Battery Equipment</t>
  </si>
  <si>
    <t>SPECIFIC</t>
  </si>
  <si>
    <t>A364Poles,Towers &amp; Fixtures Primary</t>
  </si>
  <si>
    <t>A365O.H. Conductors &amp; Devices Primary</t>
  </si>
  <si>
    <t>A366Underground Conduits Primary</t>
  </si>
  <si>
    <t>A367U.G. Conductors &amp; Devices Primary</t>
  </si>
  <si>
    <t>A368Line Transformers Primary</t>
  </si>
  <si>
    <t>A369Services</t>
  </si>
  <si>
    <t>A370Meters</t>
  </si>
  <si>
    <t>Olive Hill Meters - Stagnant due to Interconnection Agreement per Nerc Compliance</t>
  </si>
  <si>
    <t>A371Install. on Customer Prem.</t>
  </si>
  <si>
    <t>A372Leased Prop. on Cust. Premises</t>
  </si>
  <si>
    <t>A373Street Lights</t>
  </si>
  <si>
    <t>A374ARO</t>
  </si>
  <si>
    <t xml:space="preserve">    Total Distribution Plant</t>
  </si>
  <si>
    <t>General Plant</t>
  </si>
  <si>
    <t>A389Land and Land Rights</t>
  </si>
  <si>
    <t>A390Structures and Improvements</t>
  </si>
  <si>
    <t>A391Office Furniture &amp; Equip.</t>
  </si>
  <si>
    <t>A392Transportation Equipment</t>
  </si>
  <si>
    <t xml:space="preserve">A393Stores Equipment </t>
  </si>
  <si>
    <t>A394Tools, Shop &amp; Garage Equip.</t>
  </si>
  <si>
    <t>A395Laboratory Equipment</t>
  </si>
  <si>
    <t>A396Power Operated Equipment</t>
  </si>
  <si>
    <t>A397Communication Equipment</t>
  </si>
  <si>
    <t>A398Misc. Equipment</t>
  </si>
  <si>
    <t>A399Other Tang. Property</t>
  </si>
  <si>
    <t>39919ARO General Plant</t>
  </si>
  <si>
    <t xml:space="preserve">    Total General Plant</t>
  </si>
  <si>
    <t>Completed Construction Not Classified -Acct 106</t>
  </si>
  <si>
    <t xml:space="preserve">    Intangible Plant</t>
  </si>
  <si>
    <t xml:space="preserve">     Production Plant</t>
  </si>
  <si>
    <t xml:space="preserve">     Transmission Plant</t>
  </si>
  <si>
    <t xml:space="preserve">     Distribution Plant</t>
  </si>
  <si>
    <t xml:space="preserve">     General Plant</t>
  </si>
  <si>
    <t xml:space="preserve">     Total Completed Construction Not Classified</t>
  </si>
  <si>
    <t>1060001, 1060007</t>
  </si>
  <si>
    <t>Capital Leases Acct 1011001, 1011004</t>
  </si>
  <si>
    <t>Accrued Capital and Operating Leases Acct 1011012, 1011031, 1011032, 1011036</t>
  </si>
  <si>
    <t>1011012, 1011031, 1011032, 1011036</t>
  </si>
  <si>
    <t xml:space="preserve">    Total Capital Leases</t>
  </si>
  <si>
    <t>Total Plant in Service</t>
  </si>
  <si>
    <t xml:space="preserve">     Subtotal Gross Plant     GP-TRANS</t>
  </si>
  <si>
    <t xml:space="preserve">     Subtotal Gross Plant     GP-DIST</t>
  </si>
  <si>
    <t xml:space="preserve">     Subtotal Gross Plant     GP-T&amp;D</t>
  </si>
  <si>
    <t xml:space="preserve">     Subtotal Gross Plant     GP-TOT</t>
  </si>
  <si>
    <t xml:space="preserve">     Subtotal Gross Plant     GP-PTD</t>
  </si>
  <si>
    <t>Less: Reserve for Depreciation/RWIP - Accts 1080001,1080011,1080005,1080026</t>
  </si>
  <si>
    <t xml:space="preserve">     Production</t>
  </si>
  <si>
    <t>Accum. Dep. On ARO Assets</t>
  </si>
  <si>
    <t>Cassie Koehler in Corp Finance provides Direct Assign for HRJ and ARO assets</t>
  </si>
  <si>
    <t xml:space="preserve">     Transmission</t>
  </si>
  <si>
    <t>HR-J Post in Service AFUDC</t>
  </si>
  <si>
    <t xml:space="preserve">     Distribution</t>
  </si>
  <si>
    <t>GP-DIST</t>
  </si>
  <si>
    <t xml:space="preserve">     General</t>
  </si>
  <si>
    <t xml:space="preserve">     Total Reserve for Depreciation / RWIP</t>
  </si>
  <si>
    <t>1080001, 1080011, 1080005, 1080013, 1080026</t>
  </si>
  <si>
    <t>Less Reserve for Amortization</t>
  </si>
  <si>
    <t xml:space="preserve">     Intangible</t>
  </si>
  <si>
    <t>1110001, 1110007</t>
  </si>
  <si>
    <t xml:space="preserve">     Total Reserve for Amortization</t>
  </si>
  <si>
    <t>Prov-Leased Assets - Capital Leases 1011006</t>
  </si>
  <si>
    <t xml:space="preserve">     Total Prov-Leased Assets</t>
  </si>
  <si>
    <t xml:space="preserve">     Total Acc Prov Depreciation and Amortization</t>
  </si>
  <si>
    <t>Net Electric Plant in Service</t>
  </si>
  <si>
    <t>Construction Work in Progress - Account 107</t>
  </si>
  <si>
    <t>1070000, 1070001, 1070007</t>
  </si>
  <si>
    <t xml:space="preserve">     AFUDC</t>
  </si>
  <si>
    <t xml:space="preserve">     Total Intangible Plant</t>
  </si>
  <si>
    <t xml:space="preserve">    AFUDC</t>
  </si>
  <si>
    <t xml:space="preserve">     Total Production Plant</t>
  </si>
  <si>
    <t xml:space="preserve">     Total Transmission Plant</t>
  </si>
  <si>
    <t xml:space="preserve">     Total Distribution Plant</t>
  </si>
  <si>
    <t xml:space="preserve">     Total General Plant</t>
  </si>
  <si>
    <t>Total Construction Work in Progress</t>
  </si>
  <si>
    <t>Total  AFUDC</t>
  </si>
  <si>
    <t>Total Construction Work in Progress Less AFUDC</t>
  </si>
  <si>
    <t>Plant Held for Future Use - Acct 105</t>
  </si>
  <si>
    <t>Specific</t>
  </si>
  <si>
    <t xml:space="preserve">     Total Plant Held for Future Use</t>
  </si>
  <si>
    <t xml:space="preserve">     Fuel / Allowance Inventory</t>
  </si>
  <si>
    <t>EAF</t>
  </si>
  <si>
    <t>1510001, 1510002, 1510003, 1510020, 1520000, 1581000, 1581003, 1581009, 1581014</t>
  </si>
  <si>
    <t xml:space="preserve">     Production M&amp;S Inventory</t>
  </si>
  <si>
    <t>1540001, 1540003, 1540004, 1540022</t>
  </si>
  <si>
    <t>1540006, 1540012, 1540023</t>
  </si>
  <si>
    <t xml:space="preserve">     Transmission M&amp;S Inventory</t>
  </si>
  <si>
    <t>1540001, 1540016</t>
  </si>
  <si>
    <t xml:space="preserve">     Distribution M&amp;S Inventory</t>
  </si>
  <si>
    <t>1540001, 1540003, 1540013, 1540016</t>
  </si>
  <si>
    <t xml:space="preserve">     Total Materials &amp; Supplies</t>
  </si>
  <si>
    <t>1540001, 1540003, 1540004, 1540006, 1540012,1540013, 1540014, 1540016, 1540022, 1540023</t>
  </si>
  <si>
    <t xml:space="preserve">     Prepaid Pension Benefit -1650010, 1650035</t>
  </si>
  <si>
    <t>GP-TOT</t>
  </si>
  <si>
    <t>1650010, 1650035</t>
  </si>
  <si>
    <t xml:space="preserve">     Prepaid Other</t>
  </si>
  <si>
    <t>1650001, 1650005, 1650006, 1650009, 165001123, 165001124, 165001125, 165001223, 165001224, 165001225, 1650021, 1650023, 1650041</t>
  </si>
  <si>
    <t xml:space="preserve">     Total Prepayments</t>
  </si>
  <si>
    <t>Rate Base Additions (Deductions)</t>
  </si>
  <si>
    <t xml:space="preserve">     Accumulated Deferred Income Taxes</t>
  </si>
  <si>
    <t>2811001, 2821001, 2831001, 2831102, 2831302, 1901001, 1901002</t>
  </si>
  <si>
    <t xml:space="preserve">     Unallocated Deferred FIT</t>
  </si>
  <si>
    <t xml:space="preserve">     Deferred Investment Tax Credit</t>
  </si>
  <si>
    <t xml:space="preserve">     Special Deposits</t>
  </si>
  <si>
    <t>1340018, 1340048, 1340051, 1340057</t>
  </si>
  <si>
    <t xml:space="preserve">     Customer Advances/Credits</t>
  </si>
  <si>
    <t>2520000, 2530124, 2530050</t>
  </si>
  <si>
    <t xml:space="preserve">     Customer Deposits</t>
  </si>
  <si>
    <t>2350001, 2350003</t>
  </si>
  <si>
    <t xml:space="preserve">     Other Rate Base</t>
  </si>
  <si>
    <t xml:space="preserve">     After Tax Effect of ARO </t>
  </si>
  <si>
    <t xml:space="preserve">     Total Rate Base Deductions</t>
  </si>
  <si>
    <t xml:space="preserve">     Total Rate Base (excluding Cash Working Capital)</t>
  </si>
  <si>
    <t>Operating Revenues - Sale of Electricity</t>
  </si>
  <si>
    <t>4400001, 4400002, 4400005, 4420001, 4420002, 4420004, 4420006, 4420007, 4420013, 4420016, 4440000, 4440002</t>
  </si>
  <si>
    <t>Operating Revenues - Wholesale Sales of Electricity</t>
  </si>
  <si>
    <t>4470027, 4470033, 4470150</t>
  </si>
  <si>
    <t>4491002, 4491003, 4491004, 4491005, 4491006, 4491007</t>
  </si>
  <si>
    <t>Non-Firm Sales:</t>
  </si>
  <si>
    <t xml:space="preserve">     Demand Related </t>
  </si>
  <si>
    <t xml:space="preserve">     Energy Related</t>
  </si>
  <si>
    <t>4470001, 4470006, 4470010, 4470074, 4470081, 4470082, 4470089, 4470098, 4470099, 4470100, 4470103, 4470107, 4470110, 4470112, 4470115, 4470116, 4470126, 4470127, 4470131, 4470143, 4470151, 4470175, 4470176, 4470206, 4470209, 4470214, 4470215, 4470220, 4470221, 4470222</t>
  </si>
  <si>
    <t xml:space="preserve">     Unallocated</t>
  </si>
  <si>
    <t xml:space="preserve">     Total Non-Firm Sales</t>
  </si>
  <si>
    <t>Other Operating Revenues</t>
  </si>
  <si>
    <t xml:space="preserve">     450-Forfeited Discounts</t>
  </si>
  <si>
    <t xml:space="preserve">     451-Miscellaneous Service Revenues</t>
  </si>
  <si>
    <t>Rent from Electric Property</t>
  </si>
  <si>
    <t xml:space="preserve">     4541-Rent-Assoc Cos- Production</t>
  </si>
  <si>
    <t xml:space="preserve">     4541-Rent-Assoc Cos- Transmission</t>
  </si>
  <si>
    <t xml:space="preserve">     4541-Rent-Assoc Cos- Distribution </t>
  </si>
  <si>
    <t xml:space="preserve">     4542-Rent-Non-Assoc Cos- Production</t>
  </si>
  <si>
    <t xml:space="preserve">     4542-Rent-Non-Assoc Cos- Transmission</t>
  </si>
  <si>
    <t xml:space="preserve">     4542-Rent-Non-Assoc Cos- Distribution </t>
  </si>
  <si>
    <t xml:space="preserve">     4540005 Rent from Elec Prop-Pole Attach</t>
  </si>
  <si>
    <t xml:space="preserve">     4540004-Rent-Non-Assoc Cos-ABD Distribution</t>
  </si>
  <si>
    <t xml:space="preserve">     4540004-Rent-Non-Assoc Cos-ABD Transmission</t>
  </si>
  <si>
    <t xml:space="preserve">     Total Rent from Electric Property</t>
  </si>
  <si>
    <t>Other Electric Revenues</t>
  </si>
  <si>
    <t xml:space="preserve">     456-Other Electric Production</t>
  </si>
  <si>
    <t>4560001, 4560012</t>
  </si>
  <si>
    <t xml:space="preserve">     456-Other Electric Revenues DSM</t>
  </si>
  <si>
    <t xml:space="preserve">     456-Other Electric Transmission EKPC</t>
  </si>
  <si>
    <t xml:space="preserve">     456-Other Electric LSE Charge - Retail Demand</t>
  </si>
  <si>
    <t>4561002, 4561005, 4561035, 4561060</t>
  </si>
  <si>
    <t xml:space="preserve">     456-Other Electric LSE Charge - Retail Energy</t>
  </si>
  <si>
    <t xml:space="preserve">     456-Other Electric TO Revenues</t>
  </si>
  <si>
    <t xml:space="preserve"> 4561006, 4561007, 4561018, 4561026, 4561028, 4561029, 4561030, 4561033, 4561034, 4561045, 4561058, 4561059, 4561061</t>
  </si>
  <si>
    <t xml:space="preserve">     456-Other Electric Non-Juris</t>
  </si>
  <si>
    <t>4561062, 4561063, 4561064, 4561065, 4561073</t>
  </si>
  <si>
    <t xml:space="preserve">     456-Other Electric Transmission ABD</t>
  </si>
  <si>
    <t xml:space="preserve">     456-Other Electric Distribution ABD</t>
  </si>
  <si>
    <t xml:space="preserve">     Total Other Electric Revenues</t>
  </si>
  <si>
    <r>
      <t>4560001, 4560007, 4560012, 4560015, 4560043, 4561002, 4561005, 4561006, 4561007, 4561019, 4561028, 4561029, 4561030, 4561033, 4561034, 4561035, 4561036,</t>
    </r>
    <r>
      <rPr>
        <sz val="9"/>
        <rFont val="Arial"/>
        <family val="2"/>
      </rPr>
      <t xml:space="preserve"> 4561045,</t>
    </r>
    <r>
      <rPr>
        <sz val="10"/>
        <rFont val="Arial"/>
        <family val="2"/>
      </rPr>
      <t xml:space="preserve"> 4561058, 4561059, 4561060, 4561061, 4561062, 4561063, 4561064, 4561065, 4561073</t>
    </r>
  </si>
  <si>
    <t xml:space="preserve">     Total Other Operating Revenues</t>
  </si>
  <si>
    <t xml:space="preserve">     Total Operating Revenues</t>
  </si>
  <si>
    <t>Power Production Expenses</t>
  </si>
  <si>
    <t xml:space="preserve"> Steam Generation Expenses</t>
  </si>
  <si>
    <t xml:space="preserve">     500-Supervision  &amp; Engineering</t>
  </si>
  <si>
    <t>5000000, 5000001</t>
  </si>
  <si>
    <t xml:space="preserve">     501-Fuel Delivered and Consumed</t>
  </si>
  <si>
    <t>5010000, 5010001, 5010019, 5010020, 5010021, 5010031</t>
  </si>
  <si>
    <t xml:space="preserve">     501-Gas Reservation Fee</t>
  </si>
  <si>
    <t>5010034, 5010040</t>
  </si>
  <si>
    <t xml:space="preserve">     501-Fuel Other</t>
  </si>
  <si>
    <t>5010003, 5010012, 5010013, 5010027, 5010028, 5010033</t>
  </si>
  <si>
    <t xml:space="preserve">     5010005-Def Fuel</t>
  </si>
  <si>
    <t xml:space="preserve">     502-Steam / Consumables</t>
  </si>
  <si>
    <t>PDAF / EAF</t>
  </si>
  <si>
    <t>5020000, 5020002, 5020003, 5020004, 5020005, 5020007, 5020025</t>
  </si>
  <si>
    <t xml:space="preserve">     503-Steam other Sources</t>
  </si>
  <si>
    <t xml:space="preserve">     504-Steam Transferred Credit</t>
  </si>
  <si>
    <t xml:space="preserve">     505-Electric</t>
  </si>
  <si>
    <t xml:space="preserve">     506-Misc. Steam Power Expenses</t>
  </si>
  <si>
    <t>5060000, 5060002, 5060003, 5060004, 5060011</t>
  </si>
  <si>
    <t xml:space="preserve">     507-Rents</t>
  </si>
  <si>
    <t xml:space="preserve">     508-IPP Operations</t>
  </si>
  <si>
    <t xml:space="preserve">     509-Allowances</t>
  </si>
  <si>
    <t>5090000, 5090001, 5090009, 5090013</t>
  </si>
  <si>
    <t xml:space="preserve">     Total Steam Operation</t>
  </si>
  <si>
    <t xml:space="preserve">     510-Supervision &amp; Engineering</t>
  </si>
  <si>
    <t>5100000, 5100001</t>
  </si>
  <si>
    <t xml:space="preserve">     511-Structures</t>
  </si>
  <si>
    <t xml:space="preserve">     512-Boiler Plant</t>
  </si>
  <si>
    <t>5120000, 5120025, 5120034, 5120037</t>
  </si>
  <si>
    <t xml:space="preserve">     513-Electric Plant</t>
  </si>
  <si>
    <t>5130000, 5132000, 5133000</t>
  </si>
  <si>
    <t xml:space="preserve">     514-Misc Steam Plant</t>
  </si>
  <si>
    <t>5140000, 5140025</t>
  </si>
  <si>
    <t xml:space="preserve">     Total Steam Maintenance</t>
  </si>
  <si>
    <t xml:space="preserve">     Total Steam Generation Expense</t>
  </si>
  <si>
    <t>Other Power Supply Expense</t>
  </si>
  <si>
    <t xml:space="preserve">     549&amp;550-Misc Other Power Generation Expense</t>
  </si>
  <si>
    <t xml:space="preserve">     555-Purchased Power Expense Demand</t>
  </si>
  <si>
    <t>5550074, 5550075, 5550076, 5550123, 5550137, 5550328</t>
  </si>
  <si>
    <t xml:space="preserve">     555-Purchased Power Expense Energy</t>
  </si>
  <si>
    <t>PPA Direct Assign - From PPA Adj on Sch 5</t>
  </si>
  <si>
    <t>5550001, 5550023,5550039, 5550040, 5550078, 5550079, 5550080, 5550083, 5550084, 5550094, 5550124, 5550132,  5550153, 5550326, 5550327</t>
  </si>
  <si>
    <t xml:space="preserve">     556-Sys Control &amp; Load Dispatching</t>
  </si>
  <si>
    <t xml:space="preserve">     557- Other Expenses</t>
  </si>
  <si>
    <r>
      <t xml:space="preserve">5570000, 5570007, </t>
    </r>
    <r>
      <rPr>
        <sz val="9"/>
        <rFont val="Arial"/>
        <family val="2"/>
      </rPr>
      <t>5570010, 5570025</t>
    </r>
  </si>
  <si>
    <t xml:space="preserve">     Total Other Power Supply Expense</t>
  </si>
  <si>
    <t xml:space="preserve">     558-Solar and Wind Expense</t>
  </si>
  <si>
    <t>5581000, 5581300, 5581400, 5582000, 5581900, 5587000</t>
  </si>
  <si>
    <t xml:space="preserve">     Total Solar and Wind Expense</t>
  </si>
  <si>
    <t xml:space="preserve">     Total Production O&amp;M Expense</t>
  </si>
  <si>
    <t>Transmission Expense</t>
  </si>
  <si>
    <t xml:space="preserve">     560-Supervision &amp; Engineering</t>
  </si>
  <si>
    <t xml:space="preserve">     561-Load Dispatching - Company</t>
  </si>
  <si>
    <t>5612000, 5615000</t>
  </si>
  <si>
    <t xml:space="preserve">     561-Load Dispatching - PJM</t>
  </si>
  <si>
    <r>
      <t>5611000, 5613000</t>
    </r>
    <r>
      <rPr>
        <sz val="12"/>
        <rFont val="Arial"/>
        <family val="2"/>
      </rPr>
      <t>,</t>
    </r>
    <r>
      <rPr>
        <sz val="10"/>
        <rFont val="Arial"/>
        <family val="2"/>
      </rPr>
      <t xml:space="preserve"> 5614000, 5614001, 5614007, 5614008, 5614009, 5618000, 5618001</t>
    </r>
  </si>
  <si>
    <t xml:space="preserve">     562-Station Equipment</t>
  </si>
  <si>
    <t xml:space="preserve">     563-Overhead Lines</t>
  </si>
  <si>
    <t xml:space="preserve">     564-Underground Lines</t>
  </si>
  <si>
    <t xml:space="preserve">     565  LSE Transmission Purchases </t>
  </si>
  <si>
    <t>5650012, 5650016, 5650019, 5650021</t>
  </si>
  <si>
    <t xml:space="preserve">     565  LSE Transmission Purchases - Retail Energy</t>
  </si>
  <si>
    <t xml:space="preserve">     565  Transmission by Others</t>
  </si>
  <si>
    <t xml:space="preserve">     565  Transmission Purchases - Non-Juris &amp; Provisions</t>
  </si>
  <si>
    <t>5650020, 5650021, 5650060</t>
  </si>
  <si>
    <t xml:space="preserve">     566-Misc Transmission</t>
  </si>
  <si>
    <t>PPA Direct Assign - 5660009 - from PPA Adj WP on Sch 5</t>
  </si>
  <si>
    <t>5660000, 5660009, 5660010, 5660011</t>
  </si>
  <si>
    <t xml:space="preserve">     567-Rents</t>
  </si>
  <si>
    <t>5670001, 5670002</t>
  </si>
  <si>
    <t xml:space="preserve">     Total Transmission Operation Expense</t>
  </si>
  <si>
    <t>Transmission Maintenance</t>
  </si>
  <si>
    <t xml:space="preserve">     568-Supervision &amp; Engineering</t>
  </si>
  <si>
    <t xml:space="preserve">     569-Structures</t>
  </si>
  <si>
    <t>5690000, 5691000, 5692000, 5693000</t>
  </si>
  <si>
    <t xml:space="preserve">     570-Station Equipment</t>
  </si>
  <si>
    <t xml:space="preserve">     571-Overhead Lines</t>
  </si>
  <si>
    <t xml:space="preserve">     572-Underground Lines</t>
  </si>
  <si>
    <t xml:space="preserve">     573-Misc Transmission Expenses</t>
  </si>
  <si>
    <t xml:space="preserve">     575- PJM Admin</t>
  </si>
  <si>
    <t>5757000, 5757001</t>
  </si>
  <si>
    <t xml:space="preserve">     Total Transmission Maintenance Expense</t>
  </si>
  <si>
    <t xml:space="preserve">     Total Transmission O&amp;M Expense</t>
  </si>
  <si>
    <t>Distribution Expense</t>
  </si>
  <si>
    <t xml:space="preserve">     580-Supervision &amp; Engineering</t>
  </si>
  <si>
    <t xml:space="preserve">     581-Load Dispatching</t>
  </si>
  <si>
    <t xml:space="preserve">     582-Station Equipment</t>
  </si>
  <si>
    <t xml:space="preserve">     583-Overhead Lines</t>
  </si>
  <si>
    <t xml:space="preserve">     584-Underground Lines</t>
  </si>
  <si>
    <t xml:space="preserve">     585-Street &amp; Area Lighting</t>
  </si>
  <si>
    <t xml:space="preserve">     586-Meters</t>
  </si>
  <si>
    <t xml:space="preserve">     587-Customer Installations</t>
  </si>
  <si>
    <t xml:space="preserve">     588-Misc Distribution </t>
  </si>
  <si>
    <t xml:space="preserve">     589-Rents</t>
  </si>
  <si>
    <t>5890001, 5890002</t>
  </si>
  <si>
    <t xml:space="preserve">     Total Distribution Operation</t>
  </si>
  <si>
    <t xml:space="preserve">     590-Supervision &amp; Engineering</t>
  </si>
  <si>
    <t xml:space="preserve">     591-Structures</t>
  </si>
  <si>
    <t xml:space="preserve">     592-Station Equipment</t>
  </si>
  <si>
    <t>5920000, 5923000, 5924000</t>
  </si>
  <si>
    <t xml:space="preserve">     593-Overhead Lines</t>
  </si>
  <si>
    <t xml:space="preserve">     5930010 Storm Expense Amortization</t>
  </si>
  <si>
    <t>DIRECT</t>
  </si>
  <si>
    <t xml:space="preserve">     5930001 Forestry - Tree &amp; Brush Control</t>
  </si>
  <si>
    <t xml:space="preserve">     594-Underground Lines</t>
  </si>
  <si>
    <t xml:space="preserve">     595-Line Transformers</t>
  </si>
  <si>
    <t xml:space="preserve">     596-Street &amp; Area Lighting</t>
  </si>
  <si>
    <t xml:space="preserve">     597-Meters</t>
  </si>
  <si>
    <t xml:space="preserve">     598-Misc Distribution Plant</t>
  </si>
  <si>
    <t xml:space="preserve">     Total Distribution Maintenance</t>
  </si>
  <si>
    <t xml:space="preserve">     Total Distribution Expense</t>
  </si>
  <si>
    <t>Customer Accounts Expense</t>
  </si>
  <si>
    <t xml:space="preserve">     901-Supervision &amp; Engineering</t>
  </si>
  <si>
    <t>CUST</t>
  </si>
  <si>
    <t>9010000, 9020000</t>
  </si>
  <si>
    <t xml:space="preserve">     902-Meter Reading</t>
  </si>
  <si>
    <t>9020002, 9020003</t>
  </si>
  <si>
    <t xml:space="preserve">     903-Customer Records &amp; Collection Expense</t>
  </si>
  <si>
    <t>9030000, 9300001, 9030002, 9030003, 9030004, 9030005, 9030006, 9030007, 9030009</t>
  </si>
  <si>
    <t xml:space="preserve">     9040000-Uncollectable Accounts</t>
  </si>
  <si>
    <t xml:space="preserve">     9040007-Uncollectible Misc Receivables</t>
  </si>
  <si>
    <t>9040007</t>
  </si>
  <si>
    <t xml:space="preserve">     905-Misc Customer Accounts</t>
  </si>
  <si>
    <t>9050000</t>
  </si>
  <si>
    <t xml:space="preserve">     Total Customer Accounts</t>
  </si>
  <si>
    <t>Customer Information Expense</t>
  </si>
  <si>
    <t xml:space="preserve">     907-Supervision</t>
  </si>
  <si>
    <t>9070000, 9070001</t>
  </si>
  <si>
    <t xml:space="preserve">     908-Customer Assistance</t>
  </si>
  <si>
    <t>DSM, Econ Dev &amp; HEAP Rider Expense Adjustments on Sch 5</t>
  </si>
  <si>
    <t xml:space="preserve">     909-Information &amp; Instruction</t>
  </si>
  <si>
    <t xml:space="preserve">     910-Misc Customer Service</t>
  </si>
  <si>
    <t>9100000, 9100001</t>
  </si>
  <si>
    <t xml:space="preserve">     Total Customer Information</t>
  </si>
  <si>
    <t>Customer Service</t>
  </si>
  <si>
    <t xml:space="preserve">     911-Supervision</t>
  </si>
  <si>
    <t>9110001, 9220002</t>
  </si>
  <si>
    <t xml:space="preserve">     912-Demo &amp; Selling</t>
  </si>
  <si>
    <t>9120000, 9120001, 9120003</t>
  </si>
  <si>
    <t xml:space="preserve">     913-Advertising</t>
  </si>
  <si>
    <t>9130000, 9130001</t>
  </si>
  <si>
    <t xml:space="preserve">     916-Misc SALES Expense</t>
  </si>
  <si>
    <t xml:space="preserve">     Total Customer Service</t>
  </si>
  <si>
    <t>Administrative &amp; General Expense</t>
  </si>
  <si>
    <t xml:space="preserve">     920-Salaries</t>
  </si>
  <si>
    <t>A&amp;G</t>
  </si>
  <si>
    <t>9200000, 92000003, 9200005</t>
  </si>
  <si>
    <t xml:space="preserve">     921-Office Supplies</t>
  </si>
  <si>
    <t>9210001, 9210003, 9210004, 9210005, 9210006, 9210020, 9210021, 9210022, 9210023, 9210024, 9210025, 9210026, 9210027, 9210028, 9210030, 9210031, 9210032, 9210033, 9210034, 9210035, 9210036, 9210037,  9210040, 9210041</t>
  </si>
  <si>
    <t xml:space="preserve">     922-Administrative Expense Transferred</t>
  </si>
  <si>
    <t>9220000, 9220001, 9220002, 9220004, 9220005</t>
  </si>
  <si>
    <t xml:space="preserve">     923-Outside Services</t>
  </si>
  <si>
    <t>9230001, 9230003, 9230024, 9230025, 9230031, 9230034, 9230035, 9230064</t>
  </si>
  <si>
    <t xml:space="preserve">     924-Property Insurance</t>
  </si>
  <si>
    <t xml:space="preserve">     925-Injuries &amp; Damages</t>
  </si>
  <si>
    <t>9250000, 9250001, 9250002, 9250006, 9250007, 9250010</t>
  </si>
  <si>
    <t xml:space="preserve">     926-Employee Pension &amp; Benefits</t>
  </si>
  <si>
    <t>9260000, 9260001, 9260002, 9260003, 9260004, 9260005, 9260007, 9260009, 9260010, 9260012, 9260014, 9260021, 9260027, 9260036, 9260037, 9260040, 9260042, 9260043, 9260050, 9260051, 9260052, 9260053, 9260055, 9260058, 9260060, 9260062, 9260064</t>
  </si>
  <si>
    <t xml:space="preserve">     9260057 Post Ret Medicare Subsidy Direct</t>
  </si>
  <si>
    <t xml:space="preserve">     927-Franchise Requirements</t>
  </si>
  <si>
    <t xml:space="preserve">     Regulatory Commission Expense (incl 9280006)</t>
  </si>
  <si>
    <t>9280000, 9280001, 9280006</t>
  </si>
  <si>
    <t xml:space="preserve">     928- Rate Case Expense</t>
  </si>
  <si>
    <t>FERC Trans Rate Case Expense - 9280005</t>
  </si>
  <si>
    <t>9280002, 9280005</t>
  </si>
  <si>
    <t xml:space="preserve">     930.1-General Advertising Expense</t>
  </si>
  <si>
    <t>9301000, 9301001, 9301002, 9301003, 9301006, 9301007, 9301009, 9301010, 9301012, 9301014, 9301015</t>
  </si>
  <si>
    <t xml:space="preserve">     930.2-Misc General Expense</t>
  </si>
  <si>
    <t>9302000, 9302003, 9302004, 9302006, 9302007</t>
  </si>
  <si>
    <t xml:space="preserve">     931-Rent</t>
  </si>
  <si>
    <t>9310001, 9310002, 9310005</t>
  </si>
  <si>
    <t xml:space="preserve">     Total Admin &amp; General Operation</t>
  </si>
  <si>
    <t xml:space="preserve">     935-Admin &amp; General Maintenance</t>
  </si>
  <si>
    <t>9350000, 9350001, 9350002, 9350012, 9350013, 9350015, 9350016, 9350017, 9350019, 9350023, 9350024, 9351000. 9352000, 9353000</t>
  </si>
  <si>
    <t xml:space="preserve">     935 - Software Deferral</t>
  </si>
  <si>
    <t xml:space="preserve">     Total Admin &amp; General Expense</t>
  </si>
  <si>
    <t xml:space="preserve">     Total Operation &amp; Maint Exp</t>
  </si>
  <si>
    <t xml:space="preserve">     Subtotal O&amp;M Labor - OML</t>
  </si>
  <si>
    <t xml:space="preserve">     Total Power Production Expense</t>
  </si>
  <si>
    <t xml:space="preserve">     Total Transmission Expense</t>
  </si>
  <si>
    <t xml:space="preserve">     Total Customer Related Expense</t>
  </si>
  <si>
    <t xml:space="preserve">     Total Admin.&amp; General Expense</t>
  </si>
  <si>
    <t xml:space="preserve">        Subtotal</t>
  </si>
  <si>
    <t xml:space="preserve">     Total Cash Working Capital</t>
  </si>
  <si>
    <t>Depreciation Expense</t>
  </si>
  <si>
    <t xml:space="preserve">     Transmission Excl. GSU's</t>
  </si>
  <si>
    <t xml:space="preserve">     Transmission - GSU's</t>
  </si>
  <si>
    <t xml:space="preserve">     Total Depreciation Expense</t>
  </si>
  <si>
    <t>4030001, 4030029, 4030046, 4030047, 4031001, 4040001, 4040007, 4060001</t>
  </si>
  <si>
    <t>Amortization Expense</t>
  </si>
  <si>
    <t xml:space="preserve">     Intangible Plant</t>
  </si>
  <si>
    <t xml:space="preserve">     Total Amortization Expense</t>
  </si>
  <si>
    <t>Regulatory Debits/Credits</t>
  </si>
  <si>
    <t xml:space="preserve">    Reg Debits/Credits - 407.3, 407.4</t>
  </si>
  <si>
    <t>BSDR Direct Assign - from Adj "Remove Tariff D.R Rev and Exp" on sch 5</t>
  </si>
  <si>
    <t xml:space="preserve">     Total Regulatory Debits</t>
  </si>
  <si>
    <t>4073000, 4073014, 4074000, 4074025</t>
  </si>
  <si>
    <t xml:space="preserve">     Total Depreciation &amp; Amortization Expense</t>
  </si>
  <si>
    <t>Taxes Other than F.I.T.</t>
  </si>
  <si>
    <t>Current Payroll Taxes</t>
  </si>
  <si>
    <t xml:space="preserve">     FICA</t>
  </si>
  <si>
    <t>Labor - OML</t>
  </si>
  <si>
    <t>4081002, 4081033</t>
  </si>
  <si>
    <t xml:space="preserve">     Fed Unemployment</t>
  </si>
  <si>
    <t>4081003, 4081034</t>
  </si>
  <si>
    <t xml:space="preserve">     State Unemployment</t>
  </si>
  <si>
    <t>Labor - OML / SPECIFIC</t>
  </si>
  <si>
    <t>4081007, 4081035</t>
  </si>
  <si>
    <t xml:space="preserve">     Total Payroll Related Tax</t>
  </si>
  <si>
    <t xml:space="preserve"> Real and Personal Property Tax</t>
  </si>
  <si>
    <t xml:space="preserve"> 408100519, 40800520, 408100521, 408100522, 408100523, 408100524</t>
  </si>
  <si>
    <t>Municipal License</t>
  </si>
  <si>
    <t>P.S.C.</t>
  </si>
  <si>
    <t>408101817, 408101818, 408101819</t>
  </si>
  <si>
    <t>Sales &amp; Use</t>
  </si>
  <si>
    <t>408101924, 408101925</t>
  </si>
  <si>
    <t>Regis Fee</t>
  </si>
  <si>
    <t>408101718, 408101719</t>
  </si>
  <si>
    <t>State Business Occup Taxes</t>
  </si>
  <si>
    <t>408102021,408102022,408102023, 408102024, 408102025</t>
  </si>
  <si>
    <t>Gross Receipts Tax</t>
  </si>
  <si>
    <t>408100622,408100623, 408100624, 408100625</t>
  </si>
  <si>
    <t>Business Franchise Taxes</t>
  </si>
  <si>
    <t>408100817, 408100818, 408100819, 408100820</t>
  </si>
  <si>
    <t>Federal Excise</t>
  </si>
  <si>
    <t>408101424, 408101425</t>
  </si>
  <si>
    <t>Taxes on Capital Leases</t>
  </si>
  <si>
    <t xml:space="preserve"> 408102922, 408102923, 408102924, 408102925, 408103623, 408103624, 408103625</t>
  </si>
  <si>
    <t xml:space="preserve">     Total Taxes Other than F.I.T.</t>
  </si>
  <si>
    <t>AFUDC Offset - Production</t>
  </si>
  <si>
    <t>AFUDC Offset - Transmission</t>
  </si>
  <si>
    <t>AFUDC Offset - Distribution</t>
  </si>
  <si>
    <t>AFUDC Offset - General</t>
  </si>
  <si>
    <t>AFUDC Offset - Intangible</t>
  </si>
  <si>
    <t>Interest On Customer Deposits</t>
  </si>
  <si>
    <t>Other Expense Items</t>
  </si>
  <si>
    <t>G/L Disp. Of Util Plant Gain Disp. Of Util Plant 4116000</t>
  </si>
  <si>
    <t>Loss Disp. Of Util Plant 4117000</t>
  </si>
  <si>
    <t>G/L Disp. Of Allowances 411.8</t>
  </si>
  <si>
    <t>4118002, 4118003, 4118008</t>
  </si>
  <si>
    <t>Accretion 4111005</t>
  </si>
  <si>
    <t>A/R Factoring</t>
  </si>
  <si>
    <t>Retail bad debt amount acct 4265010</t>
  </si>
  <si>
    <t>4265009, 4265010</t>
  </si>
  <si>
    <t>Acct 4190005</t>
  </si>
  <si>
    <t>NP</t>
  </si>
  <si>
    <t>Acct 4300001 &amp; 4300003</t>
  </si>
  <si>
    <t>4300001, 4300003</t>
  </si>
  <si>
    <t>4310007-Other Interest Expense</t>
  </si>
  <si>
    <t>Line of Credit Fees</t>
  </si>
  <si>
    <t xml:space="preserve">     Total Other</t>
  </si>
  <si>
    <t>Income Taxes</t>
  </si>
  <si>
    <t>Current/Deferred State Income Tax</t>
  </si>
  <si>
    <t>Current Federal Income Taxes</t>
  </si>
  <si>
    <t>Deferred Federal Income Taxes</t>
  </si>
  <si>
    <t>Deferred Investment Tax Credit</t>
  </si>
  <si>
    <t>ITC Adjustment</t>
  </si>
  <si>
    <t xml:space="preserve">     Total Income Taxes</t>
  </si>
  <si>
    <t>4091001, 4091002, 4092001, 4092002, 4101001, 4101002, 4102001, 4111001, 411002, 4112001</t>
  </si>
  <si>
    <t>Capitalization</t>
  </si>
  <si>
    <t>ADJ W30-W35</t>
  </si>
  <si>
    <t>51-A</t>
  </si>
  <si>
    <t>51-B</t>
  </si>
  <si>
    <t>System Sales Clause - reset OSS Margin Baseline</t>
  </si>
  <si>
    <t>Adjustment to Recognize Accrued Surcharge Revenue Differences</t>
  </si>
  <si>
    <t>Book to Bill</t>
  </si>
  <si>
    <t>Removal of Federal Tax Cut Rider Credits</t>
  </si>
  <si>
    <t>Annualize Base Rate Revenues</t>
  </si>
  <si>
    <t>Misc Charges Revenue (Increased Charges)</t>
  </si>
  <si>
    <t>Decommissioning Rider Removal</t>
  </si>
  <si>
    <t>Environmental Surcharge Revenue Sync - remove FGD revenue, sync non-FGD revenue, remove deferrals</t>
  </si>
  <si>
    <t>Fuel Synch Under (Over) Revenue &amp; Expense</t>
  </si>
  <si>
    <t xml:space="preserve">Remove PPA Rider Revenue, Expense </t>
  </si>
  <si>
    <t>Remove DSM Rider Revenue and Expenses</t>
  </si>
  <si>
    <t>Remove HEAP/REA Surcharge</t>
  </si>
  <si>
    <t>Remove Tariff K.E.D.S. Revenues and Expenses</t>
  </si>
  <si>
    <t xml:space="preserve">Customer Annualization </t>
  </si>
  <si>
    <t>Weather Normalization</t>
  </si>
  <si>
    <t>PJM LSE OATT Expense</t>
  </si>
  <si>
    <t>Removal of Pole Rental Revenues and Expense to prior periods</t>
  </si>
  <si>
    <t>Wholesale Load (Due to Ceasing in May 2025)</t>
  </si>
  <si>
    <t>Remove Mitchell FGD Operating Expenses</t>
  </si>
  <si>
    <t>O&amp;M Expense Interest on Customer Deposits</t>
  </si>
  <si>
    <t>Amortization of Storm Expense Reg Assets</t>
  </si>
  <si>
    <t>Rate Case Expense</t>
  </si>
  <si>
    <t xml:space="preserve">Eliminate Misc Expense        </t>
  </si>
  <si>
    <t>Annualization of Lease Costs</t>
  </si>
  <si>
    <t>Pension and OPEB Expense</t>
  </si>
  <si>
    <t>Employee Related Group Benefit Expenses</t>
  </si>
  <si>
    <t>NERC Compliance &amp; Cyber Security</t>
  </si>
  <si>
    <t>Removing Severance Related Payroll Expenses</t>
  </si>
  <si>
    <t>Total Incentive Compensation &amp; Payroll Adjustments</t>
  </si>
  <si>
    <t>Remove Non-Recoverable Business Expenses</t>
  </si>
  <si>
    <t>Annualization of Depreciation Expense (Excluding ARO Depreciation) at Current Depr Rates</t>
  </si>
  <si>
    <t>Annualization of ARO Depreciation Expense</t>
  </si>
  <si>
    <t>Annualization of ARO Accretion Expense</t>
  </si>
  <si>
    <t xml:space="preserve">KPSC Maintenance Assessment                                               </t>
  </si>
  <si>
    <t xml:space="preserve">KPCo AFUDC Offset </t>
  </si>
  <si>
    <t>Property Tax Expense Annualization</t>
  </si>
  <si>
    <t>Sales and Use Tax</t>
  </si>
  <si>
    <t>State Business Occupation Tax</t>
  </si>
  <si>
    <t>Non - FAC Eligible Cost Adj</t>
  </si>
  <si>
    <t>Remove Pension Settlement Costs from Rate Base</t>
  </si>
  <si>
    <t>Request to Defer and Amortize Direct Pension Settlement Costs</t>
  </si>
  <si>
    <t>Annualization Depreciation/Amortization Expense at Updated Depr. Rates</t>
  </si>
  <si>
    <t>Remove Mitchell from Rate Base and Cost of Service</t>
  </si>
  <si>
    <t>Veg Management Tree Trimming &amp; Dist Investment</t>
  </si>
  <si>
    <t>Mitchell Non-ELG Adjustments</t>
  </si>
  <si>
    <t>Turbine Reservation Fee</t>
  </si>
  <si>
    <t>Remove FIT Expenses - Excess Related to Tax Rider</t>
  </si>
  <si>
    <t>Interest Sync with going level tax</t>
  </si>
  <si>
    <t>Total ADIT Adjustment</t>
  </si>
  <si>
    <t>Remove Mitchell Plant FGD and Consumable Inventory from Rate Base (Mitchell)</t>
  </si>
  <si>
    <t>Removal NERC Compliance Cyber Security Net Plant from Rate Base</t>
  </si>
  <si>
    <t xml:space="preserve">Adjustment to Capital Structure for Securitization </t>
  </si>
  <si>
    <t xml:space="preserve">  Total Operating Revenues</t>
  </si>
  <si>
    <t xml:space="preserve">  Total Operation and Maintenance Expense</t>
  </si>
  <si>
    <t>pre-tax</t>
  </si>
  <si>
    <t xml:space="preserve">     Electric Plant In Service - Net</t>
  </si>
  <si>
    <t>Construction Work in Progress</t>
  </si>
  <si>
    <t xml:space="preserve">     Total Steam Production</t>
  </si>
  <si>
    <t xml:space="preserve">     Total Nuclear Production</t>
  </si>
  <si>
    <t xml:space="preserve">     Total  Hydraulic Production</t>
  </si>
  <si>
    <t xml:space="preserve">     Total Other Production</t>
  </si>
  <si>
    <t xml:space="preserve">     Total AFUDC Adjustment</t>
  </si>
  <si>
    <t>Capital Leases Acct 1011001</t>
  </si>
  <si>
    <t>Accrued Capital Leases Acct 1011012</t>
  </si>
  <si>
    <t xml:space="preserve">     Total Capital Leases</t>
  </si>
  <si>
    <t>Less: Reserve for Depreciation/RWIP - Accts 1080001,1080011,1080005</t>
  </si>
  <si>
    <t xml:space="preserve">     Prepaid Pension Benefit</t>
  </si>
  <si>
    <t xml:space="preserve">     Accumulated Deferred Income Taxes, other than Deferred Fuel</t>
  </si>
  <si>
    <t xml:space="preserve">     Customer Advances</t>
  </si>
  <si>
    <t>Total Rate Base (excluding Cash Working Capital)</t>
  </si>
  <si>
    <t xml:space="preserve">         Total Other Power Supply Expense</t>
  </si>
  <si>
    <t xml:space="preserve">   Total Production O&amp;M Expense</t>
  </si>
  <si>
    <t xml:space="preserve">     561-Load Dispatching</t>
  </si>
  <si>
    <t xml:space="preserve">     561-Load Dispatching-PJM</t>
  </si>
  <si>
    <t xml:space="preserve">     565  LSE Transmission Purchases - Retail Demand</t>
  </si>
  <si>
    <t xml:space="preserve">     565  Transmission Purchases - Non-Juris</t>
  </si>
  <si>
    <t xml:space="preserve">   Total Transmission Operation Expense</t>
  </si>
  <si>
    <t xml:space="preserve">   Total Transmission Maintenance Expense</t>
  </si>
  <si>
    <t xml:space="preserve">   Total Transmission O&amp;M Expense</t>
  </si>
  <si>
    <t xml:space="preserve">     593-Forestry Direct Assigned</t>
  </si>
  <si>
    <t xml:space="preserve">     928-Regulatory Commission Expense Allocated</t>
  </si>
  <si>
    <t xml:space="preserve">     9350015 - Software License Deferral</t>
  </si>
  <si>
    <t xml:space="preserve">     Total Power Production</t>
  </si>
  <si>
    <t xml:space="preserve">     Transmission Expense</t>
  </si>
  <si>
    <t xml:space="preserve">     Total A&amp;G Expense</t>
  </si>
  <si>
    <t xml:space="preserve">      Production</t>
  </si>
  <si>
    <t>Regulatory Debits</t>
  </si>
  <si>
    <t xml:space="preserve">    Reg Debits - 4073000</t>
  </si>
  <si>
    <t>Real and Personal Property Tax</t>
  </si>
  <si>
    <t>Accretion 4110005</t>
  </si>
  <si>
    <t>Acct 4300003</t>
  </si>
  <si>
    <t>431-Other Interest Expense</t>
  </si>
  <si>
    <t>Schedule M Adjustment  ---  Addback &lt;Deduct&gt;</t>
  </si>
  <si>
    <t>Normalization %</t>
  </si>
  <si>
    <t>State Income Tax Rate</t>
  </si>
  <si>
    <t>Federal Income Tax Rate</t>
  </si>
  <si>
    <t>ETR</t>
  </si>
  <si>
    <t>7326, 7327</t>
  </si>
  <si>
    <t>7329, 7332, 7333, 7334</t>
  </si>
  <si>
    <t>7032, 7575</t>
  </si>
  <si>
    <t>6017, 6018</t>
  </si>
  <si>
    <t>No Def Fuel</t>
  </si>
  <si>
    <t>No Timing Diff</t>
  </si>
  <si>
    <t>No Timing Dif</t>
  </si>
  <si>
    <t>DFIT</t>
  </si>
  <si>
    <t>CFIT</t>
  </si>
  <si>
    <t>SIT</t>
  </si>
  <si>
    <t>Trees Outside of Rights-of-Way (TOR) Program Capital Costs</t>
  </si>
  <si>
    <t>Trees Inside of Rights-of-Way (TIR) Program Capital Costs</t>
  </si>
  <si>
    <t>Month</t>
  </si>
  <si>
    <t>FERC Plant Account</t>
  </si>
  <si>
    <t>TREEREL18</t>
  </si>
  <si>
    <t>TREEREL19</t>
  </si>
  <si>
    <t>TREEREL20</t>
  </si>
  <si>
    <t>TREEREL21</t>
  </si>
  <si>
    <t>TREEREL23</t>
  </si>
  <si>
    <t>TREEREL24</t>
  </si>
  <si>
    <t>TREEREL25</t>
  </si>
  <si>
    <t>Monthly 
In-Service Amount</t>
  </si>
  <si>
    <t>Cumulative Plant Balance</t>
  </si>
  <si>
    <t>Depr Rate</t>
  </si>
  <si>
    <t>Depr Expense</t>
  </si>
  <si>
    <t>Accum Depr</t>
  </si>
  <si>
    <t>NBV</t>
  </si>
  <si>
    <t>W0030063</t>
  </si>
  <si>
    <t>KY5YCYCLE</t>
  </si>
  <si>
    <t>Account 36400</t>
  </si>
  <si>
    <t>Total FERC Plant Account 36400</t>
  </si>
  <si>
    <t>Account 36500</t>
  </si>
  <si>
    <t>Total FERC Plant Account 36500</t>
  </si>
  <si>
    <t>Total</t>
  </si>
  <si>
    <t>TOR + TIR</t>
  </si>
  <si>
    <t>Figure MR-5
CWIP Additions</t>
  </si>
  <si>
    <t>Plant in Service Additions</t>
  </si>
  <si>
    <t>May 2025 YTD</t>
  </si>
  <si>
    <t>Gross Plant in Service</t>
  </si>
  <si>
    <t>Accumulated Deferred Income Taxes (ADIT) - Plant in Service</t>
  </si>
  <si>
    <t>Rate Base as of May 25</t>
  </si>
  <si>
    <t>7-yr Avg. [2018-2024]</t>
  </si>
  <si>
    <t>Annual Amortization (30 Year Recovery Period)</t>
  </si>
  <si>
    <t>2018 - May 2025</t>
  </si>
  <si>
    <t>June-Dec 2025</t>
  </si>
  <si>
    <t>Feb 2026 YTD</t>
  </si>
  <si>
    <t>Rate Base as of Feb 26</t>
  </si>
  <si>
    <t>Cumulative Through Feb 2026</t>
  </si>
  <si>
    <t>Cumulative Through 5/31/25 (TYE)</t>
  </si>
  <si>
    <t>June 2025 - Feb 2026</t>
  </si>
  <si>
    <t xml:space="preserve">Dr. </t>
  </si>
  <si>
    <t>Cr.</t>
  </si>
  <si>
    <t>1.  March 2026 - Reclassify Capitalized TOR Costs to Regulatory Asset - Cumulative Through Feb 2026</t>
  </si>
  <si>
    <t>Plant in Service</t>
  </si>
  <si>
    <t>Distribution - Maintenance of Overhead Lines</t>
  </si>
  <si>
    <t>TOR Regulatory Asset</t>
  </si>
  <si>
    <t>TIR Regulatory Asset</t>
  </si>
  <si>
    <t>Account</t>
  </si>
  <si>
    <t>GLBU</t>
  </si>
  <si>
    <t>Dr.</t>
  </si>
  <si>
    <t>101-Plant in Service</t>
  </si>
  <si>
    <t>364 - Poles, towers and fixtures</t>
  </si>
  <si>
    <t>108-Accumulated Depreciation</t>
  </si>
  <si>
    <t>107-CWIP</t>
  </si>
  <si>
    <t>5930000-Distribution - Maintenance of Overhead Lines</t>
  </si>
  <si>
    <t>N/A</t>
  </si>
  <si>
    <t>1823116 - Deferred Dist Veg Mgt</t>
  </si>
  <si>
    <t>365 - Overhead conductors and devices</t>
  </si>
  <si>
    <t xml:space="preserve">Entry to reclassify capitalized TOR program (2018-Feb 2026) and TIR program (June 25-Feb 26) vegetation management costs from plant to deferred O&amp;M (regulatory asset) in accordance with KPSC Orders in Case No. 2025-00257 dated February 28, 2026 and April 9, 2026.  </t>
  </si>
  <si>
    <t>Total Regulatory Asset</t>
  </si>
  <si>
    <t>Approved for Recovery</t>
  </si>
  <si>
    <t>Order Dated Feb 28, 2026 (being recovered through current base rates with no return)</t>
  </si>
  <si>
    <t>Pending</t>
  </si>
  <si>
    <t>Feb 28, 2026 Order Excerpts:</t>
  </si>
  <si>
    <t>Apr 9, 2026 Order on Rehearing Excerpts:</t>
  </si>
  <si>
    <t>Work Order</t>
  </si>
  <si>
    <t>(All)</t>
  </si>
  <si>
    <t>Sum of Activity Cost</t>
  </si>
  <si>
    <t>Project</t>
  </si>
  <si>
    <t>Utility Account</t>
  </si>
  <si>
    <t>Month Number</t>
  </si>
  <si>
    <t>000009160</t>
  </si>
  <si>
    <t>36400 - Poles, Towers and Fixtures</t>
  </si>
  <si>
    <t>36400 - Poles, Towers and Fixtures Total</t>
  </si>
  <si>
    <t>36500 - Overhead Conductors, Device</t>
  </si>
  <si>
    <t>36500 - Overhead Conductors, Device Total</t>
  </si>
  <si>
    <t>Company</t>
  </si>
  <si>
    <t>Function</t>
  </si>
  <si>
    <t>Depr Group</t>
  </si>
  <si>
    <t>Activity Cost</t>
  </si>
  <si>
    <t>Kentucky Power - Distr</t>
  </si>
  <si>
    <t>Distribution Plant - Electric</t>
  </si>
  <si>
    <t>KEPCo 101/6 365 - KY Dist</t>
  </si>
  <si>
    <t>W0030487</t>
  </si>
  <si>
    <t>KEPCo 101/6 364 - KY Dist</t>
  </si>
  <si>
    <t>W0031602</t>
  </si>
  <si>
    <t>W0031664</t>
  </si>
  <si>
    <t>W0033036</t>
  </si>
  <si>
    <t>W0034024</t>
  </si>
  <si>
    <t>W0035082</t>
  </si>
  <si>
    <t>W0036569</t>
  </si>
  <si>
    <t>W0037374</t>
  </si>
  <si>
    <t>W0038101</t>
  </si>
  <si>
    <t>W0031603</t>
  </si>
  <si>
    <t>T10083487</t>
  </si>
  <si>
    <t>T10251137</t>
  </si>
  <si>
    <t>W0034671</t>
  </si>
  <si>
    <t>(Multiple Items)</t>
  </si>
  <si>
    <t>Through May 2025</t>
  </si>
  <si>
    <t>Row Labels</t>
  </si>
  <si>
    <t>TOR (Inadvertantly excluded from KPSC 4_5)</t>
  </si>
  <si>
    <t>TIR (Inadvertantly excluded from KPSC 4_5)</t>
  </si>
  <si>
    <t>Through Feb 2026</t>
  </si>
  <si>
    <t>Unit</t>
  </si>
  <si>
    <t>Period</t>
  </si>
  <si>
    <t>Year</t>
  </si>
  <si>
    <t>State/Jurisdict</t>
  </si>
  <si>
    <t>Dept</t>
  </si>
  <si>
    <t>Sum Amount</t>
  </si>
  <si>
    <t>Product</t>
  </si>
  <si>
    <t>Affiliate</t>
  </si>
  <si>
    <t>PC Bus Unit</t>
  </si>
  <si>
    <t>W/O</t>
  </si>
  <si>
    <t>Cost Comp</t>
  </si>
  <si>
    <t>ABM Act</t>
  </si>
  <si>
    <t>Subcategory</t>
  </si>
  <si>
    <t>Journal ID</t>
  </si>
  <si>
    <t>Status</t>
  </si>
  <si>
    <t>DateTime</t>
  </si>
  <si>
    <t>Date</t>
  </si>
  <si>
    <t>Source</t>
  </si>
  <si>
    <t>User</t>
  </si>
  <si>
    <t>Ref</t>
  </si>
  <si>
    <t>Ref No</t>
  </si>
  <si>
    <t>Line Descr</t>
  </si>
  <si>
    <t>110</t>
  </si>
  <si>
    <t>1070001</t>
  </si>
  <si>
    <t>12681</t>
  </si>
  <si>
    <t>DISTR</t>
  </si>
  <si>
    <t>W003810101</t>
  </si>
  <si>
    <t>11E</t>
  </si>
  <si>
    <t>230</t>
  </si>
  <si>
    <t>PAY4089410</t>
  </si>
  <si>
    <t>P</t>
  </si>
  <si>
    <t>2025-01-22-12.44.04.293179</t>
  </si>
  <si>
    <t>2025-01-24</t>
  </si>
  <si>
    <t>TLB</t>
  </si>
  <si>
    <t>GLBATCH</t>
  </si>
  <si>
    <t>Time and Labor-BalancedActuals</t>
  </si>
  <si>
    <t>154</t>
  </si>
  <si>
    <t>OVH4090427</t>
  </si>
  <si>
    <t>2025-01-24-10.56.41.443080</t>
  </si>
  <si>
    <t>OVH</t>
  </si>
  <si>
    <t>Labor Overheads</t>
  </si>
  <si>
    <t>153</t>
  </si>
  <si>
    <t>141</t>
  </si>
  <si>
    <t>125</t>
  </si>
  <si>
    <t>122</t>
  </si>
  <si>
    <t>120</t>
  </si>
  <si>
    <t>S052</t>
  </si>
  <si>
    <t>738</t>
  </si>
  <si>
    <t>FLEET93341</t>
  </si>
  <si>
    <t>2025-01-31-08.51.33.885814</t>
  </si>
  <si>
    <t>2025-01-31</t>
  </si>
  <si>
    <t>MSA</t>
  </si>
  <si>
    <t>Fleet Vehicle Allocations</t>
  </si>
  <si>
    <t>935</t>
  </si>
  <si>
    <t>CELPGR4163</t>
  </si>
  <si>
    <t>2025-02-03-07.48.27.637191</t>
  </si>
  <si>
    <t>CPA</t>
  </si>
  <si>
    <t>Alloc cell phone &amp; pager exp</t>
  </si>
  <si>
    <t>9AA</t>
  </si>
  <si>
    <t>UVLACC4262</t>
  </si>
  <si>
    <t>2025-02-03-08.55.53.953893</t>
  </si>
  <si>
    <t>UVL</t>
  </si>
  <si>
    <t>S209184</t>
  </si>
  <si>
    <t>WRIGHT TREE SVC</t>
  </si>
  <si>
    <t>DAVEY TREE EXPERT COMPANY</t>
  </si>
  <si>
    <t>12396</t>
  </si>
  <si>
    <t>Nelson Tree</t>
  </si>
  <si>
    <t>Wright Tree Service, Inc</t>
  </si>
  <si>
    <t>ASPLUNDH TREE EXPERT LLC</t>
  </si>
  <si>
    <t>Davey Resource Group</t>
  </si>
  <si>
    <t>413</t>
  </si>
  <si>
    <t>FLTCLR4493</t>
  </si>
  <si>
    <t>2025-02-03-10.23.09.369489</t>
  </si>
  <si>
    <t>FLT</t>
  </si>
  <si>
    <t>Clear misc chgs in Fleet accts</t>
  </si>
  <si>
    <t>9AB</t>
  </si>
  <si>
    <t>UVLREV4337</t>
  </si>
  <si>
    <t>2025-02-01</t>
  </si>
  <si>
    <t>PAY4100494</t>
  </si>
  <si>
    <t>2025-02-10-13.11.58.554812</t>
  </si>
  <si>
    <t>2025-02-07</t>
  </si>
  <si>
    <t>13557</t>
  </si>
  <si>
    <t>OVH4101339</t>
  </si>
  <si>
    <t>2025-02-11-09.25.14.119130</t>
  </si>
  <si>
    <t>210</t>
  </si>
  <si>
    <t>APACC02079</t>
  </si>
  <si>
    <t>2025-02-12-21.30.44.512625</t>
  </si>
  <si>
    <t>2025-02-12</t>
  </si>
  <si>
    <t>AP</t>
  </si>
  <si>
    <t>Accounts Payable Accrual</t>
  </si>
  <si>
    <t>MAX4102302</t>
  </si>
  <si>
    <t>2025-02-13-00.28.02.628108</t>
  </si>
  <si>
    <t>MAX</t>
  </si>
  <si>
    <t>Maximo Work Management</t>
  </si>
  <si>
    <t>APACC02573</t>
  </si>
  <si>
    <t>2025-02-13-21.36.28.418101</t>
  </si>
  <si>
    <t>2025-02-13</t>
  </si>
  <si>
    <t>MAX4102795</t>
  </si>
  <si>
    <t>2025-02-14-01.07.44.755563</t>
  </si>
  <si>
    <t>APACC03017</t>
  </si>
  <si>
    <t>2025-02-14-21.16.58.036293</t>
  </si>
  <si>
    <t>2025-02-14</t>
  </si>
  <si>
    <t>MAX4103246</t>
  </si>
  <si>
    <t>2025-02-15-02.32.11.713700</t>
  </si>
  <si>
    <t>13555</t>
  </si>
  <si>
    <t>PAY4104707</t>
  </si>
  <si>
    <t>2025-02-20-11.34.01.547464</t>
  </si>
  <si>
    <t>2025-02-21</t>
  </si>
  <si>
    <t>APACC04830</t>
  </si>
  <si>
    <t>2025-02-20-21.13.14.227122</t>
  </si>
  <si>
    <t>2025-02-20</t>
  </si>
  <si>
    <t>MAX4105070</t>
  </si>
  <si>
    <t>2025-02-21-00.41.28.783248</t>
  </si>
  <si>
    <t>APACC05325</t>
  </si>
  <si>
    <t>2025-02-21-21.09.50.558067</t>
  </si>
  <si>
    <t>OVH4106079</t>
  </si>
  <si>
    <t>2025-02-24-09.41.22.093595</t>
  </si>
  <si>
    <t>APACC07428</t>
  </si>
  <si>
    <t>2025-02-26-21.30.19.190075</t>
  </si>
  <si>
    <t>2025-02-26</t>
  </si>
  <si>
    <t>MAX4107826</t>
  </si>
  <si>
    <t>2025-02-27-10.28.41.974678</t>
  </si>
  <si>
    <t>FLEET08567</t>
  </si>
  <si>
    <t>2025-02-28-09.20.34.704016</t>
  </si>
  <si>
    <t>2025-02-28</t>
  </si>
  <si>
    <t>CELPGR9341</t>
  </si>
  <si>
    <t>2025-03-03-07.57.08.849431</t>
  </si>
  <si>
    <t>UVLACC9396</t>
  </si>
  <si>
    <t>2025-03-03-08.57.09.235022</t>
  </si>
  <si>
    <t>FLTCLR9661</t>
  </si>
  <si>
    <t>2025-03-03-09.59.58.720663</t>
  </si>
  <si>
    <t>UVLREV9468</t>
  </si>
  <si>
    <t>2025-03-01</t>
  </si>
  <si>
    <t>PAY4113581</t>
  </si>
  <si>
    <t>2025-03-06-15.35.43.000008</t>
  </si>
  <si>
    <t>2025-03-07</t>
  </si>
  <si>
    <t>13556</t>
  </si>
  <si>
    <t>APACC14755</t>
  </si>
  <si>
    <t>2025-03-07-21.38.12.941105</t>
  </si>
  <si>
    <t>MAX4114985</t>
  </si>
  <si>
    <t>2025-03-08-01.02.40.484395</t>
  </si>
  <si>
    <t>APACC15296</t>
  </si>
  <si>
    <t>2025-03-10-21.16.44.380297</t>
  </si>
  <si>
    <t>2025-03-10</t>
  </si>
  <si>
    <t>MAX4115518</t>
  </si>
  <si>
    <t>2025-03-11-00.28.20.824027</t>
  </si>
  <si>
    <t>OVH4116230</t>
  </si>
  <si>
    <t>2025-03-11-14.30.36.001930</t>
  </si>
  <si>
    <t>APACC19878</t>
  </si>
  <si>
    <t>2025-03-20-21.32.24.931119</t>
  </si>
  <si>
    <t>2025-03-20</t>
  </si>
  <si>
    <t>MAX4120110</t>
  </si>
  <si>
    <t>2025-03-21-01.12.51.980516</t>
  </si>
  <si>
    <t>PAY4120456</t>
  </si>
  <si>
    <t>2025-03-21-16.06.07.569980</t>
  </si>
  <si>
    <t>2025-03-21</t>
  </si>
  <si>
    <t>APACC20495</t>
  </si>
  <si>
    <t>2025-03-21-21.31.40.585606</t>
  </si>
  <si>
    <t>MAX4120772</t>
  </si>
  <si>
    <t>2025-03-22-01.34.54.124943</t>
  </si>
  <si>
    <t>OVH4121102</t>
  </si>
  <si>
    <t>2025-03-24-17.48.13.286819</t>
  </si>
  <si>
    <t>APACC22407</t>
  </si>
  <si>
    <t>2025-03-26-21.39.49.421010</t>
  </si>
  <si>
    <t>2025-03-26</t>
  </si>
  <si>
    <t>MAX4122635</t>
  </si>
  <si>
    <t>2025-03-27-01.37.16.784329</t>
  </si>
  <si>
    <t>FLEET24162</t>
  </si>
  <si>
    <t>2025-03-31-08.47.52.027259</t>
  </si>
  <si>
    <t>2025-03-31</t>
  </si>
  <si>
    <t>CELPGR4975</t>
  </si>
  <si>
    <t>2025-04-01-08.47.31.391085</t>
  </si>
  <si>
    <t>UVLACC5105</t>
  </si>
  <si>
    <t>2025-04-01-10.11.19.130501</t>
  </si>
  <si>
    <t>Asplundh Tree Expert Co.</t>
  </si>
  <si>
    <t>ArborMetrics Solutions</t>
  </si>
  <si>
    <t>FLTCLR5328</t>
  </si>
  <si>
    <t>2025-04-01-10.53.25.248785</t>
  </si>
  <si>
    <t>UVLACC6016</t>
  </si>
  <si>
    <t>2025-04-01-16.23.07.612084</t>
  </si>
  <si>
    <t>UVLREV5154</t>
  </si>
  <si>
    <t>2025-04-01</t>
  </si>
  <si>
    <t>UVLREV6067</t>
  </si>
  <si>
    <t>APACC32985</t>
  </si>
  <si>
    <t>2025-04-11-21.36.39.207147</t>
  </si>
  <si>
    <t>2025-04-11</t>
  </si>
  <si>
    <t>MAX4133214</t>
  </si>
  <si>
    <t>2025-04-12-00.50.53.404416</t>
  </si>
  <si>
    <t>PAY4133555</t>
  </si>
  <si>
    <t>2025-04-14-12.31.41.688292</t>
  </si>
  <si>
    <t>2025-04-04</t>
  </si>
  <si>
    <t>APACC33729</t>
  </si>
  <si>
    <t>2025-04-14-22.20.42.241926</t>
  </si>
  <si>
    <t>2025-04-14</t>
  </si>
  <si>
    <t>MAX4133832</t>
  </si>
  <si>
    <t>2025-04-15-01.00.14.316796</t>
  </si>
  <si>
    <t>OVH4134128</t>
  </si>
  <si>
    <t>2025-04-15-16.12.41.086581</t>
  </si>
  <si>
    <t>APACC34827</t>
  </si>
  <si>
    <t>2025-04-16-22.11.54.688365</t>
  </si>
  <si>
    <t>2025-04-16</t>
  </si>
  <si>
    <t>MAX4134944</t>
  </si>
  <si>
    <t>2025-04-17-01.02.52.359993</t>
  </si>
  <si>
    <t>APACC35305</t>
  </si>
  <si>
    <t>2025-04-17-22.55.07.887191</t>
  </si>
  <si>
    <t>2025-04-17</t>
  </si>
  <si>
    <t>MAX4135437</t>
  </si>
  <si>
    <t>2025-04-18-01.04.58.879138</t>
  </si>
  <si>
    <t>APACC36502</t>
  </si>
  <si>
    <t>2025-04-22-21.37.19.450101</t>
  </si>
  <si>
    <t>2025-04-22</t>
  </si>
  <si>
    <t>MAX4136736</t>
  </si>
  <si>
    <t>2025-04-23-01.04.42.922929</t>
  </si>
  <si>
    <t>PAY4137044</t>
  </si>
  <si>
    <t>2025-04-23-13.35.23.526635</t>
  </si>
  <si>
    <t>2025-04-18</t>
  </si>
  <si>
    <t>APACC37324</t>
  </si>
  <si>
    <t>2025-04-23-23.51.16.666896</t>
  </si>
  <si>
    <t>2025-04-23</t>
  </si>
  <si>
    <t>MAX4137441</t>
  </si>
  <si>
    <t>2025-04-24-02.37.01.079749</t>
  </si>
  <si>
    <t>APACC37869</t>
  </si>
  <si>
    <t>2025-04-24-22.23.34.878761</t>
  </si>
  <si>
    <t>2025-04-24</t>
  </si>
  <si>
    <t>MAX4137990</t>
  </si>
  <si>
    <t>2025-04-25-01.24.22.480111</t>
  </si>
  <si>
    <t>OVH4138230</t>
  </si>
  <si>
    <t>2025-04-25-10.02.58.623168</t>
  </si>
  <si>
    <t>APACC39774</t>
  </si>
  <si>
    <t>2025-04-29-22.49.04.794453</t>
  </si>
  <si>
    <t>2025-04-29</t>
  </si>
  <si>
    <t>MAX4139876</t>
  </si>
  <si>
    <t>2025-04-30-00.54.26.480650</t>
  </si>
  <si>
    <t>FLEET40162</t>
  </si>
  <si>
    <t>2025-04-30-08.54.33.238591</t>
  </si>
  <si>
    <t>2025-04-30</t>
  </si>
  <si>
    <t>CELPGR0938</t>
  </si>
  <si>
    <t>2025-05-01-08.34.39.090341</t>
  </si>
  <si>
    <t>UVLACC1054</t>
  </si>
  <si>
    <t>2025-05-01-10.00.05.454274</t>
  </si>
  <si>
    <t>ARBORMETRICS SOLUTIONS INC</t>
  </si>
  <si>
    <t>FLTCLR1207</t>
  </si>
  <si>
    <t>2025-05-01-10.37.11.028850</t>
  </si>
  <si>
    <t>UVLREV1132</t>
  </si>
  <si>
    <t>2025-05-01</t>
  </si>
  <si>
    <t>APACC43346</t>
  </si>
  <si>
    <t>2025-05-02-23.02.26.334236</t>
  </si>
  <si>
    <t>2025-05-02</t>
  </si>
  <si>
    <t>MAX4143455</t>
  </si>
  <si>
    <t>2025-05-03-00.58.27.711577</t>
  </si>
  <si>
    <t>PAY4144286</t>
  </si>
  <si>
    <t>2025-05-05-15.54.44.149105</t>
  </si>
  <si>
    <t>OVH4146782</t>
  </si>
  <si>
    <t>2025-05-08-09.28.12.074764</t>
  </si>
  <si>
    <t>APACC47293</t>
  </si>
  <si>
    <t>2025-05-08-22.36.08.043998</t>
  </si>
  <si>
    <t>2025-05-08</t>
  </si>
  <si>
    <t>MAX4147400</t>
  </si>
  <si>
    <t>2025-05-09-00.47.50.311239</t>
  </si>
  <si>
    <t>APACC47952</t>
  </si>
  <si>
    <t>2025-05-09-22.10.54.778511</t>
  </si>
  <si>
    <t>2025-05-09</t>
  </si>
  <si>
    <t>MAX4148060</t>
  </si>
  <si>
    <t>2025-05-10-00.49.41.494848</t>
  </si>
  <si>
    <t>PAY4149917</t>
  </si>
  <si>
    <t>2025-05-15-11.31.09.307669</t>
  </si>
  <si>
    <t>2025-05-16</t>
  </si>
  <si>
    <t>APACC50017</t>
  </si>
  <si>
    <t>2025-05-15-21.54.38.065366</t>
  </si>
  <si>
    <t>2025-05-15</t>
  </si>
  <si>
    <t>MAX4150213</t>
  </si>
  <si>
    <t>2025-05-16-01.18.08.087696</t>
  </si>
  <si>
    <t>OVH4150516</t>
  </si>
  <si>
    <t>2025-05-16-13.45.40.022876</t>
  </si>
  <si>
    <t>PAY4154494</t>
  </si>
  <si>
    <t>2025-05-28-09.37.56.607100</t>
  </si>
  <si>
    <t>2025-05-30</t>
  </si>
  <si>
    <t>OVH4154575</t>
  </si>
  <si>
    <t>2025-05-28-15.04.51.465425</t>
  </si>
  <si>
    <t>APACC54866</t>
  </si>
  <si>
    <t>2025-05-28-23.54.15.441647</t>
  </si>
  <si>
    <t>2025-05-28</t>
  </si>
  <si>
    <t>MAX4154975</t>
  </si>
  <si>
    <t>2025-05-29-00.57.49.400832</t>
  </si>
  <si>
    <t>APACC55495</t>
  </si>
  <si>
    <t>2025-05-29-22.20.18.442282</t>
  </si>
  <si>
    <t>2025-05-29</t>
  </si>
  <si>
    <t>FLEET55836</t>
  </si>
  <si>
    <t>2025-05-30-08.47.46.344544</t>
  </si>
  <si>
    <t>2025-05-31</t>
  </si>
  <si>
    <t>CELPGR6778</t>
  </si>
  <si>
    <t>2025-06-02-08.33.54.740969</t>
  </si>
  <si>
    <t>UVLACC6785</t>
  </si>
  <si>
    <t>2025-06-02-08.34.01.336199</t>
  </si>
  <si>
    <t>FLTCLR7060</t>
  </si>
  <si>
    <t>2025-06-02-10.35.17.298576</t>
  </si>
  <si>
    <t>UVLACC7836</t>
  </si>
  <si>
    <t>2025-06-02-14.48.41.452771</t>
  </si>
  <si>
    <t>TREEREL26</t>
  </si>
  <si>
    <t>W003924001</t>
  </si>
  <si>
    <t>MAX4277950</t>
  </si>
  <si>
    <t>2026-01-23-01.08.32.839836</t>
  </si>
  <si>
    <t>2026-01-22</t>
  </si>
  <si>
    <t>PAY4278178</t>
  </si>
  <si>
    <t>2026-01-23-08.36.41.425132</t>
  </si>
  <si>
    <t>2026-01-23</t>
  </si>
  <si>
    <t>OVH4278281</t>
  </si>
  <si>
    <t>2026-01-23-12.01.39.024832</t>
  </si>
  <si>
    <t>APACC78620</t>
  </si>
  <si>
    <t>2026-01-23-22.39.56.628346</t>
  </si>
  <si>
    <t>APACC79299</t>
  </si>
  <si>
    <t>2026-01-26-22.03.55.445618</t>
  </si>
  <si>
    <t>2026-01-26</t>
  </si>
  <si>
    <t>MAX4279415</t>
  </si>
  <si>
    <t>2026-01-27-00.26.56.816349</t>
  </si>
  <si>
    <t>FLEET81316</t>
  </si>
  <si>
    <t>2026-01-30-08.07.22.590277</t>
  </si>
  <si>
    <t>2026-01-31</t>
  </si>
  <si>
    <t>UVLACC2077</t>
  </si>
  <si>
    <t>2026-02-02-06.10.04.025735</t>
  </si>
  <si>
    <t>ASPLUNDH TREE EXPERT LLCWILLOW</t>
  </si>
  <si>
    <t>DAVEY RESOURCE GROUP KENT, OH</t>
  </si>
  <si>
    <t>CELPGR2341</t>
  </si>
  <si>
    <t>2026-02-02-07.49.18.189999</t>
  </si>
  <si>
    <t>936</t>
  </si>
  <si>
    <t>PPE4282455</t>
  </si>
  <si>
    <t>2026-02-02-09.03.29.792836</t>
  </si>
  <si>
    <t>OTH</t>
  </si>
  <si>
    <t>Allocate PPE/Safety Equip</t>
  </si>
  <si>
    <t>FLTCLR2485</t>
  </si>
  <si>
    <t>2026-02-02-10.40.29.299858</t>
  </si>
  <si>
    <t>UVLACC3271</t>
  </si>
  <si>
    <t>2026-02-02-14.38.54.372182</t>
  </si>
  <si>
    <t>S293278</t>
  </si>
  <si>
    <t>UVLREV2151</t>
  </si>
  <si>
    <t>2026-02-01</t>
  </si>
  <si>
    <t>UVLREV3324</t>
  </si>
  <si>
    <t>APACC84047</t>
  </si>
  <si>
    <t>2026-02-02-21.42.00.366785</t>
  </si>
  <si>
    <t>2026-02-02</t>
  </si>
  <si>
    <t>MAX4284162</t>
  </si>
  <si>
    <t>2026-02-03-00.37.25.455966</t>
  </si>
  <si>
    <t>PAY4286394</t>
  </si>
  <si>
    <t>2026-02-05-09.18.18.404514</t>
  </si>
  <si>
    <t>2026-02-06</t>
  </si>
  <si>
    <t>APACC86719</t>
  </si>
  <si>
    <t>2026-02-05-21.49.56.155856</t>
  </si>
  <si>
    <t>2026-02-05</t>
  </si>
  <si>
    <t>MAX4286836</t>
  </si>
  <si>
    <t>2026-02-06-01.17.11.579292</t>
  </si>
  <si>
    <t>OVH4287286</t>
  </si>
  <si>
    <t>2026-02-06-12.14.23.912482</t>
  </si>
  <si>
    <t>MAX4288427</t>
  </si>
  <si>
    <t>2026-02-10-00.36.20.153763</t>
  </si>
  <si>
    <t>2026-02-09</t>
  </si>
  <si>
    <t>APACC88502</t>
  </si>
  <si>
    <t>2026-02-10-03.54.02.697143</t>
  </si>
  <si>
    <t>MAX4291679</t>
  </si>
  <si>
    <t>2026-02-17-00.26.31.225012</t>
  </si>
  <si>
    <t>2026-02-16</t>
  </si>
  <si>
    <t>APACC91722</t>
  </si>
  <si>
    <t>2026-02-17-00.47.36.290555</t>
  </si>
  <si>
    <t>PAY4293036</t>
  </si>
  <si>
    <t>2026-02-19-08.59.00.830376</t>
  </si>
  <si>
    <t>2026-02-20</t>
  </si>
  <si>
    <t>OVH4293147</t>
  </si>
  <si>
    <t>2026-02-19-13.44.03.735017</t>
  </si>
  <si>
    <t>APACC93428</t>
  </si>
  <si>
    <t>2026-02-19-23.12.04.517295</t>
  </si>
  <si>
    <t>2026-02-19</t>
  </si>
  <si>
    <t>MAX4293547</t>
  </si>
  <si>
    <t>2026-02-20-03.49.30.444609</t>
  </si>
  <si>
    <t>APACC95733</t>
  </si>
  <si>
    <t>2026-02-25-22.15.34.864059</t>
  </si>
  <si>
    <t>2026-02-25</t>
  </si>
  <si>
    <t>MAX4295854</t>
  </si>
  <si>
    <t>2026-02-26-01.07.46.110471</t>
  </si>
  <si>
    <t>FLEET96679</t>
  </si>
  <si>
    <t>2026-02-27-07.58.47.030655</t>
  </si>
  <si>
    <t>2026-02-28</t>
  </si>
  <si>
    <t>UVLACC7332</t>
  </si>
  <si>
    <t>2026-03-02-05.20.29.293347</t>
  </si>
  <si>
    <t>ARBORMETRICS SOLUTIONS INC HEN</t>
  </si>
  <si>
    <t>CELPGR7623</t>
  </si>
  <si>
    <t>2026-03-02-07.38.27.433651</t>
  </si>
  <si>
    <t>FLTCLR7754</t>
  </si>
  <si>
    <t>2026-03-02-10.05.25.585622</t>
  </si>
  <si>
    <t>COST OF CAPITAL</t>
  </si>
  <si>
    <t>LINE NO.</t>
  </si>
  <si>
    <t>Component</t>
  </si>
  <si>
    <t>Balances</t>
  </si>
  <si>
    <t>Cap.                                Structure</t>
  </si>
  <si>
    <t>Cost                                                Rates</t>
  </si>
  <si>
    <t>WACC                                              (Net of Tax)</t>
  </si>
  <si>
    <t>GRCF</t>
  </si>
  <si>
    <t>WACC       (PRE-TAX)</t>
  </si>
  <si>
    <t>L/T DEBT</t>
  </si>
  <si>
    <t>S/T DEBT</t>
  </si>
  <si>
    <t>C EQUITY</t>
  </si>
  <si>
    <t>*</t>
  </si>
  <si>
    <t>TOTAL</t>
  </si>
  <si>
    <t>Debt</t>
  </si>
  <si>
    <t>Equity</t>
  </si>
  <si>
    <t>Operating Revenues</t>
  </si>
  <si>
    <t>Less Uncollectible Accounts Expense</t>
  </si>
  <si>
    <t>KPSC Maintenance Assessment Fee</t>
  </si>
  <si>
    <t>Income Before Income Taxes</t>
  </si>
  <si>
    <t>Less State Income Taxes (Ln 4 x 5.0097)</t>
  </si>
  <si>
    <t>Taxable Income for Federal Income Taxes</t>
  </si>
  <si>
    <t>Less Federal Income Taxes (Ln 11*21%)</t>
  </si>
  <si>
    <t>Operating  Income Percentage</t>
  </si>
  <si>
    <t>Gross Up Factor  (100.00/Ln 9)</t>
  </si>
  <si>
    <t>Calculation of Accumulated Deferred Income Taxes</t>
  </si>
  <si>
    <t>ADIT Calc - TOR</t>
  </si>
  <si>
    <t>YYYY</t>
  </si>
  <si>
    <t>MM</t>
  </si>
  <si>
    <t>01</t>
  </si>
  <si>
    <t>Jan</t>
  </si>
  <si>
    <t>02</t>
  </si>
  <si>
    <t>Booking month</t>
  </si>
  <si>
    <t>Feb</t>
  </si>
  <si>
    <t>03</t>
  </si>
  <si>
    <t>Mar</t>
  </si>
  <si>
    <t>04</t>
  </si>
  <si>
    <t>Apr</t>
  </si>
  <si>
    <t>DATE</t>
  </si>
  <si>
    <t>ADIT (Libilities)/Assets</t>
  </si>
  <si>
    <t>05</t>
  </si>
  <si>
    <t>May</t>
  </si>
  <si>
    <t>06</t>
  </si>
  <si>
    <t>Jun</t>
  </si>
  <si>
    <t>07</t>
  </si>
  <si>
    <t>Jul</t>
  </si>
  <si>
    <t>08</t>
  </si>
  <si>
    <t>Aug</t>
  </si>
  <si>
    <t>ADIT Calc - TIR</t>
  </si>
  <si>
    <t>09</t>
  </si>
  <si>
    <t>Sep</t>
  </si>
  <si>
    <t>10</t>
  </si>
  <si>
    <t>Oct</t>
  </si>
  <si>
    <t>11</t>
  </si>
  <si>
    <t>Nov</t>
  </si>
  <si>
    <t>12</t>
  </si>
  <si>
    <t>Dec</t>
  </si>
  <si>
    <t xml:space="preserve">Kentucky Power Company </t>
  </si>
  <si>
    <t>Performance Based Accreditation Monthly Over/Under</t>
  </si>
  <si>
    <t>Quarter</t>
  </si>
  <si>
    <t>YYYYMM</t>
  </si>
  <si>
    <t>Item</t>
  </si>
  <si>
    <t>Asset Description</t>
  </si>
  <si>
    <t>Dep Rate</t>
  </si>
  <si>
    <t>Assets 1</t>
  </si>
  <si>
    <t>FERC Plant Account 36400</t>
  </si>
  <si>
    <t>HY 20</t>
  </si>
  <si>
    <t>Assets 2</t>
  </si>
  <si>
    <t>FERC Plant Account 36500</t>
  </si>
  <si>
    <t>Subtotal gross plant</t>
  </si>
  <si>
    <t>Total Gross Plant</t>
  </si>
  <si>
    <t>Book Depreciation</t>
  </si>
  <si>
    <t>Subtotal Book Depreciation Expense</t>
  </si>
  <si>
    <t>Total Book Accumulated Depreciation Expense</t>
  </si>
  <si>
    <t>Tax Depreciation</t>
  </si>
  <si>
    <t>Tax Life</t>
  </si>
  <si>
    <t>MACRS HY 20</t>
  </si>
  <si>
    <t>Subtotal Tax Depreciation Expense</t>
  </si>
  <si>
    <t>Removal Depreciation Costs</t>
  </si>
  <si>
    <t>Total Tax Accumulated Depreciation Expense</t>
  </si>
  <si>
    <t>Book Accu</t>
  </si>
  <si>
    <t>Tax Accu</t>
  </si>
  <si>
    <t>YTD ADIT (Liability)/Assets</t>
  </si>
  <si>
    <t>ADIT</t>
  </si>
  <si>
    <t>Check</t>
  </si>
  <si>
    <t>NTV</t>
  </si>
  <si>
    <t>Rate Base (Gross Plant- Accu Dep - ADIT)</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</si>
  <si>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</si>
  <si>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</si>
  <si>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</si>
  <si>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</si>
  <si>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</si>
  <si>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</si>
  <si>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</si>
  <si>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</si>
  <si>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</si>
  <si>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</si>
  <si>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</si>
  <si>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</si>
  <si>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</si>
  <si>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</si>
  <si>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</si>
  <si>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</si>
  <si>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</si>
  <si>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</si>
  <si>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</si>
  <si>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</si>
  <si>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</si>
  <si>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Depreciation Table HY</t>
  </si>
  <si>
    <t>MACRS HY 5</t>
  </si>
  <si>
    <t>MACRS HY 7</t>
  </si>
  <si>
    <t>MACRS HY 10</t>
  </si>
  <si>
    <t>MACRS HY 15</t>
  </si>
  <si>
    <t>5-year SL</t>
  </si>
  <si>
    <t>MQ</t>
  </si>
  <si>
    <t>20-year Q1</t>
  </si>
  <si>
    <t>20-year Q2</t>
  </si>
  <si>
    <t>20-year Q3</t>
  </si>
  <si>
    <t>20-year Q4</t>
  </si>
  <si>
    <t>5-year Q1</t>
  </si>
  <si>
    <t>5-year Q2</t>
  </si>
  <si>
    <t>5-year Q3</t>
  </si>
  <si>
    <t>5-year Q4</t>
  </si>
  <si>
    <t>3-year</t>
  </si>
  <si>
    <t>5-year</t>
  </si>
  <si>
    <t>7-year</t>
  </si>
  <si>
    <t>10-year</t>
  </si>
  <si>
    <t>15-year</t>
  </si>
  <si>
    <t>20-year</t>
  </si>
  <si>
    <t xml:space="preserve">From </t>
  </si>
  <si>
    <t>Half Year</t>
  </si>
  <si>
    <t>MQ Convention</t>
  </si>
  <si>
    <t>7-year Q1</t>
  </si>
  <si>
    <t>7-year Q2</t>
  </si>
  <si>
    <t>7-year Q3</t>
  </si>
  <si>
    <t>7-year Q4</t>
  </si>
  <si>
    <t>10-year Q1</t>
  </si>
  <si>
    <t>10-year Q2</t>
  </si>
  <si>
    <t>10-year Q3</t>
  </si>
  <si>
    <t>10-year Q4</t>
  </si>
  <si>
    <t>15-year Q1</t>
  </si>
  <si>
    <t>15-year Q2</t>
  </si>
  <si>
    <t>15-year Q3</t>
  </si>
  <si>
    <t>15-year Q4</t>
  </si>
  <si>
    <t>2.  March 2026 &amp; April 2026 Adjustment - Reclassify Capitalized TIR Costs to Regulatory Asset - June 2025 - Feb 2026.  Balances through May 2025 are being recovered through current base rates as plant.</t>
  </si>
  <si>
    <t>Order Granting Rehearing Dated April 9, 2026.  Composed of $15.9M TOR costs Jun 25-Feb 26, $1.2M TIR costs Jun 25-Feb 26, and $1.3M correction to TOR Net Plant as of May 25 TYE cited in Order dated February 28, 2026.</t>
  </si>
  <si>
    <t>Journal Entry Detail by FERC Account</t>
  </si>
  <si>
    <t>TOR Regulatory Asset Through 5/31/2025 TYE</t>
  </si>
  <si>
    <t>Less ADIT</t>
  </si>
  <si>
    <t>Pre-Tax WACC (approved in 2025-00257)</t>
  </si>
  <si>
    <t>Annual Revenue Requirement for Assets Through 5/31/25</t>
  </si>
  <si>
    <t>TOR Regulatory Asset Through 2/28/2026</t>
  </si>
  <si>
    <t>Annual Revenue Requirement for Assets Through 2/28/26</t>
  </si>
  <si>
    <t>Response to 1-9c.</t>
  </si>
  <si>
    <t>Additional Annual Revenue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</si>
</sst>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0.000_);\(#,##0.000\)"/>
    <numFmt numFmtId="166" formatCode="#0.000;&quot;-&quot;#0.000;#0.000;_(@_)"/>
    <numFmt numFmtId="167" formatCode="#0;&quot;-&quot;#0;#0;_(@_)"/>
    <numFmt numFmtId="168" formatCode="* #,##0;* \(#,##0\);* &quot;—&quot;;_(@_)"/>
    <numFmt numFmtId="169" formatCode="0_);\(0\)"/>
    <numFmt numFmtId="170" formatCode="&quot;$&quot;#,##0"/>
    <numFmt numFmtId="171" formatCode="_(&quot;$&quot;* #,##0_);_(&quot;$&quot;* \(#,##0\);_(&quot;$&quot;* &quot;-&quot;??_);_(@_)"/>
    <numFmt numFmtId="172" formatCode="0.000%"/>
    <numFmt numFmtId="173" formatCode="0.0000%"/>
    <numFmt numFmtId="174" formatCode="0.00000%"/>
    <numFmt numFmtId="175" formatCode="_(* #,##0.00000000_);_(* \(#,##0.00000000\);_(* &quot;-&quot;??_);_(@_)"/>
    <numFmt numFmtId="176" formatCode="0.000000"/>
    <numFmt numFmtId="177" formatCode="_(* #,##0.0000_);_(* \(#,##0.0000\);_(* &quot;-&quot;??_);_(@_)"/>
    <numFmt numFmtId="178" formatCode="0.0000"/>
    <numFmt numFmtId="179" formatCode="_(* #,##0.000000_);_(* \(#,##0.000000\);_(* &quot;-&quot;??_);_(@_)"/>
    <numFmt numFmtId="180" formatCode="[$-409]mmm\-yy;@"/>
    <numFmt numFmtId="181" formatCode="_(* #,##0.000_);_(* \(#,##0.000\);_(* &quot;-&quot;??_);_(@_)"/>
    <numFmt numFmtId="182" formatCode="0.0%"/>
    <numFmt numFmtId="183" formatCode="#,##0.0000_);\(#,##0.0000\)"/>
    <numFmt numFmtId="184" formatCode="#,##0.000"/>
    <numFmt numFmtId="185" formatCode="#,##0.000000"/>
    <numFmt numFmtId="186" formatCode="#,##0.0000000"/>
    <numFmt numFmtId="187" formatCode="#,##0.00000"/>
  </numFmts>
  <fonts count="45">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sz val="10"/>
      <name val="Tahoma"/>
      <family val="2"/>
    </font>
    <font>
      <sz val="10"/>
      <name val="Arial"/>
      <family val="2"/>
    </font>
    <font>
      <sz val="10"/>
      <name val="Times New Roman"/>
      <family val="1"/>
    </font>
    <font>
      <sz val="11"/>
      <name val="Calibri"/>
      <family val="2"/>
      <scheme val="minor"/>
    </font>
    <font>
      <sz val="10"/>
      <color theme="1"/>
      <name val="Times New Roman"/>
      <family val="1"/>
    </font>
    <font>
      <sz val="10"/>
      <color rgb="FF000000"/>
      <name val="Times New Roman"/>
      <family val="1"/>
    </font>
    <font>
      <b/>
      <sz val="10"/>
      <color rgb="FF000000"/>
      <name val="Times New Roman"/>
      <family val="1"/>
    </font>
    <font>
      <b/>
      <sz val="10"/>
      <color theme="1"/>
      <name val="Times New Roman"/>
      <family val="1"/>
    </font>
    <font>
      <sz val="10"/>
      <color rgb="FF000000"/>
      <name val="Arial"/>
      <family val="2"/>
    </font>
    <font>
      <b/>
      <sz val="10"/>
      <name val="Times New Roman"/>
      <family val="1"/>
    </font>
    <font>
      <u/>
      <sz val="10"/>
      <name val="Times New Roman"/>
      <family val="1"/>
    </font>
    <font>
      <u/>
      <sz val="10"/>
      <color indexed="8"/>
      <name val="Times New Roman"/>
      <family val="1"/>
    </font>
    <font>
      <vertAlign val="superscript"/>
      <sz val="10"/>
      <name val="Times New Roman"/>
      <family val="1"/>
    </font>
    <font>
      <sz val="10"/>
      <color indexed="8"/>
      <name val="Times New Roman"/>
      <family val="1"/>
    </font>
    <font>
      <b/>
      <sz val="10"/>
      <name val="Arial"/>
      <family val="2"/>
    </font>
    <font>
      <b/>
      <sz val="8"/>
      <name val="Arial"/>
      <family val="2"/>
    </font>
    <font>
      <b/>
      <sz val="11"/>
      <name val="Arial"/>
      <family val="2"/>
    </font>
    <font>
      <b/>
      <u/>
      <sz val="10"/>
      <name val="Arial"/>
      <family val="2"/>
    </font>
    <font>
      <sz val="8"/>
      <name val="Arial"/>
      <family val="2"/>
    </font>
    <font>
      <b/>
      <i/>
      <sz val="10"/>
      <name val="Arial"/>
      <family val="2"/>
    </font>
    <font>
      <sz val="11"/>
      <color rgb="FFFF0000"/>
      <name val="Calibri"/>
      <family val="2"/>
      <scheme val="minor"/>
    </font>
    <font>
      <b/>
      <u/>
      <sz val="11"/>
      <color theme="1"/>
      <name val="Calibri"/>
      <family val="2"/>
      <scheme val="minor"/>
    </font>
    <font>
      <b/>
      <sz val="10"/>
      <name val="MS Sans Serif"/>
    </font>
    <font>
      <b/>
      <sz val="11"/>
      <name val="Calibri"/>
      <family val="2"/>
      <scheme val="minor"/>
    </font>
    <font>
      <sz val="10"/>
      <name val="MS Sans Serif"/>
    </font>
    <font>
      <sz val="10"/>
      <name val="MS Sans Serif"/>
      <family val="2"/>
    </font>
    <font>
      <b/>
      <sz val="10"/>
      <color indexed="12"/>
      <name val="Arial"/>
      <family val="2"/>
    </font>
    <font>
      <sz val="10"/>
      <color indexed="8"/>
      <name val="Arial"/>
      <family val="2"/>
    </font>
    <font>
      <sz val="10"/>
      <color indexed="10"/>
      <name val="Arial"/>
      <family val="2"/>
    </font>
    <font>
      <b/>
      <sz val="10"/>
      <color indexed="8"/>
      <name val="Arial"/>
      <family val="2"/>
    </font>
    <font>
      <b/>
      <sz val="14"/>
      <name val="Arial"/>
      <family val="2"/>
    </font>
    <font>
      <b/>
      <sz val="12"/>
      <name val="Arial"/>
      <family val="2"/>
    </font>
    <font>
      <i/>
      <sz val="10"/>
      <name val="Arial"/>
      <family val="2"/>
    </font>
    <font>
      <sz val="10"/>
      <color theme="1"/>
      <name val="Arial"/>
      <family val="2"/>
    </font>
    <font>
      <b/>
      <sz val="10"/>
      <color theme="1"/>
      <name val="Arial"/>
      <family val="2"/>
    </font>
    <font>
      <b/>
      <sz val="11"/>
      <color rgb="FFFF0000"/>
      <name val="Calibri"/>
      <family val="2"/>
      <scheme val="minor"/>
    </font>
    <font>
      <sz val="12"/>
      <name val="Arial"/>
      <family val="2"/>
    </font>
    <font>
      <sz val="10"/>
      <name val="Arial MT"/>
    </font>
    <font>
      <sz val="9"/>
      <name val="Arial"/>
      <family val="2"/>
    </font>
    <font>
      <strike/>
      <sz val="10"/>
      <name val="Arial"/>
      <family val="2"/>
    </font>
    <font>
      <sz val="8"/>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8"/>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5" tint="0.79998168889431442"/>
        <bgColor indexed="64"/>
      </patternFill>
    </fill>
  </fills>
  <borders count="35">
    <border>
      <left/>
      <right/>
      <top/>
      <bottom/>
      <diagonal/>
    </border>
    <border>
      <left/>
      <right/>
      <top style="thin">
        <color indexed="64"/>
      </top>
      <bottom style="double">
        <color indexed="64"/>
      </bottom>
      <diagonal/>
    </border>
    <border>
      <left/>
      <right/>
      <top/>
      <bottom style="double">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34">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4" fillId="0" borderId="0"/>
    <xf numFmtId="44" fontId="4" fillId="0" borderId="0" applyFont="0" applyFill="0" applyBorder="0" applyAlignment="0" applyProtection="0"/>
    <xf numFmtId="44" fontId="3" fillId="0" borderId="0" applyFont="0" applyFill="0" applyBorder="0" applyAlignment="0" applyProtection="0"/>
    <xf numFmtId="0" fontId="5" fillId="0" borderId="0"/>
    <xf numFmtId="44" fontId="5" fillId="0" borderId="0" applyFont="0" applyFill="0" applyBorder="0" applyAlignment="0" applyProtection="0"/>
    <xf numFmtId="43" fontId="5"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9" fontId="5" fillId="0" borderId="0" applyFont="0" applyFill="0" applyBorder="0" applyAlignment="0" applyProtection="0"/>
    <xf numFmtId="0" fontId="5" fillId="0" borderId="0"/>
    <xf numFmtId="0" fontId="12" fillId="0" borderId="0" applyBorder="0">
      <alignment wrapText="1"/>
    </xf>
    <xf numFmtId="0" fontId="5" fillId="0" borderId="0"/>
    <xf numFmtId="0" fontId="1" fillId="0" borderId="0"/>
    <xf numFmtId="0" fontId="3" fillId="0" borderId="0"/>
    <xf numFmtId="44" fontId="3" fillId="0" borderId="0" applyFont="0" applyFill="0" applyBorder="0" applyAlignment="0" applyProtection="0"/>
    <xf numFmtId="44" fontId="5" fillId="0" borderId="0" applyFont="0" applyFill="0" applyBorder="0" applyAlignment="0" applyProtection="0"/>
    <xf numFmtId="9" fontId="1" fillId="0" borderId="0" applyFont="0" applyFill="0" applyBorder="0" applyAlignment="0" applyProtection="0"/>
    <xf numFmtId="0" fontId="26" fillId="0" borderId="17">
      <alignment horizontal="center"/>
    </xf>
    <xf numFmtId="0" fontId="28" fillId="0" borderId="0" applyNumberFormat="0" applyFont="0" applyFill="0" applyBorder="0" applyAlignment="0" applyProtection="0">
      <alignment horizontal="left"/>
    </xf>
    <xf numFmtId="3" fontId="28" fillId="0" borderId="0" applyFont="0" applyFill="0" applyBorder="0" applyAlignment="0" applyProtection="0"/>
    <xf numFmtId="4" fontId="28" fillId="0" borderId="0" applyFont="0" applyFill="0" applyBorder="0" applyAlignment="0" applyProtection="0"/>
    <xf numFmtId="15" fontId="28" fillId="0" borderId="0" applyFont="0" applyFill="0" applyBorder="0" applyAlignment="0" applyProtection="0"/>
    <xf numFmtId="0" fontId="5" fillId="0" borderId="0"/>
    <xf numFmtId="0" fontId="29" fillId="0" borderId="0"/>
    <xf numFmtId="43" fontId="5" fillId="0" borderId="0" applyFont="0" applyFill="0" applyBorder="0" applyAlignment="0" applyProtection="0"/>
    <xf numFmtId="0" fontId="28" fillId="0" borderId="0"/>
    <xf numFmtId="0" fontId="5" fillId="0" borderId="0"/>
    <xf numFmtId="9" fontId="5" fillId="0" borderId="0" applyFont="0" applyFill="0" applyBorder="0" applyAlignment="0" applyProtection="0"/>
    <xf numFmtId="43" fontId="5" fillId="0" borderId="0" applyFont="0" applyFill="0" applyBorder="0" applyAlignment="0" applyProtection="0"/>
  </cellStyleXfs>
  <cellXfs count="601">
    <xf numFmtId="0" fontId="0" fillId="0" borderId="0" xfId="0"/>
    <xf numFmtId="43" fontId="0" fillId="0" borderId="0" xfId="1" applyFont="1"/>
    <xf numFmtId="43" fontId="0" fillId="0" borderId="0" xfId="0" applyNumberFormat="1"/>
    <xf numFmtId="0" fontId="2" fillId="0" borderId="0" xfId="0" applyFont="1" applyAlignment="1">
      <alignment vertical="center"/>
    </xf>
    <xf numFmtId="0" fontId="2" fillId="0" borderId="0" xfId="0" applyFont="1"/>
    <xf numFmtId="43" fontId="0" fillId="0" borderId="0" xfId="1" applyFont="1" applyFill="1"/>
    <xf numFmtId="0" fontId="2" fillId="0" borderId="0" xfId="0" applyFont="1" applyAlignment="1">
      <alignment horizontal="center" wrapText="1"/>
    </xf>
    <xf numFmtId="0" fontId="2" fillId="0" borderId="0" xfId="0" applyFont="1" applyAlignment="1">
      <alignment horizontal="center"/>
    </xf>
    <xf numFmtId="0" fontId="0" fillId="0" borderId="0" xfId="0" applyAlignment="1">
      <alignment vertical="center"/>
    </xf>
    <xf numFmtId="0" fontId="8" fillId="0" borderId="0" xfId="0" applyFont="1"/>
    <xf numFmtId="0" fontId="9" fillId="0" borderId="0" xfId="0" applyFont="1" applyAlignment="1">
      <alignment horizontal="right"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9" fillId="0" borderId="6" xfId="0" applyFont="1" applyBorder="1" applyAlignment="1">
      <alignment wrapText="1"/>
    </xf>
    <xf numFmtId="166" fontId="9" fillId="0" borderId="7" xfId="0" applyNumberFormat="1" applyFont="1" applyBorder="1" applyAlignment="1">
      <alignment vertical="top" wrapText="1"/>
    </xf>
    <xf numFmtId="0" fontId="9" fillId="0" borderId="8" xfId="0" applyFont="1" applyBorder="1" applyAlignment="1">
      <alignment horizontal="center" wrapText="1"/>
    </xf>
    <xf numFmtId="167" fontId="9" fillId="0" borderId="0" xfId="0" applyNumberFormat="1" applyFont="1" applyAlignment="1">
      <alignment horizontal="center" wrapText="1"/>
    </xf>
    <xf numFmtId="167" fontId="9" fillId="0" borderId="0" xfId="0" applyNumberFormat="1" applyFont="1" applyAlignment="1">
      <alignment wrapText="1"/>
    </xf>
    <xf numFmtId="168" fontId="9" fillId="0" borderId="0" xfId="0" applyNumberFormat="1" applyFont="1" applyAlignment="1">
      <alignment wrapText="1"/>
    </xf>
    <xf numFmtId="0" fontId="10" fillId="0" borderId="0" xfId="0" applyFont="1" applyAlignment="1">
      <alignment wrapText="1"/>
    </xf>
    <xf numFmtId="168" fontId="10" fillId="0" borderId="0" xfId="0" applyNumberFormat="1" applyFont="1" applyAlignment="1">
      <alignment wrapText="1"/>
    </xf>
    <xf numFmtId="168" fontId="10" fillId="0" borderId="1" xfId="0" applyNumberFormat="1" applyFont="1" applyBorder="1" applyAlignment="1">
      <alignment wrapText="1"/>
    </xf>
    <xf numFmtId="0" fontId="9" fillId="0" borderId="0" xfId="0" applyFont="1" applyAlignment="1">
      <alignment wrapText="1"/>
    </xf>
    <xf numFmtId="0" fontId="9" fillId="0" borderId="0" xfId="0" applyFont="1" applyAlignment="1">
      <alignment horizontal="center" wrapText="1"/>
    </xf>
    <xf numFmtId="0" fontId="9" fillId="0" borderId="0" xfId="0" applyFont="1" applyAlignment="1">
      <alignment horizontal="left" wrapText="1"/>
    </xf>
    <xf numFmtId="0" fontId="9" fillId="0" borderId="0" xfId="15" applyFont="1">
      <alignment wrapText="1"/>
    </xf>
    <xf numFmtId="0" fontId="1" fillId="0" borderId="0" xfId="17"/>
    <xf numFmtId="0" fontId="8" fillId="0" borderId="0" xfId="17" applyFont="1"/>
    <xf numFmtId="0" fontId="6" fillId="0" borderId="0" xfId="16" applyFont="1" applyAlignment="1">
      <alignment horizontal="center" vertical="center" wrapText="1"/>
    </xf>
    <xf numFmtId="169" fontId="6" fillId="0" borderId="0" xfId="16" applyNumberFormat="1" applyFont="1" applyAlignment="1">
      <alignment horizontal="center"/>
    </xf>
    <xf numFmtId="0" fontId="6" fillId="0" borderId="0" xfId="16" applyFont="1"/>
    <xf numFmtId="0" fontId="14" fillId="0" borderId="0" xfId="16" applyFont="1" applyAlignment="1">
      <alignment horizontal="center"/>
    </xf>
    <xf numFmtId="0" fontId="15" fillId="0" borderId="0" xfId="17" applyFont="1" applyAlignment="1">
      <alignment horizontal="center"/>
    </xf>
    <xf numFmtId="0" fontId="6" fillId="0" borderId="0" xfId="16" applyFont="1" applyAlignment="1">
      <alignment horizontal="center"/>
    </xf>
    <xf numFmtId="49" fontId="6" fillId="0" borderId="0" xfId="16" applyNumberFormat="1" applyFont="1"/>
    <xf numFmtId="5" fontId="6" fillId="0" borderId="0" xfId="16" applyNumberFormat="1" applyFont="1"/>
    <xf numFmtId="37" fontId="6" fillId="0" borderId="0" xfId="16" applyNumberFormat="1" applyFont="1"/>
    <xf numFmtId="39" fontId="6" fillId="0" borderId="0" xfId="16" applyNumberFormat="1" applyFont="1" applyAlignment="1">
      <alignment horizontal="center" wrapText="1"/>
    </xf>
    <xf numFmtId="2" fontId="6" fillId="0" borderId="0" xfId="16" applyNumberFormat="1" applyFont="1"/>
    <xf numFmtId="0" fontId="6" fillId="0" borderId="0" xfId="16" applyFont="1" applyAlignment="1">
      <alignment horizontal="left" vertical="top"/>
    </xf>
    <xf numFmtId="0" fontId="5" fillId="0" borderId="0" xfId="16"/>
    <xf numFmtId="5" fontId="6" fillId="0" borderId="2" xfId="16" applyNumberFormat="1" applyFont="1" applyBorder="1"/>
    <xf numFmtId="170" fontId="6" fillId="0" borderId="0" xfId="16" applyNumberFormat="1" applyFont="1"/>
    <xf numFmtId="170" fontId="1" fillId="0" borderId="0" xfId="17" applyNumberFormat="1"/>
    <xf numFmtId="165" fontId="6" fillId="0" borderId="0" xfId="16" applyNumberFormat="1" applyFont="1"/>
    <xf numFmtId="5" fontId="6" fillId="3" borderId="1" xfId="16" applyNumberFormat="1" applyFont="1" applyFill="1" applyBorder="1"/>
    <xf numFmtId="0" fontId="16" fillId="0" borderId="0" xfId="16" applyFont="1" applyAlignment="1">
      <alignment horizontal="right"/>
    </xf>
    <xf numFmtId="170" fontId="6" fillId="0" borderId="11" xfId="16" applyNumberFormat="1" applyFont="1" applyBorder="1"/>
    <xf numFmtId="0" fontId="13" fillId="0" borderId="0" xfId="16" applyFont="1"/>
    <xf numFmtId="0" fontId="3" fillId="0" borderId="0" xfId="18"/>
    <xf numFmtId="0" fontId="6" fillId="0" borderId="0" xfId="7" applyFont="1" applyAlignment="1">
      <alignment horizontal="center"/>
    </xf>
    <xf numFmtId="0" fontId="6" fillId="0" borderId="0" xfId="7" applyFont="1"/>
    <xf numFmtId="49" fontId="6" fillId="0" borderId="0" xfId="7" applyNumberFormat="1" applyFont="1" applyAlignment="1">
      <alignment horizontal="center"/>
    </xf>
    <xf numFmtId="0" fontId="6" fillId="0" borderId="0" xfId="7" applyFont="1" applyAlignment="1">
      <alignment horizontal="right"/>
    </xf>
    <xf numFmtId="49" fontId="6" fillId="0" borderId="0" xfId="7" applyNumberFormat="1" applyFont="1" applyAlignment="1">
      <alignment horizontal="center" vertical="center" wrapText="1"/>
    </xf>
    <xf numFmtId="37" fontId="6" fillId="0" borderId="0" xfId="7" quotePrefix="1" applyNumberFormat="1" applyFont="1" applyAlignment="1">
      <alignment horizontal="center"/>
    </xf>
    <xf numFmtId="37" fontId="6" fillId="0" borderId="0" xfId="7" applyNumberFormat="1" applyFont="1" applyAlignment="1">
      <alignment horizontal="center"/>
    </xf>
    <xf numFmtId="0" fontId="17" fillId="0" borderId="0" xfId="18" applyFont="1" applyAlignment="1">
      <alignment horizontal="center"/>
    </xf>
    <xf numFmtId="0" fontId="17" fillId="0" borderId="0" xfId="18" applyFont="1"/>
    <xf numFmtId="171" fontId="17" fillId="0" borderId="0" xfId="19" applyNumberFormat="1" applyFont="1" applyFill="1"/>
    <xf numFmtId="0" fontId="6" fillId="0" borderId="0" xfId="7" applyFont="1" applyAlignment="1">
      <alignment horizontal="left" vertical="center"/>
    </xf>
    <xf numFmtId="0" fontId="6" fillId="0" borderId="0" xfId="7" applyFont="1" applyAlignment="1">
      <alignment horizontal="left" vertical="center" wrapText="1"/>
    </xf>
    <xf numFmtId="0" fontId="6" fillId="0" borderId="0" xfId="7" applyFont="1" applyAlignment="1">
      <alignment horizontal="center" vertical="center" wrapText="1"/>
    </xf>
    <xf numFmtId="171" fontId="6" fillId="0" borderId="0" xfId="19" applyNumberFormat="1" applyFont="1" applyFill="1" applyAlignment="1">
      <alignment wrapText="1"/>
    </xf>
    <xf numFmtId="0" fontId="6" fillId="0" borderId="0" xfId="7" applyFont="1" applyAlignment="1">
      <alignment horizontal="center" vertical="center"/>
    </xf>
    <xf numFmtId="171" fontId="17" fillId="0" borderId="10" xfId="18" applyNumberFormat="1" applyFont="1" applyBorder="1"/>
    <xf numFmtId="0" fontId="6" fillId="0" borderId="0" xfId="7" applyFont="1" applyAlignment="1">
      <alignment horizontal="left" wrapText="1"/>
    </xf>
    <xf numFmtId="0" fontId="6" fillId="0" borderId="0" xfId="7" applyFont="1" applyAlignment="1">
      <alignment horizontal="center" wrapText="1"/>
    </xf>
    <xf numFmtId="171" fontId="6" fillId="0" borderId="0" xfId="8" applyNumberFormat="1" applyFont="1" applyAlignment="1">
      <alignment horizontal="right" wrapText="1"/>
    </xf>
    <xf numFmtId="49" fontId="6" fillId="0" borderId="0" xfId="7" applyNumberFormat="1" applyFont="1" applyAlignment="1">
      <alignment horizontal="left"/>
    </xf>
    <xf numFmtId="165" fontId="6" fillId="0" borderId="0" xfId="7" applyNumberFormat="1" applyFont="1" applyAlignment="1">
      <alignment horizontal="right"/>
    </xf>
    <xf numFmtId="49" fontId="6" fillId="0" borderId="0" xfId="7" applyNumberFormat="1" applyFont="1" applyAlignment="1">
      <alignment horizontal="left" wrapText="1"/>
    </xf>
    <xf numFmtId="49" fontId="6" fillId="0" borderId="0" xfId="7" applyNumberFormat="1" applyFont="1" applyAlignment="1">
      <alignment horizontal="center" wrapText="1"/>
    </xf>
    <xf numFmtId="5" fontId="6" fillId="0" borderId="1" xfId="7" applyNumberFormat="1" applyFont="1" applyBorder="1" applyAlignment="1">
      <alignment horizontal="right"/>
    </xf>
    <xf numFmtId="0" fontId="3" fillId="0" borderId="0" xfId="18" applyAlignment="1">
      <alignment horizontal="center"/>
    </xf>
    <xf numFmtId="0" fontId="5" fillId="0" borderId="0" xfId="7" applyAlignment="1">
      <alignment horizontal="center"/>
    </xf>
    <xf numFmtId="0" fontId="5" fillId="0" borderId="0" xfId="7"/>
    <xf numFmtId="0" fontId="18" fillId="0" borderId="0" xfId="7" applyFont="1" applyAlignment="1">
      <alignment horizontal="center"/>
    </xf>
    <xf numFmtId="0" fontId="5" fillId="0" borderId="0" xfId="7" applyAlignment="1">
      <alignment wrapText="1"/>
    </xf>
    <xf numFmtId="37" fontId="5" fillId="0" borderId="0" xfId="7" applyNumberFormat="1" applyAlignment="1">
      <alignment wrapText="1"/>
    </xf>
    <xf numFmtId="37" fontId="5" fillId="0" borderId="0" xfId="7" applyNumberFormat="1"/>
    <xf numFmtId="0" fontId="18" fillId="0" borderId="0" xfId="7" applyFont="1"/>
    <xf numFmtId="0" fontId="5" fillId="0" borderId="0" xfId="7" quotePrefix="1" applyAlignment="1">
      <alignment horizontal="center"/>
    </xf>
    <xf numFmtId="0" fontId="18" fillId="0" borderId="12" xfId="7" applyFont="1" applyBorder="1" applyAlignment="1">
      <alignment horizontal="center"/>
    </xf>
    <xf numFmtId="49" fontId="19" fillId="0" borderId="0" xfId="7" applyNumberFormat="1" applyFont="1" applyAlignment="1">
      <alignment horizontal="center" vertical="center" wrapText="1"/>
    </xf>
    <xf numFmtId="49" fontId="19" fillId="0" borderId="0" xfId="14" applyNumberFormat="1" applyFont="1" applyAlignment="1">
      <alignment horizontal="center" vertical="center" wrapText="1"/>
    </xf>
    <xf numFmtId="164" fontId="5" fillId="0" borderId="0" xfId="9" quotePrefix="1" applyNumberFormat="1" applyFont="1" applyFill="1" applyAlignment="1">
      <alignment horizontal="center"/>
    </xf>
    <xf numFmtId="37" fontId="5" fillId="0" borderId="0" xfId="7" applyNumberFormat="1" applyAlignment="1">
      <alignment horizontal="right"/>
    </xf>
    <xf numFmtId="164" fontId="5" fillId="0" borderId="0" xfId="9" applyNumberFormat="1" applyFont="1" applyFill="1" applyAlignment="1">
      <alignment horizontal="right"/>
    </xf>
    <xf numFmtId="0" fontId="5" fillId="0" borderId="0" xfId="7" applyAlignment="1">
      <alignment vertical="center"/>
    </xf>
    <xf numFmtId="0" fontId="5" fillId="0" borderId="12" xfId="7" applyBorder="1"/>
    <xf numFmtId="37" fontId="5" fillId="0" borderId="12" xfId="7" applyNumberFormat="1" applyBorder="1"/>
    <xf numFmtId="37" fontId="5" fillId="0" borderId="12" xfId="7" applyNumberFormat="1" applyBorder="1" applyAlignment="1">
      <alignment horizontal="right"/>
    </xf>
    <xf numFmtId="0" fontId="18" fillId="0" borderId="0" xfId="7" applyFont="1" applyAlignment="1">
      <alignment horizontal="left" vertical="center"/>
    </xf>
    <xf numFmtId="37" fontId="5" fillId="0" borderId="0" xfId="7" applyNumberFormat="1" applyAlignment="1">
      <alignment horizontal="right" vertical="center"/>
    </xf>
    <xf numFmtId="0" fontId="5" fillId="0" borderId="0" xfId="7" applyAlignment="1">
      <alignment horizontal="center" vertical="center"/>
    </xf>
    <xf numFmtId="0" fontId="5" fillId="0" borderId="0" xfId="7" applyAlignment="1">
      <alignment horizontal="left" vertical="center"/>
    </xf>
    <xf numFmtId="37" fontId="5" fillId="0" borderId="13" xfId="7" applyNumberFormat="1" applyBorder="1" applyAlignment="1">
      <alignment horizontal="right" vertical="center"/>
    </xf>
    <xf numFmtId="0" fontId="5" fillId="0" borderId="0" xfId="7" applyAlignment="1">
      <alignment horizontal="left"/>
    </xf>
    <xf numFmtId="0" fontId="5" fillId="0" borderId="12" xfId="7" applyBorder="1" applyAlignment="1">
      <alignment horizontal="left"/>
    </xf>
    <xf numFmtId="0" fontId="18" fillId="0" borderId="1" xfId="7" applyFont="1" applyBorder="1" applyAlignment="1">
      <alignment horizontal="left"/>
    </xf>
    <xf numFmtId="37" fontId="5" fillId="0" borderId="1" xfId="7" applyNumberFormat="1" applyBorder="1" applyAlignment="1">
      <alignment horizontal="right"/>
    </xf>
    <xf numFmtId="0" fontId="18" fillId="0" borderId="2" xfId="7" applyFont="1" applyBorder="1" applyAlignment="1">
      <alignment horizontal="left" vertical="center"/>
    </xf>
    <xf numFmtId="37" fontId="5" fillId="0" borderId="2" xfId="7" applyNumberFormat="1" applyBorder="1" applyAlignment="1">
      <alignment horizontal="right" vertical="center"/>
    </xf>
    <xf numFmtId="37" fontId="5" fillId="0" borderId="0" xfId="7" applyNumberFormat="1" applyAlignment="1">
      <alignment horizontal="left" vertical="center"/>
    </xf>
    <xf numFmtId="172" fontId="5" fillId="0" borderId="0" xfId="7" applyNumberFormat="1" applyAlignment="1">
      <alignment horizontal="right" vertical="center"/>
    </xf>
    <xf numFmtId="10" fontId="5" fillId="0" borderId="0" xfId="7" applyNumberFormat="1" applyAlignment="1">
      <alignment horizontal="right" vertical="center"/>
    </xf>
    <xf numFmtId="0" fontId="20" fillId="0" borderId="0" xfId="7" applyFont="1" applyAlignment="1">
      <alignment vertical="center"/>
    </xf>
    <xf numFmtId="0" fontId="18" fillId="0" borderId="0" xfId="7" applyFont="1" applyAlignment="1">
      <alignment vertical="center"/>
    </xf>
    <xf numFmtId="0" fontId="18" fillId="0" borderId="0" xfId="7" applyFont="1" applyAlignment="1">
      <alignment horizontal="left"/>
    </xf>
    <xf numFmtId="37" fontId="5" fillId="0" borderId="13" xfId="7" applyNumberFormat="1" applyBorder="1" applyAlignment="1">
      <alignment horizontal="right"/>
    </xf>
    <xf numFmtId="164" fontId="5" fillId="0" borderId="0" xfId="9" applyNumberFormat="1" applyFont="1" applyFill="1" applyBorder="1" applyAlignment="1">
      <alignment horizontal="right"/>
    </xf>
    <xf numFmtId="164" fontId="5" fillId="0" borderId="0" xfId="9" applyNumberFormat="1" applyFont="1" applyFill="1" applyBorder="1" applyAlignment="1">
      <alignment horizontal="right" vertical="center"/>
    </xf>
    <xf numFmtId="0" fontId="18" fillId="0" borderId="12" xfId="7" applyFont="1" applyBorder="1" applyAlignment="1">
      <alignment horizontal="left" vertical="center"/>
    </xf>
    <xf numFmtId="0" fontId="5" fillId="0" borderId="12" xfId="7" applyBorder="1" applyAlignment="1">
      <alignment horizontal="left" vertical="center"/>
    </xf>
    <xf numFmtId="37" fontId="5" fillId="0" borderId="12" xfId="7" applyNumberFormat="1" applyBorder="1" applyAlignment="1">
      <alignment horizontal="right" vertical="center"/>
    </xf>
    <xf numFmtId="0" fontId="18" fillId="0" borderId="1" xfId="7" applyFont="1" applyBorder="1" applyAlignment="1">
      <alignment horizontal="left" vertical="center"/>
    </xf>
    <xf numFmtId="3" fontId="5" fillId="0" borderId="1" xfId="7" applyNumberFormat="1" applyBorder="1" applyAlignment="1">
      <alignment horizontal="right" vertical="center"/>
    </xf>
    <xf numFmtId="39" fontId="5" fillId="0" borderId="1" xfId="7" applyNumberFormat="1" applyBorder="1" applyAlignment="1">
      <alignment horizontal="right" vertical="center"/>
    </xf>
    <xf numFmtId="37" fontId="5" fillId="0" borderId="1" xfId="7" applyNumberFormat="1" applyBorder="1" applyAlignment="1">
      <alignment horizontal="right" vertical="center"/>
    </xf>
    <xf numFmtId="171" fontId="5" fillId="0" borderId="0" xfId="20" applyNumberFormat="1" applyFont="1" applyFill="1"/>
    <xf numFmtId="0" fontId="5" fillId="0" borderId="12" xfId="7" applyBorder="1" applyAlignment="1">
      <alignment vertical="center"/>
    </xf>
    <xf numFmtId="37" fontId="18" fillId="0" borderId="0" xfId="7" applyNumberFormat="1" applyFont="1" applyAlignment="1">
      <alignment horizontal="right" vertical="center"/>
    </xf>
    <xf numFmtId="0" fontId="21" fillId="0" borderId="0" xfId="7" applyFont="1"/>
    <xf numFmtId="37" fontId="18" fillId="0" borderId="0" xfId="7" applyNumberFormat="1" applyFont="1" applyAlignment="1">
      <alignment vertical="center"/>
    </xf>
    <xf numFmtId="171" fontId="0" fillId="0" borderId="0" xfId="20" applyNumberFormat="1" applyFont="1" applyFill="1"/>
    <xf numFmtId="37" fontId="5" fillId="0" borderId="0" xfId="7" applyNumberFormat="1" applyAlignment="1">
      <alignment vertical="center"/>
    </xf>
    <xf numFmtId="37" fontId="5" fillId="0" borderId="13" xfId="7" applyNumberFormat="1" applyBorder="1" applyAlignment="1">
      <alignment vertical="center"/>
    </xf>
    <xf numFmtId="37" fontId="5" fillId="0" borderId="0" xfId="9" applyNumberFormat="1" applyFont="1" applyFill="1" applyBorder="1" applyAlignment="1">
      <alignment vertical="center"/>
    </xf>
    <xf numFmtId="37" fontId="18" fillId="0" borderId="0" xfId="7" applyNumberFormat="1" applyFont="1"/>
    <xf numFmtId="37" fontId="5" fillId="0" borderId="12" xfId="7" applyNumberFormat="1" applyBorder="1" applyAlignment="1">
      <alignment vertical="center"/>
    </xf>
    <xf numFmtId="39" fontId="5" fillId="0" borderId="0" xfId="7" applyNumberFormat="1" applyAlignment="1">
      <alignment horizontal="right"/>
    </xf>
    <xf numFmtId="164" fontId="5" fillId="0" borderId="0" xfId="9" applyNumberFormat="1" applyFont="1" applyFill="1" applyBorder="1" applyAlignment="1">
      <alignment vertical="center"/>
    </xf>
    <xf numFmtId="164" fontId="5" fillId="0" borderId="12" xfId="9" applyNumberFormat="1" applyFont="1" applyFill="1" applyBorder="1" applyAlignment="1">
      <alignment vertical="center"/>
    </xf>
    <xf numFmtId="0" fontId="18" fillId="0" borderId="10" xfId="7" applyFont="1" applyBorder="1" applyAlignment="1">
      <alignment vertical="center"/>
    </xf>
    <xf numFmtId="164" fontId="5" fillId="0" borderId="10" xfId="9" applyNumberFormat="1" applyFont="1" applyFill="1" applyBorder="1" applyAlignment="1">
      <alignment vertical="center"/>
    </xf>
    <xf numFmtId="37" fontId="5" fillId="0" borderId="10" xfId="7" applyNumberFormat="1" applyBorder="1"/>
    <xf numFmtId="37" fontId="5" fillId="0" borderId="10" xfId="7" applyNumberFormat="1" applyBorder="1" applyAlignment="1">
      <alignment horizontal="right"/>
    </xf>
    <xf numFmtId="0" fontId="18" fillId="0" borderId="2" xfId="7" applyFont="1" applyBorder="1" applyAlignment="1">
      <alignment vertical="center"/>
    </xf>
    <xf numFmtId="164" fontId="5" fillId="0" borderId="1" xfId="9" applyNumberFormat="1" applyFont="1" applyFill="1" applyBorder="1" applyAlignment="1">
      <alignment vertical="center"/>
    </xf>
    <xf numFmtId="0" fontId="18" fillId="0" borderId="1" xfId="7" applyFont="1" applyBorder="1" applyAlignment="1">
      <alignment vertical="center"/>
    </xf>
    <xf numFmtId="37" fontId="5" fillId="0" borderId="0" xfId="9" applyNumberFormat="1" applyFont="1" applyFill="1"/>
    <xf numFmtId="37" fontId="5" fillId="0" borderId="0" xfId="9" applyNumberFormat="1" applyFont="1" applyFill="1" applyBorder="1"/>
    <xf numFmtId="37" fontId="22" fillId="0" borderId="0" xfId="7" applyNumberFormat="1" applyFont="1"/>
    <xf numFmtId="0" fontId="5" fillId="0" borderId="0" xfId="7" applyAlignment="1">
      <alignment horizontal="right"/>
    </xf>
    <xf numFmtId="173" fontId="22" fillId="0" borderId="0" xfId="7" applyNumberFormat="1" applyFont="1"/>
    <xf numFmtId="0" fontId="5" fillId="0" borderId="0" xfId="14"/>
    <xf numFmtId="173" fontId="18" fillId="0" borderId="0" xfId="14" applyNumberFormat="1" applyFont="1" applyAlignment="1">
      <alignment horizontal="right"/>
    </xf>
    <xf numFmtId="10" fontId="18" fillId="0" borderId="0" xfId="14" applyNumberFormat="1" applyFont="1" applyAlignment="1">
      <alignment horizontal="right"/>
    </xf>
    <xf numFmtId="10" fontId="5" fillId="0" borderId="0" xfId="14" applyNumberFormat="1" applyAlignment="1">
      <alignment horizontal="right"/>
    </xf>
    <xf numFmtId="10" fontId="5" fillId="0" borderId="0" xfId="7" applyNumberFormat="1"/>
    <xf numFmtId="10" fontId="23" fillId="0" borderId="0" xfId="14" applyNumberFormat="1" applyFont="1" applyAlignment="1">
      <alignment horizontal="right"/>
    </xf>
    <xf numFmtId="43" fontId="5" fillId="0" borderId="0" xfId="9" applyFont="1" applyFill="1" applyBorder="1"/>
    <xf numFmtId="43" fontId="5" fillId="0" borderId="0" xfId="9" applyFont="1" applyFill="1"/>
    <xf numFmtId="174" fontId="5" fillId="0" borderId="12" xfId="13" applyNumberFormat="1" applyFont="1" applyFill="1" applyBorder="1"/>
    <xf numFmtId="174" fontId="5" fillId="0" borderId="12" xfId="7" applyNumberFormat="1" applyBorder="1"/>
    <xf numFmtId="44" fontId="5" fillId="0" borderId="0" xfId="20" applyFont="1" applyFill="1"/>
    <xf numFmtId="175" fontId="5" fillId="0" borderId="0" xfId="7" applyNumberFormat="1"/>
    <xf numFmtId="43" fontId="2" fillId="0" borderId="0" xfId="1" applyFont="1"/>
    <xf numFmtId="0" fontId="0" fillId="0" borderId="0" xfId="0" applyAlignment="1">
      <alignment horizontal="right"/>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xf>
    <xf numFmtId="164" fontId="0" fillId="0" borderId="0" xfId="0" applyNumberFormat="1"/>
    <xf numFmtId="0" fontId="0" fillId="0" borderId="0" xfId="0" applyAlignment="1">
      <alignment horizontal="center" wrapText="1"/>
    </xf>
    <xf numFmtId="0" fontId="2" fillId="0" borderId="17" xfId="0" applyFont="1" applyBorder="1" applyAlignment="1">
      <alignment horizontal="center"/>
    </xf>
    <xf numFmtId="0" fontId="2" fillId="0" borderId="17" xfId="0" applyFont="1" applyBorder="1" applyAlignment="1">
      <alignment horizontal="center" wrapText="1"/>
    </xf>
    <xf numFmtId="0" fontId="25" fillId="0" borderId="18" xfId="0" applyFont="1" applyBorder="1"/>
    <xf numFmtId="0" fontId="25" fillId="0" borderId="0" xfId="0" applyFont="1" applyAlignment="1">
      <alignment horizontal="center"/>
    </xf>
    <xf numFmtId="10" fontId="0" fillId="0" borderId="0" xfId="21" applyNumberFormat="1" applyFont="1"/>
    <xf numFmtId="10" fontId="0" fillId="0" borderId="0" xfId="21" applyNumberFormat="1" applyFont="1" applyFill="1"/>
    <xf numFmtId="0" fontId="2" fillId="0" borderId="0" xfId="0" applyFont="1" applyAlignment="1">
      <alignment horizontal="left"/>
    </xf>
    <xf numFmtId="43" fontId="2" fillId="0" borderId="0" xfId="0" applyNumberFormat="1" applyFont="1"/>
    <xf numFmtId="0" fontId="25" fillId="0" borderId="0" xfId="0" applyFont="1"/>
    <xf numFmtId="43" fontId="0" fillId="0" borderId="0" xfId="1" applyFont="1" applyFill="1" applyAlignment="1">
      <alignment horizontal="left"/>
    </xf>
    <xf numFmtId="43" fontId="2" fillId="0" borderId="0" xfId="0" applyNumberFormat="1" applyFont="1" applyAlignment="1">
      <alignment horizontal="center"/>
    </xf>
    <xf numFmtId="164" fontId="0" fillId="0" borderId="0" xfId="1" applyNumberFormat="1" applyFont="1"/>
    <xf numFmtId="164" fontId="0" fillId="0" borderId="0" xfId="1" applyNumberFormat="1" applyFont="1" applyBorder="1"/>
    <xf numFmtId="164" fontId="0" fillId="0" borderId="0" xfId="1" applyNumberFormat="1" applyFont="1" applyFill="1" applyBorder="1"/>
    <xf numFmtId="164" fontId="0" fillId="6" borderId="0" xfId="1" applyNumberFormat="1" applyFont="1" applyFill="1" applyBorder="1"/>
    <xf numFmtId="164" fontId="0" fillId="0" borderId="10" xfId="0" applyNumberFormat="1" applyBorder="1"/>
    <xf numFmtId="164" fontId="0" fillId="0" borderId="1" xfId="1" applyNumberFormat="1" applyFont="1" applyBorder="1"/>
    <xf numFmtId="0" fontId="0" fillId="6" borderId="0" xfId="0" applyFill="1"/>
    <xf numFmtId="0" fontId="2" fillId="0" borderId="0" xfId="0" applyFont="1" applyAlignment="1">
      <alignment horizontal="right"/>
    </xf>
    <xf numFmtId="164" fontId="0" fillId="0" borderId="0" xfId="1" applyNumberFormat="1" applyFont="1" applyFill="1"/>
    <xf numFmtId="49" fontId="2" fillId="0" borderId="17" xfId="0" applyNumberFormat="1" applyFont="1" applyBorder="1" applyAlignment="1">
      <alignment horizontal="center" wrapText="1"/>
    </xf>
    <xf numFmtId="49" fontId="2" fillId="0" borderId="17" xfId="0" applyNumberFormat="1" applyFont="1" applyBorder="1" applyAlignment="1">
      <alignment horizontal="center"/>
    </xf>
    <xf numFmtId="49" fontId="0" fillId="0" borderId="0" xfId="0" applyNumberFormat="1"/>
    <xf numFmtId="8" fontId="0" fillId="0" borderId="0" xfId="0" applyNumberFormat="1"/>
    <xf numFmtId="0" fontId="0" fillId="2" borderId="0" xfId="0" applyFill="1"/>
    <xf numFmtId="0" fontId="27" fillId="0" borderId="17" xfId="22" applyFont="1" applyAlignment="1">
      <alignment horizontal="center" wrapText="1"/>
    </xf>
    <xf numFmtId="0" fontId="1" fillId="0" borderId="0" xfId="0" applyFont="1"/>
    <xf numFmtId="0" fontId="7" fillId="0" borderId="0" xfId="23" applyFont="1" applyAlignment="1"/>
    <xf numFmtId="3" fontId="7" fillId="0" borderId="0" xfId="24" applyFont="1"/>
    <xf numFmtId="4" fontId="7" fillId="0" borderId="0" xfId="25" applyFont="1"/>
    <xf numFmtId="15" fontId="7" fillId="0" borderId="0" xfId="26" quotePrefix="1" applyFont="1"/>
    <xf numFmtId="4" fontId="2" fillId="0" borderId="0" xfId="0" applyNumberFormat="1" applyFont="1"/>
    <xf numFmtId="0" fontId="27" fillId="0" borderId="0" xfId="23" applyFont="1" applyAlignment="1"/>
    <xf numFmtId="0" fontId="5" fillId="0" borderId="0" xfId="27" applyAlignment="1">
      <alignment horizontal="center"/>
    </xf>
    <xf numFmtId="0" fontId="5" fillId="0" borderId="0" xfId="27"/>
    <xf numFmtId="49" fontId="29" fillId="0" borderId="19" xfId="28" applyNumberFormat="1" applyBorder="1" applyAlignment="1">
      <alignment horizontal="center" wrapText="1"/>
    </xf>
    <xf numFmtId="49" fontId="29" fillId="7" borderId="18" xfId="28" applyNumberFormat="1" applyFill="1" applyBorder="1" applyAlignment="1">
      <alignment wrapText="1"/>
    </xf>
    <xf numFmtId="49" fontId="29" fillId="0" borderId="14" xfId="28" applyNumberFormat="1" applyBorder="1" applyAlignment="1">
      <alignment horizontal="center" wrapText="1"/>
    </xf>
    <xf numFmtId="49" fontId="29" fillId="7" borderId="15" xfId="28" applyNumberFormat="1" applyFill="1" applyBorder="1" applyAlignment="1">
      <alignment wrapText="1"/>
    </xf>
    <xf numFmtId="49" fontId="29" fillId="0" borderId="15" xfId="28" applyNumberFormat="1" applyBorder="1" applyAlignment="1">
      <alignment horizontal="center" wrapText="1"/>
    </xf>
    <xf numFmtId="49" fontId="29" fillId="0" borderId="19" xfId="28" applyNumberFormat="1" applyBorder="1" applyAlignment="1">
      <alignment wrapText="1"/>
    </xf>
    <xf numFmtId="0" fontId="29" fillId="7" borderId="15" xfId="28" applyFill="1" applyBorder="1"/>
    <xf numFmtId="0" fontId="29" fillId="0" borderId="15" xfId="28" applyBorder="1" applyAlignment="1">
      <alignment horizontal="center"/>
    </xf>
    <xf numFmtId="0" fontId="29" fillId="7" borderId="15" xfId="28" applyFill="1" applyBorder="1" applyAlignment="1">
      <alignment horizontal="center"/>
    </xf>
    <xf numFmtId="0" fontId="29" fillId="0" borderId="15" xfId="28" applyBorder="1"/>
    <xf numFmtId="49" fontId="29" fillId="0" borderId="16" xfId="28" applyNumberFormat="1" applyBorder="1" applyAlignment="1">
      <alignment horizontal="center" wrapText="1"/>
    </xf>
    <xf numFmtId="49" fontId="29" fillId="0" borderId="20" xfId="28" applyNumberFormat="1" applyBorder="1" applyAlignment="1">
      <alignment horizontal="center" wrapText="1"/>
    </xf>
    <xf numFmtId="49" fontId="29" fillId="7" borderId="0" xfId="28" applyNumberFormat="1" applyFill="1" applyAlignment="1">
      <alignment wrapText="1"/>
    </xf>
    <xf numFmtId="49" fontId="29" fillId="0" borderId="0" xfId="28" applyNumberFormat="1" applyAlignment="1">
      <alignment horizontal="center" wrapText="1"/>
    </xf>
    <xf numFmtId="176" fontId="30" fillId="0" borderId="0" xfId="28" applyNumberFormat="1" applyFont="1" applyAlignment="1">
      <alignment horizontal="center" wrapText="1"/>
    </xf>
    <xf numFmtId="49" fontId="29" fillId="0" borderId="21" xfId="28" applyNumberFormat="1" applyBorder="1" applyAlignment="1">
      <alignment wrapText="1"/>
    </xf>
    <xf numFmtId="0" fontId="29" fillId="7" borderId="0" xfId="28" applyFill="1"/>
    <xf numFmtId="0" fontId="29" fillId="0" borderId="0" xfId="28" applyAlignment="1">
      <alignment horizontal="center"/>
    </xf>
    <xf numFmtId="0" fontId="29" fillId="7" borderId="0" xfId="28" applyFill="1" applyAlignment="1">
      <alignment horizontal="center"/>
    </xf>
    <xf numFmtId="0" fontId="29" fillId="0" borderId="0" xfId="28"/>
    <xf numFmtId="49" fontId="29" fillId="0" borderId="22" xfId="28" applyNumberFormat="1" applyBorder="1" applyAlignment="1">
      <alignment horizontal="center" wrapText="1"/>
    </xf>
    <xf numFmtId="0" fontId="29" fillId="0" borderId="23" xfId="28" applyBorder="1" applyAlignment="1">
      <alignment horizontal="center"/>
    </xf>
    <xf numFmtId="0" fontId="29" fillId="7" borderId="18" xfId="28" applyFill="1" applyBorder="1"/>
    <xf numFmtId="0" fontId="29" fillId="0" borderId="18" xfId="28" applyBorder="1"/>
    <xf numFmtId="0" fontId="29" fillId="0" borderId="23" xfId="28" applyBorder="1"/>
    <xf numFmtId="0" fontId="29" fillId="0" borderId="24" xfId="28" applyBorder="1"/>
    <xf numFmtId="0" fontId="0" fillId="0" borderId="21" xfId="28" applyFont="1" applyBorder="1" applyAlignment="1">
      <alignment horizontal="center"/>
    </xf>
    <xf numFmtId="5" fontId="31" fillId="0" borderId="0" xfId="28" applyNumberFormat="1" applyFont="1"/>
    <xf numFmtId="10" fontId="29" fillId="0" borderId="0" xfId="28" applyNumberFormat="1"/>
    <xf numFmtId="10" fontId="31" fillId="0" borderId="0" xfId="28" applyNumberFormat="1" applyFont="1"/>
    <xf numFmtId="0" fontId="29" fillId="0" borderId="21" xfId="28" applyBorder="1"/>
    <xf numFmtId="176" fontId="29" fillId="0" borderId="0" xfId="28" applyNumberFormat="1" applyAlignment="1">
      <alignment horizontal="center"/>
    </xf>
    <xf numFmtId="0" fontId="0" fillId="0" borderId="0" xfId="28" applyFont="1"/>
    <xf numFmtId="10" fontId="29" fillId="0" borderId="22" xfId="28" applyNumberFormat="1" applyBorder="1"/>
    <xf numFmtId="49" fontId="29" fillId="0" borderId="0" xfId="28" applyNumberFormat="1" applyAlignment="1">
      <alignment wrapText="1"/>
    </xf>
    <xf numFmtId="10" fontId="30" fillId="0" borderId="0" xfId="28" applyNumberFormat="1" applyFont="1"/>
    <xf numFmtId="0" fontId="5" fillId="0" borderId="21" xfId="28" applyFont="1" applyBorder="1" applyAlignment="1">
      <alignment horizontal="center"/>
    </xf>
    <xf numFmtId="176" fontId="30" fillId="0" borderId="0" xfId="28" applyNumberFormat="1" applyFont="1" applyAlignment="1">
      <alignment horizontal="center"/>
    </xf>
    <xf numFmtId="0" fontId="0" fillId="0" borderId="0" xfId="28" applyFont="1" applyAlignment="1">
      <alignment horizontal="center"/>
    </xf>
    <xf numFmtId="172" fontId="29" fillId="0" borderId="0" xfId="28" applyNumberFormat="1"/>
    <xf numFmtId="172" fontId="32" fillId="0" borderId="0" xfId="28" applyNumberFormat="1" applyFont="1"/>
    <xf numFmtId="5" fontId="33" fillId="0" borderId="0" xfId="28" applyNumberFormat="1" applyFont="1"/>
    <xf numFmtId="10" fontId="18" fillId="0" borderId="0" xfId="28" applyNumberFormat="1" applyFont="1"/>
    <xf numFmtId="10" fontId="18" fillId="0" borderId="22" xfId="28" quotePrefix="1" applyNumberFormat="1" applyFont="1" applyBorder="1" applyAlignment="1">
      <alignment horizontal="right" wrapText="1"/>
    </xf>
    <xf numFmtId="0" fontId="29" fillId="0" borderId="22" xfId="28" applyBorder="1"/>
    <xf numFmtId="0" fontId="0" fillId="0" borderId="25" xfId="28" applyFont="1" applyBorder="1" applyAlignment="1">
      <alignment horizontal="center"/>
    </xf>
    <xf numFmtId="0" fontId="29" fillId="7" borderId="17" xfId="28" applyFill="1" applyBorder="1"/>
    <xf numFmtId="0" fontId="29" fillId="0" borderId="17" xfId="28" applyBorder="1"/>
    <xf numFmtId="0" fontId="29" fillId="0" borderId="25" xfId="28" applyBorder="1"/>
    <xf numFmtId="0" fontId="29" fillId="0" borderId="26" xfId="28" applyBorder="1"/>
    <xf numFmtId="0" fontId="5" fillId="0" borderId="20" xfId="27" applyBorder="1" applyAlignment="1">
      <alignment horizontal="center"/>
    </xf>
    <xf numFmtId="0" fontId="5" fillId="0" borderId="22" xfId="27" applyBorder="1"/>
    <xf numFmtId="0" fontId="21" fillId="0" borderId="0" xfId="27" applyFont="1" applyAlignment="1">
      <alignment horizontal="center"/>
    </xf>
    <xf numFmtId="177" fontId="29" fillId="0" borderId="0" xfId="29" applyNumberFormat="1" applyFont="1" applyBorder="1"/>
    <xf numFmtId="177" fontId="29" fillId="0" borderId="0" xfId="29" applyNumberFormat="1" applyFont="1"/>
    <xf numFmtId="178" fontId="29" fillId="0" borderId="0" xfId="28" applyNumberFormat="1"/>
    <xf numFmtId="177" fontId="29" fillId="0" borderId="0" xfId="29" applyNumberFormat="1" applyFont="1" applyFill="1"/>
    <xf numFmtId="179" fontId="29" fillId="0" borderId="0" xfId="29" applyNumberFormat="1" applyFont="1" applyFill="1"/>
    <xf numFmtId="0" fontId="5" fillId="0" borderId="0" xfId="28" applyFont="1"/>
    <xf numFmtId="177" fontId="29" fillId="0" borderId="0" xfId="29" applyNumberFormat="1" applyFont="1" applyFill="1" applyAlignment="1">
      <alignment vertical="center"/>
    </xf>
    <xf numFmtId="176" fontId="29" fillId="0" borderId="0" xfId="28" applyNumberFormat="1"/>
    <xf numFmtId="0" fontId="2" fillId="5" borderId="0" xfId="0" applyFont="1" applyFill="1"/>
    <xf numFmtId="0" fontId="2" fillId="5" borderId="0" xfId="0" applyFont="1" applyFill="1" applyAlignment="1">
      <alignment horizontal="center"/>
    </xf>
    <xf numFmtId="0" fontId="0" fillId="5" borderId="0" xfId="0" applyFill="1"/>
    <xf numFmtId="0" fontId="2" fillId="5" borderId="0" xfId="0" applyFont="1" applyFill="1" applyAlignment="1">
      <alignment horizontal="center" wrapText="1"/>
    </xf>
    <xf numFmtId="43" fontId="0" fillId="0" borderId="0" xfId="1" applyFont="1" applyBorder="1"/>
    <xf numFmtId="0" fontId="0" fillId="0" borderId="0" xfId="0" pivotButton="1"/>
    <xf numFmtId="10" fontId="0" fillId="0" borderId="0" xfId="0" applyNumberFormat="1"/>
    <xf numFmtId="43" fontId="2" fillId="0" borderId="0" xfId="1" applyFont="1" applyBorder="1"/>
    <xf numFmtId="43" fontId="2" fillId="0" borderId="17" xfId="1" applyFont="1" applyBorder="1" applyAlignment="1">
      <alignment horizontal="center"/>
    </xf>
    <xf numFmtId="0" fontId="28" fillId="0" borderId="0" xfId="30"/>
    <xf numFmtId="0" fontId="1" fillId="0" borderId="0" xfId="23" applyFont="1" applyAlignment="1"/>
    <xf numFmtId="3" fontId="1" fillId="0" borderId="0" xfId="24" applyFont="1"/>
    <xf numFmtId="4" fontId="1" fillId="0" borderId="0" xfId="25" applyFont="1"/>
    <xf numFmtId="15" fontId="1" fillId="0" borderId="0" xfId="26" quotePrefix="1" applyFont="1"/>
    <xf numFmtId="0" fontId="7" fillId="0" borderId="0" xfId="30" applyFont="1"/>
    <xf numFmtId="4" fontId="27" fillId="0" borderId="0" xfId="30" applyNumberFormat="1" applyFont="1"/>
    <xf numFmtId="164" fontId="0" fillId="0" borderId="1" xfId="0" applyNumberFormat="1" applyBorder="1"/>
    <xf numFmtId="43" fontId="0" fillId="6" borderId="0" xfId="1" applyFont="1" applyFill="1"/>
    <xf numFmtId="164" fontId="0" fillId="6" borderId="10" xfId="1" applyNumberFormat="1" applyFont="1" applyFill="1" applyBorder="1"/>
    <xf numFmtId="164" fontId="0" fillId="0" borderId="10" xfId="1" applyNumberFormat="1" applyFont="1" applyFill="1" applyBorder="1"/>
    <xf numFmtId="164" fontId="0" fillId="0" borderId="10" xfId="1" applyNumberFormat="1" applyFont="1" applyBorder="1"/>
    <xf numFmtId="164" fontId="2" fillId="0" borderId="1" xfId="0" applyNumberFormat="1" applyFont="1" applyBorder="1"/>
    <xf numFmtId="164" fontId="2" fillId="0" borderId="10" xfId="1" applyNumberFormat="1" applyFont="1" applyFill="1" applyBorder="1"/>
    <xf numFmtId="164" fontId="2" fillId="0" borderId="10" xfId="0" applyNumberFormat="1" applyFont="1" applyBorder="1"/>
    <xf numFmtId="164" fontId="7" fillId="0" borderId="0" xfId="1" applyNumberFormat="1" applyFont="1" applyFill="1" applyAlignment="1">
      <alignment horizontal="right"/>
    </xf>
    <xf numFmtId="164" fontId="2" fillId="0" borderId="10" xfId="1" applyNumberFormat="1" applyFont="1" applyBorder="1"/>
    <xf numFmtId="164" fontId="2" fillId="0" borderId="0" xfId="1" applyNumberFormat="1" applyFont="1"/>
    <xf numFmtId="164" fontId="2" fillId="0" borderId="1" xfId="1" applyNumberFormat="1" applyFont="1" applyBorder="1"/>
    <xf numFmtId="164" fontId="2" fillId="0" borderId="0" xfId="1" applyNumberFormat="1" applyFont="1" applyBorder="1"/>
    <xf numFmtId="0" fontId="34" fillId="0" borderId="0" xfId="31" applyFont="1"/>
    <xf numFmtId="0" fontId="0" fillId="10" borderId="0" xfId="0" applyFill="1" applyAlignment="1">
      <alignment horizontal="center"/>
    </xf>
    <xf numFmtId="0" fontId="0" fillId="0" borderId="0" xfId="0" quotePrefix="1"/>
    <xf numFmtId="0" fontId="0" fillId="0" borderId="0" xfId="1" quotePrefix="1" applyNumberFormat="1" applyFont="1"/>
    <xf numFmtId="0" fontId="0" fillId="11" borderId="14" xfId="0" applyFill="1" applyBorder="1" applyAlignment="1">
      <alignment horizontal="center"/>
    </xf>
    <xf numFmtId="0" fontId="0" fillId="11" borderId="16" xfId="0" applyFill="1" applyBorder="1" applyAlignment="1">
      <alignment horizontal="center"/>
    </xf>
    <xf numFmtId="0" fontId="0" fillId="0" borderId="0" xfId="1" applyNumberFormat="1" applyFont="1"/>
    <xf numFmtId="180" fontId="0" fillId="12" borderId="0" xfId="0" applyNumberFormat="1" applyFill="1" applyAlignment="1">
      <alignment horizontal="center"/>
    </xf>
    <xf numFmtId="164" fontId="0" fillId="12" borderId="0" xfId="1" applyNumberFormat="1" applyFont="1" applyFill="1" applyAlignment="1"/>
    <xf numFmtId="164" fontId="0" fillId="0" borderId="1" xfId="1" applyNumberFormat="1" applyFont="1" applyFill="1" applyBorder="1"/>
    <xf numFmtId="164" fontId="0" fillId="6" borderId="10" xfId="0" applyNumberFormat="1" applyFill="1" applyBorder="1"/>
    <xf numFmtId="10" fontId="0" fillId="6" borderId="0" xfId="0" applyNumberFormat="1" applyFill="1"/>
    <xf numFmtId="49" fontId="39" fillId="0" borderId="0" xfId="1" applyNumberFormat="1" applyFont="1" applyAlignment="1">
      <alignment horizontal="left"/>
    </xf>
    <xf numFmtId="49" fontId="39" fillId="0" borderId="0" xfId="0" applyNumberFormat="1" applyFont="1" applyAlignment="1">
      <alignment horizontal="left"/>
    </xf>
    <xf numFmtId="49" fontId="39" fillId="5" borderId="0" xfId="0" applyNumberFormat="1" applyFont="1" applyFill="1" applyAlignment="1">
      <alignment horizontal="left"/>
    </xf>
    <xf numFmtId="49" fontId="39" fillId="0" borderId="0" xfId="0" applyNumberFormat="1" applyFont="1" applyAlignment="1">
      <alignment horizontal="left" vertical="top" wrapText="1"/>
    </xf>
    <xf numFmtId="0" fontId="0" fillId="0" borderId="0" xfId="0" applyAlignment="1">
      <alignment vertical="top"/>
    </xf>
    <xf numFmtId="49" fontId="39" fillId="0" borderId="0" xfId="0" applyNumberFormat="1" applyFont="1" applyAlignment="1">
      <alignment horizontal="left" vertical="top"/>
    </xf>
    <xf numFmtId="43" fontId="5" fillId="0" borderId="0" xfId="29" applyFont="1" applyFill="1"/>
    <xf numFmtId="37" fontId="5" fillId="0" borderId="0" xfId="7" applyNumberFormat="1" applyAlignment="1">
      <alignment horizontal="center"/>
    </xf>
    <xf numFmtId="37" fontId="5" fillId="0" borderId="0" xfId="7" applyNumberFormat="1" applyAlignment="1">
      <alignment horizontal="center" wrapText="1"/>
    </xf>
    <xf numFmtId="0" fontId="5" fillId="0" borderId="12" xfId="7" applyBorder="1" applyAlignment="1">
      <alignment horizontal="center"/>
    </xf>
    <xf numFmtId="0" fontId="5" fillId="0" borderId="12" xfId="7" applyBorder="1" applyAlignment="1">
      <alignment horizontal="center" vertical="top"/>
    </xf>
    <xf numFmtId="37" fontId="5" fillId="0" borderId="12" xfId="7" applyNumberFormat="1" applyBorder="1" applyAlignment="1">
      <alignment horizontal="center" vertical="top"/>
    </xf>
    <xf numFmtId="37" fontId="5" fillId="0" borderId="0" xfId="7" applyNumberFormat="1" applyAlignment="1">
      <alignment horizontal="center" vertical="top" wrapText="1"/>
    </xf>
    <xf numFmtId="0" fontId="5" fillId="0" borderId="0" xfId="7" applyAlignment="1">
      <alignment horizontal="center" vertical="top"/>
    </xf>
    <xf numFmtId="164" fontId="5" fillId="0" borderId="0" xfId="29" quotePrefix="1" applyNumberFormat="1" applyFont="1" applyFill="1" applyAlignment="1">
      <alignment horizontal="center"/>
    </xf>
    <xf numFmtId="164" fontId="5" fillId="0" borderId="0" xfId="29" quotePrefix="1" applyNumberFormat="1" applyFont="1" applyFill="1" applyBorder="1" applyAlignment="1">
      <alignment horizontal="center"/>
    </xf>
    <xf numFmtId="37" fontId="5" fillId="0" borderId="0" xfId="29" quotePrefix="1" applyNumberFormat="1" applyFont="1" applyFill="1" applyBorder="1" applyAlignment="1">
      <alignment horizontal="center"/>
    </xf>
    <xf numFmtId="182" fontId="5" fillId="0" borderId="0" xfId="32" applyNumberFormat="1" applyFont="1" applyFill="1" applyBorder="1"/>
    <xf numFmtId="3" fontId="5" fillId="0" borderId="0" xfId="7" applyNumberFormat="1" applyAlignment="1">
      <alignment horizontal="right"/>
    </xf>
    <xf numFmtId="182" fontId="5" fillId="0" borderId="0" xfId="32" applyNumberFormat="1" applyFont="1" applyFill="1" applyBorder="1" applyAlignment="1">
      <alignment horizontal="right" vertical="center"/>
    </xf>
    <xf numFmtId="3" fontId="5" fillId="0" borderId="0" xfId="7" applyNumberFormat="1" applyAlignment="1">
      <alignment horizontal="right" vertical="center"/>
    </xf>
    <xf numFmtId="182" fontId="5" fillId="0" borderId="0" xfId="32" applyNumberFormat="1" applyFont="1" applyFill="1" applyBorder="1" applyAlignment="1">
      <alignment horizontal="right"/>
    </xf>
    <xf numFmtId="165" fontId="5" fillId="0" borderId="0" xfId="7" applyNumberFormat="1" applyAlignment="1">
      <alignment horizontal="right" vertical="center"/>
    </xf>
    <xf numFmtId="37" fontId="40" fillId="0" borderId="0" xfId="7" applyNumberFormat="1" applyFont="1" applyAlignment="1">
      <alignment horizontal="left"/>
    </xf>
    <xf numFmtId="164" fontId="5" fillId="0" borderId="0" xfId="29" applyNumberFormat="1" applyFont="1" applyFill="1" applyBorder="1" applyAlignment="1">
      <alignment horizontal="right"/>
    </xf>
    <xf numFmtId="43" fontId="5" fillId="0" borderId="0" xfId="29" applyFont="1" applyFill="1" applyBorder="1" applyAlignment="1">
      <alignment horizontal="right"/>
    </xf>
    <xf numFmtId="165" fontId="18" fillId="0" borderId="0" xfId="7" applyNumberFormat="1" applyFont="1" applyAlignment="1">
      <alignment horizontal="right"/>
    </xf>
    <xf numFmtId="0" fontId="5" fillId="0" borderId="0" xfId="7" applyAlignment="1">
      <alignment textRotation="180"/>
    </xf>
    <xf numFmtId="0" fontId="5" fillId="0" borderId="0" xfId="7" applyAlignment="1">
      <alignment horizontal="center" vertical="center" textRotation="180"/>
    </xf>
    <xf numFmtId="10" fontId="5" fillId="0" borderId="0" xfId="32" applyNumberFormat="1" applyFont="1" applyFill="1" applyBorder="1" applyAlignment="1">
      <alignment horizontal="right" vertical="center"/>
    </xf>
    <xf numFmtId="43" fontId="5" fillId="0" borderId="0" xfId="29" applyFont="1" applyFill="1" applyAlignment="1">
      <alignment horizontal="center" vertical="center"/>
    </xf>
    <xf numFmtId="0" fontId="5" fillId="0" borderId="13" xfId="7" applyBorder="1" applyAlignment="1">
      <alignment horizontal="left"/>
    </xf>
    <xf numFmtId="3" fontId="5" fillId="0" borderId="13" xfId="7" applyNumberFormat="1" applyBorder="1" applyAlignment="1">
      <alignment horizontal="left" vertical="center"/>
    </xf>
    <xf numFmtId="164" fontId="5" fillId="0" borderId="0" xfId="29" applyNumberFormat="1" applyFont="1" applyFill="1" applyBorder="1" applyAlignment="1">
      <alignment horizontal="right" vertical="center"/>
    </xf>
    <xf numFmtId="0" fontId="5" fillId="0" borderId="13" xfId="7" applyBorder="1" applyAlignment="1">
      <alignment horizontal="left" vertical="center"/>
    </xf>
    <xf numFmtId="3" fontId="5" fillId="0" borderId="0" xfId="7" applyNumberFormat="1" applyAlignment="1">
      <alignment horizontal="left" vertical="center"/>
    </xf>
    <xf numFmtId="37" fontId="5" fillId="0" borderId="0" xfId="7" applyNumberFormat="1" applyAlignment="1">
      <alignment horizontal="left"/>
    </xf>
    <xf numFmtId="37" fontId="5" fillId="0" borderId="13" xfId="7" applyNumberFormat="1" applyBorder="1" applyAlignment="1">
      <alignment horizontal="left"/>
    </xf>
    <xf numFmtId="37" fontId="5" fillId="0" borderId="13" xfId="7" applyNumberFormat="1" applyBorder="1" applyAlignment="1">
      <alignment horizontal="left" vertical="center"/>
    </xf>
    <xf numFmtId="183" fontId="5" fillId="0" borderId="0" xfId="7" applyNumberFormat="1" applyAlignment="1">
      <alignment horizontal="right"/>
    </xf>
    <xf numFmtId="164" fontId="5" fillId="0" borderId="0" xfId="29" applyNumberFormat="1" applyFont="1" applyFill="1"/>
    <xf numFmtId="164" fontId="5" fillId="0" borderId="0" xfId="7" applyNumberFormat="1"/>
    <xf numFmtId="3" fontId="5" fillId="0" borderId="12" xfId="7" applyNumberFormat="1" applyBorder="1" applyAlignment="1">
      <alignment horizontal="left" vertical="center"/>
    </xf>
    <xf numFmtId="3" fontId="5" fillId="0" borderId="1" xfId="7" applyNumberFormat="1" applyBorder="1" applyAlignment="1">
      <alignment horizontal="left" vertical="center"/>
    </xf>
    <xf numFmtId="182" fontId="5" fillId="0" borderId="0" xfId="32" applyNumberFormat="1" applyFont="1" applyFill="1" applyAlignment="1">
      <alignment horizontal="right"/>
    </xf>
    <xf numFmtId="165" fontId="18" fillId="0" borderId="0" xfId="7" applyNumberFormat="1" applyFont="1" applyAlignment="1">
      <alignment horizontal="right" vertical="center"/>
    </xf>
    <xf numFmtId="43" fontId="5" fillId="0" borderId="0" xfId="7" applyNumberFormat="1" applyAlignment="1">
      <alignment horizontal="left"/>
    </xf>
    <xf numFmtId="182" fontId="5" fillId="0" borderId="12" xfId="32" applyNumberFormat="1" applyFont="1" applyFill="1" applyBorder="1" applyAlignment="1">
      <alignment horizontal="right" vertical="center"/>
    </xf>
    <xf numFmtId="39" fontId="5" fillId="0" borderId="2" xfId="7" applyNumberFormat="1" applyBorder="1" applyAlignment="1">
      <alignment horizontal="right" vertical="center"/>
    </xf>
    <xf numFmtId="3" fontId="5" fillId="0" borderId="2" xfId="7" applyNumberFormat="1" applyBorder="1" applyAlignment="1">
      <alignment horizontal="left" vertical="center"/>
    </xf>
    <xf numFmtId="39" fontId="5" fillId="0" borderId="0" xfId="7" applyNumberFormat="1" applyAlignment="1">
      <alignment horizontal="center"/>
    </xf>
    <xf numFmtId="3" fontId="5" fillId="0" borderId="13" xfId="7" applyNumberFormat="1" applyBorder="1" applyAlignment="1">
      <alignment horizontal="left"/>
    </xf>
    <xf numFmtId="0" fontId="5" fillId="0" borderId="0" xfId="7" applyAlignment="1">
      <alignment horizontal="center" wrapText="1"/>
    </xf>
    <xf numFmtId="164" fontId="41" fillId="0" borderId="0" xfId="7" applyNumberFormat="1" applyFont="1"/>
    <xf numFmtId="0" fontId="5" fillId="0" borderId="0" xfId="7" applyAlignment="1">
      <alignment horizontal="center" vertical="center" wrapText="1"/>
    </xf>
    <xf numFmtId="37" fontId="18" fillId="0" borderId="1" xfId="7" applyNumberFormat="1" applyFont="1" applyBorder="1" applyAlignment="1">
      <alignment horizontal="right" vertical="center"/>
    </xf>
    <xf numFmtId="37" fontId="18" fillId="0" borderId="1" xfId="7" applyNumberFormat="1" applyFont="1" applyBorder="1" applyAlignment="1">
      <alignment horizontal="left" vertical="center"/>
    </xf>
    <xf numFmtId="164" fontId="5" fillId="0" borderId="0" xfId="29" applyNumberFormat="1" applyFont="1" applyFill="1" applyAlignment="1">
      <alignment horizontal="right"/>
    </xf>
    <xf numFmtId="3" fontId="18" fillId="0" borderId="0" xfId="7" applyNumberFormat="1" applyFont="1" applyAlignment="1">
      <alignment horizontal="left" vertical="center"/>
    </xf>
    <xf numFmtId="165" fontId="5" fillId="0" borderId="0" xfId="7" applyNumberFormat="1" applyAlignment="1">
      <alignment horizontal="right"/>
    </xf>
    <xf numFmtId="3" fontId="5" fillId="0" borderId="13" xfId="7" applyNumberFormat="1" applyBorder="1" applyAlignment="1">
      <alignment vertical="center"/>
    </xf>
    <xf numFmtId="3" fontId="5" fillId="0" borderId="13" xfId="7" applyNumberFormat="1" applyBorder="1" applyAlignment="1">
      <alignment horizontal="right" vertical="center"/>
    </xf>
    <xf numFmtId="164" fontId="5" fillId="0" borderId="0" xfId="29" applyNumberFormat="1" applyFont="1" applyFill="1" applyBorder="1" applyAlignment="1">
      <alignment vertical="center"/>
    </xf>
    <xf numFmtId="0" fontId="5" fillId="0" borderId="0" xfId="14" applyAlignment="1">
      <alignment horizontal="center"/>
    </xf>
    <xf numFmtId="0" fontId="5" fillId="0" borderId="0" xfId="14" applyAlignment="1">
      <alignment horizontal="center" wrapText="1"/>
    </xf>
    <xf numFmtId="7" fontId="5" fillId="0" borderId="0" xfId="20" applyNumberFormat="1" applyFont="1" applyFill="1" applyBorder="1"/>
    <xf numFmtId="164" fontId="5" fillId="0" borderId="0" xfId="29" applyNumberFormat="1" applyFont="1" applyFill="1" applyBorder="1"/>
    <xf numFmtId="49" fontId="5" fillId="0" borderId="0" xfId="14" applyNumberFormat="1" applyAlignment="1">
      <alignment horizontal="center" wrapText="1"/>
    </xf>
    <xf numFmtId="10" fontId="5" fillId="0" borderId="0" xfId="32" applyNumberFormat="1" applyFont="1" applyFill="1" applyBorder="1" applyAlignment="1">
      <alignment horizontal="right"/>
    </xf>
    <xf numFmtId="37" fontId="5" fillId="0" borderId="13" xfId="29" applyNumberFormat="1" applyFont="1" applyFill="1" applyBorder="1" applyAlignment="1">
      <alignment horizontal="right" vertical="center"/>
    </xf>
    <xf numFmtId="164" fontId="5" fillId="0" borderId="13" xfId="29" applyNumberFormat="1" applyFont="1" applyFill="1" applyBorder="1" applyAlignment="1">
      <alignment horizontal="left" vertical="center"/>
    </xf>
    <xf numFmtId="0" fontId="43" fillId="0" borderId="0" xfId="7" applyFont="1" applyAlignment="1">
      <alignment horizontal="center"/>
    </xf>
    <xf numFmtId="37" fontId="5" fillId="0" borderId="0" xfId="29" applyNumberFormat="1" applyFont="1" applyFill="1" applyBorder="1" applyAlignment="1">
      <alignment vertical="center"/>
    </xf>
    <xf numFmtId="181" fontId="18" fillId="0" borderId="0" xfId="29" applyNumberFormat="1" applyFont="1" applyFill="1" applyBorder="1" applyAlignment="1">
      <alignment horizontal="center" vertical="center"/>
    </xf>
    <xf numFmtId="164" fontId="5" fillId="0" borderId="0" xfId="29" applyNumberFormat="1" applyFont="1" applyFill="1" applyBorder="1" applyAlignment="1">
      <alignment horizontal="left" vertical="center"/>
    </xf>
    <xf numFmtId="182" fontId="5" fillId="0" borderId="0" xfId="32" applyNumberFormat="1" applyFont="1" applyFill="1" applyBorder="1" applyAlignment="1">
      <alignment vertical="center"/>
    </xf>
    <xf numFmtId="37" fontId="5" fillId="0" borderId="0" xfId="29" applyNumberFormat="1" applyFont="1" applyFill="1" applyBorder="1" applyAlignment="1">
      <alignment horizontal="right" vertical="center"/>
    </xf>
    <xf numFmtId="37" fontId="5" fillId="0" borderId="0" xfId="29" applyNumberFormat="1" applyFont="1" applyFill="1" applyAlignment="1">
      <alignment horizontal="right" vertical="center"/>
    </xf>
    <xf numFmtId="164" fontId="5" fillId="0" borderId="12" xfId="29" applyNumberFormat="1" applyFont="1" applyFill="1" applyBorder="1" applyAlignment="1">
      <alignment vertical="center"/>
    </xf>
    <xf numFmtId="37" fontId="5" fillId="0" borderId="12" xfId="29" applyNumberFormat="1" applyFont="1" applyFill="1" applyBorder="1" applyAlignment="1">
      <alignment horizontal="right" vertical="center"/>
    </xf>
    <xf numFmtId="164" fontId="5" fillId="0" borderId="12" xfId="29" applyNumberFormat="1" applyFont="1" applyFill="1" applyBorder="1" applyAlignment="1">
      <alignment horizontal="left" vertical="center"/>
    </xf>
    <xf numFmtId="164" fontId="5" fillId="0" borderId="10" xfId="29" applyNumberFormat="1" applyFont="1" applyFill="1" applyBorder="1" applyAlignment="1">
      <alignment vertical="center"/>
    </xf>
    <xf numFmtId="37" fontId="5" fillId="0" borderId="10" xfId="29" applyNumberFormat="1" applyFont="1" applyFill="1" applyBorder="1" applyAlignment="1">
      <alignment horizontal="right" vertical="center"/>
    </xf>
    <xf numFmtId="164" fontId="5" fillId="0" borderId="10" xfId="29" applyNumberFormat="1" applyFont="1" applyFill="1" applyBorder="1" applyAlignment="1">
      <alignment horizontal="left" vertical="center"/>
    </xf>
    <xf numFmtId="164" fontId="5" fillId="0" borderId="1" xfId="29" applyNumberFormat="1" applyFont="1" applyFill="1" applyBorder="1" applyAlignment="1">
      <alignment vertical="center"/>
    </xf>
    <xf numFmtId="37" fontId="5" fillId="0" borderId="1" xfId="29" applyNumberFormat="1" applyFont="1" applyFill="1" applyBorder="1" applyAlignment="1">
      <alignment horizontal="right" vertical="center"/>
    </xf>
    <xf numFmtId="164" fontId="5" fillId="0" borderId="1" xfId="29" applyNumberFormat="1" applyFont="1" applyFill="1" applyBorder="1" applyAlignment="1">
      <alignment horizontal="left" vertical="center"/>
    </xf>
    <xf numFmtId="37" fontId="5" fillId="0" borderId="0" xfId="14" applyNumberFormat="1"/>
    <xf numFmtId="37" fontId="5" fillId="0" borderId="0" xfId="7" quotePrefix="1" applyNumberFormat="1" applyAlignment="1">
      <alignment horizontal="center"/>
    </xf>
    <xf numFmtId="37" fontId="5" fillId="0" borderId="0" xfId="29" applyNumberFormat="1" applyFont="1" applyFill="1" applyAlignment="1">
      <alignment vertical="center"/>
    </xf>
    <xf numFmtId="0" fontId="5" fillId="0" borderId="0" xfId="7" applyAlignment="1">
      <alignment horizontal="right" vertical="center"/>
    </xf>
    <xf numFmtId="3" fontId="5" fillId="0" borderId="0" xfId="7" applyNumberFormat="1"/>
    <xf numFmtId="3" fontId="5" fillId="0" borderId="0" xfId="7" applyNumberFormat="1" applyAlignment="1">
      <alignment horizontal="left"/>
    </xf>
    <xf numFmtId="170" fontId="5" fillId="0" borderId="0" xfId="20" applyNumberFormat="1" applyFont="1" applyFill="1" applyBorder="1"/>
    <xf numFmtId="4" fontId="5" fillId="0" borderId="0" xfId="7" applyNumberFormat="1" applyAlignment="1">
      <alignment horizontal="left"/>
    </xf>
    <xf numFmtId="43" fontId="5" fillId="0" borderId="0" xfId="29" applyFont="1" applyFill="1" applyBorder="1"/>
    <xf numFmtId="4" fontId="5" fillId="0" borderId="0" xfId="7" applyNumberFormat="1"/>
    <xf numFmtId="3" fontId="18" fillId="0" borderId="0" xfId="7" applyNumberFormat="1" applyFont="1" applyAlignment="1">
      <alignment horizontal="right"/>
    </xf>
    <xf numFmtId="184" fontId="18" fillId="0" borderId="0" xfId="7" applyNumberFormat="1" applyFont="1"/>
    <xf numFmtId="185" fontId="5" fillId="0" borderId="0" xfId="7" applyNumberFormat="1"/>
    <xf numFmtId="186" fontId="5" fillId="0" borderId="0" xfId="7" applyNumberFormat="1"/>
    <xf numFmtId="187" fontId="5" fillId="0" borderId="0" xfId="7" applyNumberFormat="1"/>
    <xf numFmtId="4" fontId="5" fillId="0" borderId="0" xfId="7" applyNumberFormat="1" applyAlignment="1">
      <alignment horizontal="right"/>
    </xf>
    <xf numFmtId="164" fontId="0" fillId="6" borderId="0" xfId="1" applyNumberFormat="1" applyFont="1" applyFill="1"/>
    <xf numFmtId="164" fontId="7" fillId="6" borderId="0" xfId="1" applyNumberFormat="1" applyFont="1" applyFill="1"/>
    <xf numFmtId="0" fontId="0" fillId="0" borderId="29" xfId="0" applyBorder="1" applyAlignment="1">
      <alignment horizontal="left"/>
    </xf>
    <xf numFmtId="0" fontId="0" fillId="0" borderId="29" xfId="0" applyBorder="1"/>
    <xf numFmtId="43" fontId="0" fillId="0" borderId="10" xfId="0" applyNumberFormat="1" applyBorder="1"/>
    <xf numFmtId="0" fontId="2" fillId="14" borderId="0" xfId="0" applyFont="1" applyFill="1"/>
    <xf numFmtId="0" fontId="0" fillId="14" borderId="0" xfId="0" applyFill="1"/>
    <xf numFmtId="0" fontId="2" fillId="14" borderId="0" xfId="0" applyFont="1" applyFill="1" applyAlignment="1">
      <alignment horizontal="center"/>
    </xf>
    <xf numFmtId="164" fontId="0" fillId="14" borderId="0" xfId="1" applyNumberFormat="1" applyFont="1" applyFill="1"/>
    <xf numFmtId="43" fontId="0" fillId="14" borderId="0" xfId="0" applyNumberFormat="1" applyFill="1"/>
    <xf numFmtId="164" fontId="0" fillId="14" borderId="0" xfId="0" applyNumberFormat="1" applyFill="1"/>
    <xf numFmtId="0" fontId="0" fillId="14" borderId="0" xfId="0" applyFill="1" applyAlignment="1">
      <alignment horizontal="right"/>
    </xf>
    <xf numFmtId="0" fontId="2" fillId="0" borderId="29" xfId="0" applyFont="1" applyBorder="1" applyAlignment="1">
      <alignment horizontal="left"/>
    </xf>
    <xf numFmtId="164" fontId="0" fillId="6" borderId="1" xfId="1" applyNumberFormat="1" applyFont="1" applyFill="1" applyBorder="1"/>
    <xf numFmtId="43" fontId="0" fillId="0" borderId="29" xfId="0" applyNumberFormat="1" applyBorder="1"/>
    <xf numFmtId="43" fontId="0" fillId="0" borderId="29" xfId="1" applyFont="1" applyFill="1" applyBorder="1"/>
    <xf numFmtId="164" fontId="7" fillId="14" borderId="0" xfId="1" applyNumberFormat="1" applyFont="1" applyFill="1"/>
    <xf numFmtId="0" fontId="7" fillId="14" borderId="0" xfId="0" applyFont="1" applyFill="1"/>
    <xf numFmtId="164" fontId="7" fillId="14" borderId="0" xfId="0" applyNumberFormat="1" applyFont="1" applyFill="1"/>
    <xf numFmtId="164" fontId="7" fillId="14" borderId="0" xfId="0" applyNumberFormat="1" applyFont="1" applyFill="1" applyAlignment="1">
      <alignment horizontal="right"/>
    </xf>
    <xf numFmtId="0" fontId="5" fillId="0" borderId="0" xfId="31" applyAlignment="1">
      <alignment horizontal="center"/>
    </xf>
    <xf numFmtId="43" fontId="5" fillId="0" borderId="0" xfId="31" applyNumberFormat="1"/>
    <xf numFmtId="164" fontId="5" fillId="0" borderId="0" xfId="1" applyNumberFormat="1" applyFont="1" applyFill="1" applyBorder="1"/>
    <xf numFmtId="164" fontId="5" fillId="2" borderId="0" xfId="1" applyNumberFormat="1" applyFont="1" applyFill="1"/>
    <xf numFmtId="164" fontId="5" fillId="0" borderId="0" xfId="1" applyNumberFormat="1" applyFont="1"/>
    <xf numFmtId="0" fontId="5" fillId="0" borderId="0" xfId="31"/>
    <xf numFmtId="43" fontId="34" fillId="0" borderId="0" xfId="31" applyNumberFormat="1" applyFont="1"/>
    <xf numFmtId="0" fontId="34" fillId="0" borderId="0" xfId="31" applyFont="1" applyAlignment="1">
      <alignment horizontal="center"/>
    </xf>
    <xf numFmtId="43" fontId="34" fillId="0" borderId="0" xfId="31" applyNumberFormat="1" applyFont="1" applyAlignment="1">
      <alignment horizontal="center"/>
    </xf>
    <xf numFmtId="0" fontId="35" fillId="0" borderId="0" xfId="31" applyFont="1"/>
    <xf numFmtId="0" fontId="36" fillId="0" borderId="0" xfId="31" applyFont="1"/>
    <xf numFmtId="0" fontId="35" fillId="0" borderId="0" xfId="31" applyFont="1" applyAlignment="1">
      <alignment horizontal="center" vertical="center" wrapText="1"/>
    </xf>
    <xf numFmtId="0" fontId="18" fillId="0" borderId="0" xfId="31" applyFont="1" applyAlignment="1">
      <alignment horizontal="left" vertical="top"/>
    </xf>
    <xf numFmtId="180" fontId="18" fillId="0" borderId="17" xfId="31" quotePrefix="1" applyNumberFormat="1" applyFont="1" applyBorder="1" applyAlignment="1">
      <alignment horizontal="center" vertical="center" wrapText="1"/>
    </xf>
    <xf numFmtId="0" fontId="5" fillId="13" borderId="0" xfId="31" applyFill="1"/>
    <xf numFmtId="0" fontId="5" fillId="0" borderId="27" xfId="31" applyBorder="1" applyAlignment="1">
      <alignment horizontal="left"/>
    </xf>
    <xf numFmtId="0" fontId="5" fillId="0" borderId="18" xfId="31" applyBorder="1"/>
    <xf numFmtId="173" fontId="5" fillId="0" borderId="18" xfId="21" applyNumberFormat="1" applyFont="1" applyBorder="1" applyAlignment="1">
      <alignment horizontal="left" vertical="top"/>
    </xf>
    <xf numFmtId="173" fontId="5" fillId="0" borderId="0" xfId="21" applyNumberFormat="1" applyFont="1" applyBorder="1" applyAlignment="1">
      <alignment horizontal="left" vertical="top"/>
    </xf>
    <xf numFmtId="164" fontId="5" fillId="0" borderId="0" xfId="1" applyNumberFormat="1" applyFont="1" applyBorder="1" applyAlignment="1">
      <alignment horizontal="left" vertical="top"/>
    </xf>
    <xf numFmtId="164" fontId="5" fillId="0" borderId="0" xfId="1" applyNumberFormat="1" applyFont="1" applyAlignment="1" applyProtection="1">
      <alignment horizontal="left" vertical="top"/>
      <protection locked="0"/>
    </xf>
    <xf numFmtId="164" fontId="5" fillId="13" borderId="0" xfId="31" applyNumberFormat="1" applyFill="1" applyAlignment="1">
      <alignment horizontal="left" vertical="top"/>
    </xf>
    <xf numFmtId="164" fontId="5" fillId="0" borderId="0" xfId="31" applyNumberFormat="1"/>
    <xf numFmtId="164" fontId="5" fillId="0" borderId="0" xfId="1" applyNumberFormat="1" applyFont="1" applyFill="1" applyBorder="1" applyAlignment="1">
      <alignment horizontal="center" vertical="top"/>
    </xf>
    <xf numFmtId="164" fontId="5" fillId="0" borderId="0" xfId="29" applyNumberFormat="1" applyFont="1" applyFill="1" applyBorder="1" applyAlignment="1">
      <alignment horizontal="center" vertical="top"/>
    </xf>
    <xf numFmtId="0" fontId="5" fillId="0" borderId="20" xfId="31" applyBorder="1" applyAlignment="1">
      <alignment horizontal="left"/>
    </xf>
    <xf numFmtId="164" fontId="5" fillId="13" borderId="0" xfId="31" applyNumberFormat="1" applyFill="1"/>
    <xf numFmtId="164" fontId="18" fillId="0" borderId="0" xfId="1" applyNumberFormat="1" applyFont="1" applyBorder="1" applyAlignment="1">
      <alignment horizontal="left" vertical="top"/>
    </xf>
    <xf numFmtId="164" fontId="18" fillId="0" borderId="0" xfId="1" applyNumberFormat="1" applyFont="1" applyBorder="1" applyAlignment="1">
      <alignment horizontal="center" vertical="top"/>
    </xf>
    <xf numFmtId="0" fontId="18" fillId="0" borderId="0" xfId="31" applyFont="1" applyAlignment="1">
      <alignment horizontal="center" vertical="top"/>
    </xf>
    <xf numFmtId="0" fontId="5" fillId="0" borderId="28" xfId="31" applyBorder="1"/>
    <xf numFmtId="0" fontId="5" fillId="0" borderId="17" xfId="31" applyBorder="1" applyAlignment="1">
      <alignment horizontal="left" vertical="top"/>
    </xf>
    <xf numFmtId="0" fontId="18" fillId="0" borderId="17" xfId="31" applyFont="1" applyBorder="1" applyAlignment="1">
      <alignment horizontal="left" vertical="top"/>
    </xf>
    <xf numFmtId="164" fontId="5" fillId="0" borderId="17" xfId="1" applyNumberFormat="1" applyFont="1" applyFill="1" applyBorder="1" applyAlignment="1">
      <alignment vertical="top"/>
    </xf>
    <xf numFmtId="0" fontId="5" fillId="11" borderId="27" xfId="31" applyFill="1" applyBorder="1"/>
    <xf numFmtId="0" fontId="5" fillId="11" borderId="18" xfId="31" applyFill="1" applyBorder="1" applyAlignment="1">
      <alignment horizontal="left" vertical="top" wrapText="1"/>
    </xf>
    <xf numFmtId="164" fontId="5" fillId="11" borderId="18" xfId="1" applyNumberFormat="1" applyFont="1" applyFill="1" applyBorder="1" applyAlignment="1">
      <alignment horizontal="left" vertical="top" wrapText="1"/>
    </xf>
    <xf numFmtId="164" fontId="5" fillId="8" borderId="0" xfId="31" applyNumberFormat="1" applyFill="1"/>
    <xf numFmtId="0" fontId="18" fillId="0" borderId="17" xfId="31" applyFont="1" applyBorder="1" applyAlignment="1">
      <alignment horizontal="left"/>
    </xf>
    <xf numFmtId="164" fontId="18" fillId="0" borderId="17" xfId="1" applyNumberFormat="1" applyFont="1" applyBorder="1" applyAlignment="1">
      <alignment horizontal="left"/>
    </xf>
    <xf numFmtId="164" fontId="18" fillId="0" borderId="17" xfId="1" applyNumberFormat="1" applyFont="1" applyFill="1" applyBorder="1" applyAlignment="1">
      <alignment horizontal="left"/>
    </xf>
    <xf numFmtId="164" fontId="18" fillId="0" borderId="17" xfId="1" applyNumberFormat="1" applyFont="1" applyFill="1" applyBorder="1" applyAlignment="1">
      <alignment horizontal="center" wrapText="1"/>
    </xf>
    <xf numFmtId="164" fontId="5" fillId="0" borderId="17" xfId="1" applyNumberFormat="1" applyFont="1" applyFill="1" applyBorder="1" applyAlignment="1">
      <alignment horizontal="center" vertical="top"/>
    </xf>
    <xf numFmtId="0" fontId="5" fillId="0" borderId="17" xfId="31" applyBorder="1" applyAlignment="1">
      <alignment horizontal="center" vertical="top"/>
    </xf>
    <xf numFmtId="0" fontId="5" fillId="0" borderId="17" xfId="31" applyBorder="1"/>
    <xf numFmtId="0" fontId="5" fillId="0" borderId="18" xfId="31" applyBorder="1" applyAlignment="1">
      <alignment horizontal="left" vertical="top"/>
    </xf>
    <xf numFmtId="10" fontId="5" fillId="0" borderId="18" xfId="31" applyNumberFormat="1" applyBorder="1" applyAlignment="1">
      <alignment horizontal="left" vertical="top"/>
    </xf>
    <xf numFmtId="164" fontId="5" fillId="0" borderId="18" xfId="1" applyNumberFormat="1" applyFont="1" applyBorder="1" applyAlignment="1">
      <alignment horizontal="center" vertical="top"/>
    </xf>
    <xf numFmtId="0" fontId="5" fillId="0" borderId="0" xfId="31" applyAlignment="1">
      <alignment horizontal="left" vertical="top"/>
    </xf>
    <xf numFmtId="10" fontId="5" fillId="0" borderId="0" xfId="31" applyNumberFormat="1" applyAlignment="1">
      <alignment horizontal="left" vertical="top"/>
    </xf>
    <xf numFmtId="164" fontId="5" fillId="0" borderId="0" xfId="1" applyNumberFormat="1" applyFont="1" applyBorder="1" applyAlignment="1">
      <alignment horizontal="center" vertical="top"/>
    </xf>
    <xf numFmtId="164" fontId="5" fillId="0" borderId="17" xfId="1" applyNumberFormat="1" applyFont="1" applyBorder="1" applyAlignment="1">
      <alignment horizontal="center" vertical="top"/>
    </xf>
    <xf numFmtId="164" fontId="5" fillId="0" borderId="0" xfId="1" applyNumberFormat="1" applyFont="1" applyFill="1" applyBorder="1" applyAlignment="1">
      <alignment horizontal="left" vertical="top"/>
    </xf>
    <xf numFmtId="0" fontId="5" fillId="0" borderId="0" xfId="31" applyAlignment="1">
      <alignment horizontal="center" vertical="top"/>
    </xf>
    <xf numFmtId="164" fontId="5" fillId="0" borderId="0" xfId="1" applyNumberFormat="1" applyFont="1" applyAlignment="1">
      <alignment horizontal="center" vertical="top"/>
    </xf>
    <xf numFmtId="0" fontId="5" fillId="0" borderId="0" xfId="31" applyAlignment="1">
      <alignment horizontal="left" vertical="top" wrapText="1"/>
    </xf>
    <xf numFmtId="0" fontId="5" fillId="11" borderId="10" xfId="31" applyFill="1" applyBorder="1" applyAlignment="1">
      <alignment horizontal="left" vertical="top"/>
    </xf>
    <xf numFmtId="164" fontId="5" fillId="11" borderId="10" xfId="1" applyNumberFormat="1" applyFont="1" applyFill="1" applyBorder="1" applyAlignment="1">
      <alignment horizontal="left" vertical="top"/>
    </xf>
    <xf numFmtId="164" fontId="5" fillId="0" borderId="0" xfId="31" applyNumberFormat="1" applyAlignment="1">
      <alignment vertical="top"/>
    </xf>
    <xf numFmtId="164" fontId="18" fillId="0" borderId="0" xfId="1" applyNumberFormat="1" applyFont="1" applyAlignment="1">
      <alignment horizontal="left" vertical="top"/>
    </xf>
    <xf numFmtId="0" fontId="5" fillId="12" borderId="0" xfId="31" applyFill="1" applyAlignment="1">
      <alignment vertical="top"/>
    </xf>
    <xf numFmtId="164" fontId="5" fillId="11" borderId="18" xfId="1" applyNumberFormat="1" applyFont="1" applyFill="1" applyBorder="1" applyAlignment="1">
      <alignment vertical="top"/>
    </xf>
    <xf numFmtId="164" fontId="5" fillId="0" borderId="0" xfId="1" applyNumberFormat="1" applyFont="1" applyFill="1" applyAlignment="1">
      <alignment vertical="top"/>
    </xf>
    <xf numFmtId="0" fontId="5" fillId="0" borderId="0" xfId="31" applyAlignment="1">
      <alignment horizontal="left"/>
    </xf>
    <xf numFmtId="164" fontId="5" fillId="11" borderId="0" xfId="1" applyNumberFormat="1" applyFont="1" applyFill="1" applyBorder="1" applyAlignment="1">
      <alignment vertical="top"/>
    </xf>
    <xf numFmtId="0" fontId="5" fillId="0" borderId="17" xfId="31" applyBorder="1" applyAlignment="1">
      <alignment vertical="top"/>
    </xf>
    <xf numFmtId="164" fontId="5" fillId="0" borderId="17" xfId="1" applyNumberFormat="1" applyFont="1" applyBorder="1" applyAlignment="1">
      <alignment horizontal="left" vertical="top"/>
    </xf>
    <xf numFmtId="164" fontId="5" fillId="0" borderId="0" xfId="1" applyNumberFormat="1" applyFont="1" applyFill="1" applyBorder="1" applyAlignment="1">
      <alignment vertical="top"/>
    </xf>
    <xf numFmtId="37" fontId="5" fillId="0" borderId="0" xfId="29" applyNumberFormat="1" applyFont="1" applyFill="1" applyBorder="1" applyAlignment="1">
      <alignment vertical="top"/>
    </xf>
    <xf numFmtId="164" fontId="5" fillId="0" borderId="0" xfId="1" applyNumberFormat="1" applyFont="1" applyFill="1" applyAlignment="1">
      <alignment horizontal="left" vertical="top"/>
    </xf>
    <xf numFmtId="37" fontId="5" fillId="0" borderId="0" xfId="31" applyNumberFormat="1" applyAlignment="1">
      <alignment horizontal="right" vertical="top"/>
    </xf>
    <xf numFmtId="0" fontId="5" fillId="0" borderId="12" xfId="31" applyBorder="1" applyAlignment="1">
      <alignment horizontal="left" vertical="top"/>
    </xf>
    <xf numFmtId="164" fontId="5" fillId="0" borderId="12" xfId="1" applyNumberFormat="1" applyFont="1" applyBorder="1" applyAlignment="1">
      <alignment vertical="top"/>
    </xf>
    <xf numFmtId="164" fontId="5" fillId="0" borderId="12" xfId="31" applyNumberFormat="1" applyBorder="1" applyAlignment="1">
      <alignment vertical="top"/>
    </xf>
    <xf numFmtId="0" fontId="5" fillId="0" borderId="12" xfId="31" applyBorder="1" applyAlignment="1">
      <alignment vertical="top"/>
    </xf>
    <xf numFmtId="37" fontId="5" fillId="0" borderId="12" xfId="31" applyNumberFormat="1" applyBorder="1" applyAlignment="1">
      <alignment vertical="top"/>
    </xf>
    <xf numFmtId="37" fontId="5" fillId="0" borderId="12" xfId="31" applyNumberFormat="1" applyBorder="1" applyAlignment="1">
      <alignment horizontal="right" vertical="top"/>
    </xf>
    <xf numFmtId="0" fontId="18" fillId="0" borderId="0" xfId="31" applyFont="1" applyAlignment="1">
      <alignment vertical="top"/>
    </xf>
    <xf numFmtId="37" fontId="18" fillId="0" borderId="0" xfId="31" applyNumberFormat="1" applyFont="1" applyAlignment="1">
      <alignment vertical="top"/>
    </xf>
    <xf numFmtId="0" fontId="18" fillId="0" borderId="0" xfId="31" applyFont="1" applyAlignment="1">
      <alignment horizontal="right" vertical="top"/>
    </xf>
    <xf numFmtId="164" fontId="18" fillId="0" borderId="0" xfId="1" applyNumberFormat="1" applyFont="1" applyAlignment="1">
      <alignment horizontal="right" vertical="top"/>
    </xf>
    <xf numFmtId="164" fontId="18" fillId="0" borderId="0" xfId="1" applyNumberFormat="1" applyFont="1" applyAlignment="1">
      <alignment horizontal="center" vertical="top"/>
    </xf>
    <xf numFmtId="37" fontId="5" fillId="0" borderId="0" xfId="31" applyNumberFormat="1" applyAlignment="1">
      <alignment vertical="top"/>
    </xf>
    <xf numFmtId="0" fontId="5" fillId="0" borderId="0" xfId="31" applyAlignment="1">
      <alignment vertical="top"/>
    </xf>
    <xf numFmtId="9" fontId="5" fillId="0" borderId="0" xfId="21" applyFont="1" applyFill="1" applyAlignment="1">
      <alignment vertical="top"/>
    </xf>
    <xf numFmtId="180" fontId="18" fillId="4" borderId="12" xfId="31" applyNumberFormat="1" applyFont="1" applyFill="1" applyBorder="1" applyAlignment="1">
      <alignment horizontal="center"/>
    </xf>
    <xf numFmtId="0" fontId="5" fillId="2" borderId="0" xfId="31" applyFill="1"/>
    <xf numFmtId="0" fontId="18" fillId="2" borderId="0" xfId="31" applyFont="1" applyFill="1"/>
    <xf numFmtId="164" fontId="5" fillId="0" borderId="12" xfId="31" applyNumberFormat="1" applyBorder="1"/>
    <xf numFmtId="0" fontId="18" fillId="0" borderId="23" xfId="31" applyFont="1" applyBorder="1" applyAlignment="1">
      <alignment vertical="top"/>
    </xf>
    <xf numFmtId="0" fontId="18" fillId="0" borderId="18" xfId="31" applyFont="1" applyBorder="1" applyAlignment="1">
      <alignment vertical="top"/>
    </xf>
    <xf numFmtId="172" fontId="37" fillId="0" borderId="18" xfId="32" applyNumberFormat="1" applyFont="1" applyBorder="1" applyAlignment="1">
      <alignment horizontal="right" vertical="center" wrapText="1"/>
    </xf>
    <xf numFmtId="0" fontId="38" fillId="0" borderId="18" xfId="0" applyFont="1" applyBorder="1" applyAlignment="1">
      <alignment horizontal="right"/>
    </xf>
    <xf numFmtId="171" fontId="37" fillId="0" borderId="18" xfId="0" applyNumberFormat="1" applyFont="1" applyBorder="1"/>
    <xf numFmtId="0" fontId="37" fillId="0" borderId="18" xfId="0" applyFont="1" applyBorder="1"/>
    <xf numFmtId="0" fontId="37" fillId="0" borderId="24" xfId="0" applyFont="1" applyBorder="1"/>
    <xf numFmtId="172" fontId="5" fillId="0" borderId="0" xfId="31" applyNumberFormat="1"/>
    <xf numFmtId="0" fontId="18" fillId="0" borderId="21" xfId="31" applyFont="1" applyBorder="1" applyAlignment="1">
      <alignment vertical="top"/>
    </xf>
    <xf numFmtId="10" fontId="37" fillId="0" borderId="0" xfId="32" applyNumberFormat="1" applyFont="1" applyBorder="1" applyAlignment="1">
      <alignment horizontal="right" vertical="center" wrapText="1"/>
    </xf>
    <xf numFmtId="171" fontId="37" fillId="0" borderId="0" xfId="0" applyNumberFormat="1" applyFont="1"/>
    <xf numFmtId="0" fontId="37" fillId="0" borderId="0" xfId="0" applyFont="1"/>
    <xf numFmtId="0" fontId="37" fillId="0" borderId="22" xfId="0" applyFont="1" applyBorder="1"/>
    <xf numFmtId="172" fontId="37" fillId="0" borderId="0" xfId="32" applyNumberFormat="1" applyFont="1" applyBorder="1" applyAlignment="1">
      <alignment horizontal="right" vertical="center" wrapText="1"/>
    </xf>
    <xf numFmtId="181" fontId="37" fillId="0" borderId="0" xfId="33" applyNumberFormat="1" applyFont="1" applyBorder="1" applyAlignment="1">
      <alignment horizontal="right" vertical="center" wrapText="1"/>
    </xf>
    <xf numFmtId="181" fontId="37" fillId="0" borderId="22" xfId="33" applyNumberFormat="1" applyFont="1" applyBorder="1" applyAlignment="1">
      <alignment horizontal="right" vertical="center" wrapText="1"/>
    </xf>
    <xf numFmtId="172" fontId="37" fillId="0" borderId="22" xfId="32" applyNumberFormat="1" applyFont="1" applyBorder="1" applyAlignment="1">
      <alignment horizontal="right" vertical="center" wrapText="1"/>
    </xf>
    <xf numFmtId="0" fontId="38" fillId="0" borderId="25" xfId="0" applyFont="1" applyBorder="1"/>
    <xf numFmtId="0" fontId="38" fillId="0" borderId="17" xfId="0" applyFont="1" applyBorder="1"/>
    <xf numFmtId="9" fontId="37" fillId="0" borderId="17" xfId="21" applyFont="1" applyBorder="1"/>
    <xf numFmtId="9" fontId="38" fillId="0" borderId="17" xfId="21" applyFont="1" applyBorder="1" applyAlignment="1">
      <alignment horizontal="right"/>
    </xf>
    <xf numFmtId="171" fontId="37" fillId="0" borderId="17" xfId="0" applyNumberFormat="1" applyFont="1" applyBorder="1"/>
    <xf numFmtId="0" fontId="37" fillId="0" borderId="17" xfId="0" applyFont="1" applyBorder="1"/>
    <xf numFmtId="0" fontId="37" fillId="0" borderId="26" xfId="0" applyFont="1" applyBorder="1"/>
    <xf numFmtId="0" fontId="38" fillId="0" borderId="29" xfId="0" applyFont="1" applyBorder="1" applyAlignment="1">
      <alignment vertical="center" wrapText="1"/>
    </xf>
    <xf numFmtId="172" fontId="37" fillId="0" borderId="29" xfId="32" applyNumberFormat="1" applyFont="1" applyBorder="1" applyAlignment="1">
      <alignment horizontal="right" vertical="center" wrapText="1"/>
    </xf>
    <xf numFmtId="172" fontId="37" fillId="0" borderId="0" xfId="0" applyNumberFormat="1" applyFont="1"/>
    <xf numFmtId="0" fontId="38" fillId="0" borderId="11" xfId="0" applyFont="1" applyBorder="1" applyAlignment="1">
      <alignment vertical="center" wrapText="1"/>
    </xf>
    <xf numFmtId="0" fontId="38" fillId="0" borderId="30" xfId="0" applyFont="1" applyBorder="1" applyAlignment="1">
      <alignment vertical="center" wrapText="1"/>
    </xf>
    <xf numFmtId="172" fontId="37" fillId="0" borderId="30" xfId="32" applyNumberFormat="1" applyFont="1" applyBorder="1" applyAlignment="1">
      <alignment horizontal="right" vertical="center" wrapText="1"/>
    </xf>
    <xf numFmtId="173" fontId="5" fillId="10" borderId="0" xfId="21" applyNumberFormat="1" applyFont="1" applyFill="1" applyBorder="1" applyAlignment="1">
      <alignment horizontal="left" vertical="top"/>
    </xf>
    <xf numFmtId="164" fontId="5" fillId="10" borderId="0" xfId="1" applyNumberFormat="1" applyFont="1" applyFill="1" applyBorder="1" applyAlignment="1">
      <alignment horizontal="left" vertical="top"/>
    </xf>
    <xf numFmtId="164" fontId="5" fillId="10" borderId="18" xfId="1" applyNumberFormat="1" applyFont="1" applyFill="1" applyBorder="1" applyAlignment="1">
      <alignment horizontal="center" vertical="top"/>
    </xf>
    <xf numFmtId="164" fontId="5" fillId="10" borderId="18" xfId="1" applyNumberFormat="1" applyFont="1" applyFill="1" applyBorder="1" applyAlignment="1">
      <alignment vertical="top"/>
    </xf>
    <xf numFmtId="0" fontId="38" fillId="0" borderId="0" xfId="0" applyFont="1" applyAlignment="1">
      <alignment horizontal="right"/>
    </xf>
    <xf numFmtId="0" fontId="37" fillId="0" borderId="31" xfId="0" applyFont="1" applyBorder="1" applyAlignment="1">
      <alignment vertical="center" wrapText="1"/>
    </xf>
    <xf numFmtId="10" fontId="37" fillId="0" borderId="30" xfId="32" applyNumberFormat="1" applyFont="1" applyBorder="1" applyAlignment="1">
      <alignment horizontal="right" vertical="center" wrapText="1"/>
    </xf>
    <xf numFmtId="181" fontId="37" fillId="0" borderId="30" xfId="33" applyNumberFormat="1" applyFont="1" applyBorder="1" applyAlignment="1">
      <alignment horizontal="right" vertical="center" wrapText="1"/>
    </xf>
    <xf numFmtId="0" fontId="37" fillId="11" borderId="0" xfId="0" applyFont="1" applyFill="1"/>
    <xf numFmtId="181" fontId="37" fillId="0" borderId="29" xfId="33" applyNumberFormat="1" applyFont="1" applyBorder="1" applyAlignment="1">
      <alignment horizontal="right" vertical="center" wrapText="1"/>
    </xf>
    <xf numFmtId="9" fontId="37" fillId="0" borderId="0" xfId="21" applyFont="1"/>
    <xf numFmtId="9" fontId="38" fillId="0" borderId="0" xfId="21" applyFont="1" applyAlignment="1">
      <alignment horizontal="right"/>
    </xf>
    <xf numFmtId="0" fontId="38" fillId="0" borderId="32" xfId="0" applyFont="1" applyBorder="1" applyAlignment="1">
      <alignment vertical="center" wrapText="1"/>
    </xf>
    <xf numFmtId="172" fontId="37" fillId="0" borderId="33" xfId="32" applyNumberFormat="1" applyFont="1" applyBorder="1" applyAlignment="1">
      <alignment horizontal="right" vertical="center" wrapText="1"/>
    </xf>
    <xf numFmtId="0" fontId="38" fillId="0" borderId="0" xfId="0" applyFont="1" applyAlignment="1">
      <alignment vertical="center" wrapText="1"/>
    </xf>
    <xf numFmtId="0" fontId="38" fillId="0" borderId="31" xfId="0" applyFont="1" applyBorder="1" applyAlignment="1">
      <alignment vertical="center" wrapText="1"/>
    </xf>
    <xf numFmtId="172" fontId="37" fillId="0" borderId="31" xfId="32" applyNumberFormat="1" applyFont="1" applyBorder="1" applyAlignment="1">
      <alignment horizontal="right" vertical="center" wrapText="1"/>
    </xf>
    <xf numFmtId="172" fontId="37" fillId="0" borderId="34" xfId="32" applyNumberFormat="1" applyFont="1" applyBorder="1" applyAlignment="1">
      <alignment horizontal="right" vertical="center" wrapText="1"/>
    </xf>
    <xf numFmtId="43" fontId="0" fillId="0" borderId="15" xfId="0" applyNumberFormat="1" applyBorder="1"/>
    <xf numFmtId="43" fontId="2" fillId="8" borderId="1" xfId="1" applyFont="1" applyFill="1" applyBorder="1"/>
    <xf numFmtId="43" fontId="2" fillId="0" borderId="1" xfId="1" applyFont="1" applyBorder="1"/>
    <xf numFmtId="43" fontId="2" fillId="8" borderId="0" xfId="0" applyNumberFormat="1" applyFont="1" applyFill="1"/>
    <xf numFmtId="0" fontId="2" fillId="8" borderId="0" xfId="0" applyFont="1" applyFill="1"/>
    <xf numFmtId="0" fontId="0" fillId="0" borderId="0" xfId="0" applyAlignment="1">
      <alignment horizontal="left" vertical="top" wrapText="1"/>
    </xf>
    <xf numFmtId="0" fontId="13" fillId="0" borderId="0" xfId="16" applyFont="1" applyAlignment="1">
      <alignment horizontal="center"/>
    </xf>
    <xf numFmtId="49" fontId="13" fillId="0" borderId="0" xfId="16" applyNumberFormat="1" applyFont="1" applyAlignment="1">
      <alignment horizontal="center"/>
    </xf>
    <xf numFmtId="0" fontId="6" fillId="0" borderId="9" xfId="16" applyFont="1" applyBorder="1" applyAlignment="1">
      <alignment horizontal="right"/>
    </xf>
    <xf numFmtId="0" fontId="6" fillId="0" borderId="10" xfId="16" applyFont="1" applyBorder="1" applyAlignment="1">
      <alignment horizontal="right"/>
    </xf>
    <xf numFmtId="0" fontId="9" fillId="0" borderId="4" xfId="0" applyFont="1" applyBorder="1" applyAlignment="1">
      <alignment horizontal="center" wrapText="1"/>
    </xf>
    <xf numFmtId="0" fontId="9" fillId="0" borderId="7" xfId="0" applyFont="1" applyBorder="1" applyAlignment="1">
      <alignment horizontal="center" wrapText="1"/>
    </xf>
    <xf numFmtId="0" fontId="9" fillId="0" borderId="0" xfId="0" applyFont="1" applyAlignment="1">
      <alignment wrapText="1"/>
    </xf>
    <xf numFmtId="0" fontId="8" fillId="0" borderId="0" xfId="0" applyFont="1"/>
    <xf numFmtId="0" fontId="9" fillId="0" borderId="0" xfId="0" applyFont="1" applyAlignment="1">
      <alignment horizontal="right" wrapText="1"/>
    </xf>
    <xf numFmtId="0" fontId="10" fillId="0" borderId="0" xfId="0" applyFont="1" applyAlignment="1">
      <alignment horizontal="center" wrapText="1"/>
    </xf>
    <xf numFmtId="0" fontId="11" fillId="0" borderId="0" xfId="0" applyFont="1"/>
    <xf numFmtId="0" fontId="9" fillId="0" borderId="3" xfId="0" applyFont="1" applyBorder="1" applyAlignment="1">
      <alignment horizontal="center" wrapText="1"/>
    </xf>
    <xf numFmtId="49" fontId="13" fillId="0" borderId="0" xfId="7" applyNumberFormat="1" applyFont="1" applyAlignment="1">
      <alignment horizontal="center" wrapText="1"/>
    </xf>
    <xf numFmtId="0" fontId="5" fillId="0" borderId="0" xfId="7" applyAlignment="1">
      <alignment horizontal="left"/>
    </xf>
    <xf numFmtId="0" fontId="2" fillId="0" borderId="29" xfId="0" applyFont="1" applyBorder="1" applyAlignment="1">
      <alignment horizontal="left" vertical="top" wrapText="1"/>
    </xf>
    <xf numFmtId="0" fontId="0" fillId="0" borderId="9" xfId="0" applyBorder="1" applyAlignment="1">
      <alignment horizontal="left"/>
    </xf>
    <xf numFmtId="0" fontId="0" fillId="0" borderId="11" xfId="0" applyBorder="1" applyAlignment="1">
      <alignment horizontal="left"/>
    </xf>
    <xf numFmtId="0" fontId="0" fillId="0" borderId="9" xfId="0" applyBorder="1" applyAlignment="1">
      <alignment horizontal="center"/>
    </xf>
    <xf numFmtId="0" fontId="0" fillId="0" borderId="11" xfId="0" applyBorder="1" applyAlignment="1">
      <alignment horizontal="center"/>
    </xf>
    <xf numFmtId="0" fontId="2" fillId="5" borderId="14" xfId="0" applyFont="1" applyFill="1" applyBorder="1" applyAlignment="1">
      <alignment horizontal="center"/>
    </xf>
    <xf numFmtId="0" fontId="2" fillId="5" borderId="15" xfId="0" applyFont="1" applyFill="1" applyBorder="1" applyAlignment="1">
      <alignment horizontal="center"/>
    </xf>
    <xf numFmtId="0" fontId="2" fillId="5" borderId="16" xfId="0" applyFont="1" applyFill="1" applyBorder="1" applyAlignment="1">
      <alignment horizontal="center"/>
    </xf>
    <xf numFmtId="0" fontId="2" fillId="14" borderId="0" xfId="0" applyFont="1" applyFill="1" applyAlignment="1">
      <alignment horizontal="center"/>
    </xf>
    <xf numFmtId="0" fontId="2" fillId="0" borderId="9" xfId="0" applyFont="1" applyBorder="1" applyAlignment="1">
      <alignment horizontal="center"/>
    </xf>
    <xf numFmtId="0" fontId="2" fillId="0" borderId="11" xfId="0" applyFont="1" applyBorder="1" applyAlignment="1">
      <alignment horizontal="center"/>
    </xf>
    <xf numFmtId="0" fontId="2" fillId="9" borderId="0" xfId="0" applyFont="1" applyFill="1" applyAlignment="1">
      <alignment horizontal="center" wrapText="1"/>
    </xf>
    <xf numFmtId="0" fontId="5" fillId="0" borderId="0" xfId="31" applyAlignment="1">
      <alignment horizontal="center"/>
    </xf>
    <xf numFmtId="0" fontId="12" fillId="8" borderId="0" xfId="0" applyFont="1" applyFill="1" applyAlignment="1">
      <alignment vertical="center" wrapText="1"/>
    </xf>
    <xf numFmtId="172" fontId="37" fillId="8" borderId="0" xfId="0" applyNumberFormat="1" applyFont="1" applyFill="1"/>
    <xf numFmtId="0" fontId="37" fillId="4" borderId="0" xfId="0" applyFont="1" applyFill="1" applyAlignment="1">
      <alignment horizontal="center"/>
    </xf>
    <xf numFmtId="0" fontId="38" fillId="4" borderId="0" xfId="0" applyFont="1" applyFill="1" applyAlignment="1">
      <alignment horizontal="center"/>
    </xf>
    <xf numFmtId="171" fontId="37" fillId="4" borderId="0" xfId="0" applyNumberFormat="1" applyFont="1" applyFill="1" applyAlignment="1">
      <alignment horizontal="center"/>
    </xf>
  </cellXfs>
  <cellStyles count="34">
    <cellStyle name="Comma" xfId="1" builtinId="3"/>
    <cellStyle name="Comma 2" xfId="3" xr:uid="{3520CE7C-03C8-4CB5-8E70-B2D4FA10E2B9}"/>
    <cellStyle name="Comma 2 2 2" xfId="29" xr:uid="{4D4723BE-55C5-4A8B-98B3-1B0B154257C1}"/>
    <cellStyle name="Comma 27" xfId="9" xr:uid="{2B43FD72-F035-47CF-9C64-F384EC4BC592}"/>
    <cellStyle name="Comma 3 2 2" xfId="33" xr:uid="{94FF494B-0F76-4626-82BC-0ED377C4D783}"/>
    <cellStyle name="Currency 2" xfId="5" xr:uid="{3C29AEE8-0A7B-4677-8C9B-833F140F0D0E}"/>
    <cellStyle name="Currency 2 2" xfId="19" xr:uid="{1A59DB6E-EB29-481F-B04A-CC83F84A721E}"/>
    <cellStyle name="Currency 3" xfId="12" xr:uid="{68918AF5-F5CB-425E-A800-2D686DD7D823}"/>
    <cellStyle name="Currency 36" xfId="20" xr:uid="{C11D4019-B00C-4142-A347-6E07DA566A29}"/>
    <cellStyle name="Currency 4" xfId="6" xr:uid="{8C12011E-CA16-470A-8BC0-0BA212997541}"/>
    <cellStyle name="Currency 40" xfId="8" xr:uid="{92368DD7-F353-4AA7-9269-8AE3A9D8EA35}"/>
    <cellStyle name="Normal" xfId="0" builtinId="0"/>
    <cellStyle name="Normal 132 2" xfId="7" xr:uid="{F4BAB22A-49F6-416D-A55B-52536595B2A1}"/>
    <cellStyle name="Normal 133" xfId="16" xr:uid="{46AA58AC-2535-4AA4-900F-5D78AB2F7DA2}"/>
    <cellStyle name="Normal 2" xfId="4" xr:uid="{90B06BE0-55DB-4EFE-AE29-C35ACD660370}"/>
    <cellStyle name="Normal 2 2" xfId="17" xr:uid="{635E9EE2-0C7A-4BB6-AFE1-2D29BA7ABB9D}"/>
    <cellStyle name="Normal 2 2 2" xfId="28" xr:uid="{A10C3D38-4429-4A70-8D13-13B974E9ACDE}"/>
    <cellStyle name="Normal 2 2 2 2" xfId="31" xr:uid="{C69276AD-50C0-43E2-A7B2-894DF9047154}"/>
    <cellStyle name="Normal 2 3" xfId="14" xr:uid="{21FAE3EE-6510-4838-B756-E94C2B3410DE}"/>
    <cellStyle name="Normal 2 4" xfId="30" xr:uid="{374C3623-8602-4E59-9FC7-C6722CF6F61B}"/>
    <cellStyle name="Normal 3" xfId="10" xr:uid="{F7F2DAE6-9ABD-449D-9042-CA274B9DE6C4}"/>
    <cellStyle name="Normal 3 8" xfId="27" xr:uid="{813C993E-A9FE-44A7-89E0-92229351844F}"/>
    <cellStyle name="Normal 4" xfId="2" xr:uid="{936E9BCD-8D8C-49CF-9E86-D43E282FBE9D}"/>
    <cellStyle name="Normal 5" xfId="18" xr:uid="{BF75C5F4-4869-4146-9556-A57E5ABFA094}"/>
    <cellStyle name="Percent" xfId="21" builtinId="5"/>
    <cellStyle name="Percent 2" xfId="11" xr:uid="{36E1FB9B-D8D0-4B01-B178-FB4C2150FF51}"/>
    <cellStyle name="Percent 2 2 2 2 2" xfId="32" xr:uid="{5C6CBE37-85D1-40FC-B559-2F1400791642}"/>
    <cellStyle name="Percent 3" xfId="13" xr:uid="{93435232-B301-476B-8E9F-0EB0C373A914}"/>
    <cellStyle name="PSChar" xfId="23" xr:uid="{3F8849D1-8413-4C93-B89F-C66939B01063}"/>
    <cellStyle name="PSDate" xfId="26" xr:uid="{8A4913BB-D278-4DB4-ABC9-D4BD9FF2DDFE}"/>
    <cellStyle name="PSDec" xfId="25" xr:uid="{BB08447B-030E-4CCE-B3BC-868D582475CD}"/>
    <cellStyle name="PSHeading" xfId="22" xr:uid="{D7BA34C6-04C1-40F8-BD57-859FEFA57C9E}"/>
    <cellStyle name="PSInt" xfId="24" xr:uid="{8F4D5DA3-0975-426B-B36E-9BDD4DF24CEB}"/>
    <cellStyle name="Table (Normal)" xfId="15" xr:uid="{C27BBA8E-A4BD-4315-930D-7F963B6E4B98}"/>
  </cellStyles>
  <dxfs count="1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7</xdr:row>
      <xdr:rowOff>0</xdr:rowOff>
    </xdr:from>
    <xdr:to>
      <xdr:col>25</xdr:col>
      <xdr:colOff>0</xdr:colOff>
      <xdr:row>37</xdr:row>
      <xdr:rowOff>88752</xdr:rowOff>
    </xdr:to>
    <xdr:pic>
      <xdr:nvPicPr>
        <xdr:cNvPr id="2" name="Picture 1">
          <a:extLst>
            <a:ext uri="{FF2B5EF4-FFF2-40B4-BE49-F238E27FC236}">
              <a16:creationId xmlns:a16="http://schemas.microsoft.com/office/drawing/2014/main" id="{49AE02B1-E106-4514-9455-6E22286104F7}"/>
            </a:ext>
          </a:extLst>
        </xdr:cNvPr>
        <xdr:cNvPicPr>
          <a:picLocks noChangeAspect="1"/>
        </xdr:cNvPicPr>
      </xdr:nvPicPr>
      <xdr:blipFill>
        <a:blip xmlns:r="http://schemas.openxmlformats.org/officeDocument/2006/relationships" r:embed="rId1"/>
        <a:stretch>
          <a:fillRect/>
        </a:stretch>
      </xdr:blipFill>
      <xdr:spPr>
        <a:xfrm>
          <a:off x="11610975" y="1628775"/>
          <a:ext cx="3486150" cy="5879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5</xdr:row>
      <xdr:rowOff>0</xdr:rowOff>
    </xdr:from>
    <xdr:to>
      <xdr:col>17</xdr:col>
      <xdr:colOff>417767</xdr:colOff>
      <xdr:row>10</xdr:row>
      <xdr:rowOff>10502</xdr:rowOff>
    </xdr:to>
    <xdr:pic>
      <xdr:nvPicPr>
        <xdr:cNvPr id="2" name="Picture 1">
          <a:extLst>
            <a:ext uri="{FF2B5EF4-FFF2-40B4-BE49-F238E27FC236}">
              <a16:creationId xmlns:a16="http://schemas.microsoft.com/office/drawing/2014/main" id="{A35913B2-A5BC-4831-8A81-A93D3BD46100}"/>
            </a:ext>
          </a:extLst>
        </xdr:cNvPr>
        <xdr:cNvPicPr>
          <a:picLocks noChangeAspect="1"/>
        </xdr:cNvPicPr>
      </xdr:nvPicPr>
      <xdr:blipFill>
        <a:blip xmlns:r="http://schemas.openxmlformats.org/officeDocument/2006/relationships" r:embed="rId1"/>
        <a:stretch>
          <a:fillRect/>
        </a:stretch>
      </xdr:blipFill>
      <xdr:spPr>
        <a:xfrm>
          <a:off x="7258050" y="952500"/>
          <a:ext cx="3903917" cy="10963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266</xdr:row>
      <xdr:rowOff>66675</xdr:rowOff>
    </xdr:from>
    <xdr:to>
      <xdr:col>5</xdr:col>
      <xdr:colOff>765301</xdr:colOff>
      <xdr:row>281</xdr:row>
      <xdr:rowOff>19050</xdr:rowOff>
    </xdr:to>
    <xdr:pic>
      <xdr:nvPicPr>
        <xdr:cNvPr id="3" name="Picture 2">
          <a:extLst>
            <a:ext uri="{FF2B5EF4-FFF2-40B4-BE49-F238E27FC236}">
              <a16:creationId xmlns:a16="http://schemas.microsoft.com/office/drawing/2014/main" id="{E7AE8BDA-AA46-4985-1530-454E1416231F}"/>
            </a:ext>
          </a:extLst>
        </xdr:cNvPr>
        <xdr:cNvPicPr>
          <a:picLocks noChangeAspect="1"/>
        </xdr:cNvPicPr>
      </xdr:nvPicPr>
      <xdr:blipFill rotWithShape="1">
        <a:blip xmlns:r="http://schemas.openxmlformats.org/officeDocument/2006/relationships" r:embed="rId1"/>
        <a:srcRect b="50593"/>
        <a:stretch>
          <a:fillRect/>
        </a:stretch>
      </xdr:blipFill>
      <xdr:spPr>
        <a:xfrm>
          <a:off x="66675" y="52492275"/>
          <a:ext cx="6392167" cy="2809875"/>
        </a:xfrm>
        <a:prstGeom prst="rect">
          <a:avLst/>
        </a:prstGeom>
      </xdr:spPr>
    </xdr:pic>
    <xdr:clientData/>
  </xdr:twoCellAnchor>
  <xdr:twoCellAnchor editAs="oneCell">
    <xdr:from>
      <xdr:col>0</xdr:col>
      <xdr:colOff>133350</xdr:colOff>
      <xdr:row>282</xdr:row>
      <xdr:rowOff>57150</xdr:rowOff>
    </xdr:from>
    <xdr:to>
      <xdr:col>5</xdr:col>
      <xdr:colOff>793871</xdr:colOff>
      <xdr:row>308</xdr:row>
      <xdr:rowOff>86420</xdr:rowOff>
    </xdr:to>
    <xdr:pic>
      <xdr:nvPicPr>
        <xdr:cNvPr id="4" name="Picture 3">
          <a:extLst>
            <a:ext uri="{FF2B5EF4-FFF2-40B4-BE49-F238E27FC236}">
              <a16:creationId xmlns:a16="http://schemas.microsoft.com/office/drawing/2014/main" id="{47ED183D-3B91-D479-3618-35F322937FA3}"/>
            </a:ext>
          </a:extLst>
        </xdr:cNvPr>
        <xdr:cNvPicPr>
          <a:picLocks noChangeAspect="1"/>
        </xdr:cNvPicPr>
      </xdr:nvPicPr>
      <xdr:blipFill>
        <a:blip xmlns:r="http://schemas.openxmlformats.org/officeDocument/2006/relationships" r:embed="rId2"/>
        <a:stretch>
          <a:fillRect/>
        </a:stretch>
      </xdr:blipFill>
      <xdr:spPr>
        <a:xfrm>
          <a:off x="133350" y="55530750"/>
          <a:ext cx="6354062" cy="4982270"/>
        </a:xfrm>
        <a:prstGeom prst="rect">
          <a:avLst/>
        </a:prstGeom>
      </xdr:spPr>
    </xdr:pic>
    <xdr:clientData/>
  </xdr:twoCellAnchor>
  <xdr:twoCellAnchor editAs="oneCell">
    <xdr:from>
      <xdr:col>0</xdr:col>
      <xdr:colOff>133350</xdr:colOff>
      <xdr:row>309</xdr:row>
      <xdr:rowOff>171450</xdr:rowOff>
    </xdr:from>
    <xdr:to>
      <xdr:col>5</xdr:col>
      <xdr:colOff>622397</xdr:colOff>
      <xdr:row>331</xdr:row>
      <xdr:rowOff>133930</xdr:rowOff>
    </xdr:to>
    <xdr:pic>
      <xdr:nvPicPr>
        <xdr:cNvPr id="5" name="Picture 4">
          <a:extLst>
            <a:ext uri="{FF2B5EF4-FFF2-40B4-BE49-F238E27FC236}">
              <a16:creationId xmlns:a16="http://schemas.microsoft.com/office/drawing/2014/main" id="{5EFB338F-E3B4-C198-EE04-CA4B95A29180}"/>
            </a:ext>
          </a:extLst>
        </xdr:cNvPr>
        <xdr:cNvPicPr>
          <a:picLocks noChangeAspect="1"/>
        </xdr:cNvPicPr>
      </xdr:nvPicPr>
      <xdr:blipFill>
        <a:blip xmlns:r="http://schemas.openxmlformats.org/officeDocument/2006/relationships" r:embed="rId3"/>
        <a:stretch>
          <a:fillRect/>
        </a:stretch>
      </xdr:blipFill>
      <xdr:spPr>
        <a:xfrm>
          <a:off x="133350" y="60788550"/>
          <a:ext cx="6182588" cy="4153480"/>
        </a:xfrm>
        <a:prstGeom prst="rect">
          <a:avLst/>
        </a:prstGeom>
      </xdr:spPr>
    </xdr:pic>
    <xdr:clientData/>
  </xdr:twoCellAnchor>
  <xdr:twoCellAnchor editAs="oneCell">
    <xdr:from>
      <xdr:col>7</xdr:col>
      <xdr:colOff>95250</xdr:colOff>
      <xdr:row>299</xdr:row>
      <xdr:rowOff>47625</xdr:rowOff>
    </xdr:from>
    <xdr:to>
      <xdr:col>13</xdr:col>
      <xdr:colOff>777209</xdr:colOff>
      <xdr:row>323</xdr:row>
      <xdr:rowOff>38737</xdr:rowOff>
    </xdr:to>
    <xdr:pic>
      <xdr:nvPicPr>
        <xdr:cNvPr id="7" name="Picture 6">
          <a:extLst>
            <a:ext uri="{FF2B5EF4-FFF2-40B4-BE49-F238E27FC236}">
              <a16:creationId xmlns:a16="http://schemas.microsoft.com/office/drawing/2014/main" id="{4DD22E39-91C0-ED6E-387A-B124E246C25A}"/>
            </a:ext>
          </a:extLst>
        </xdr:cNvPr>
        <xdr:cNvPicPr>
          <a:picLocks noChangeAspect="1"/>
        </xdr:cNvPicPr>
      </xdr:nvPicPr>
      <xdr:blipFill>
        <a:blip xmlns:r="http://schemas.openxmlformats.org/officeDocument/2006/relationships" r:embed="rId4"/>
        <a:stretch>
          <a:fillRect/>
        </a:stretch>
      </xdr:blipFill>
      <xdr:spPr>
        <a:xfrm>
          <a:off x="7362825" y="58950225"/>
          <a:ext cx="6211167" cy="4563112"/>
        </a:xfrm>
        <a:prstGeom prst="rect">
          <a:avLst/>
        </a:prstGeom>
      </xdr:spPr>
    </xdr:pic>
    <xdr:clientData/>
  </xdr:twoCellAnchor>
  <xdr:twoCellAnchor editAs="oneCell">
    <xdr:from>
      <xdr:col>7</xdr:col>
      <xdr:colOff>66675</xdr:colOff>
      <xdr:row>266</xdr:row>
      <xdr:rowOff>104775</xdr:rowOff>
    </xdr:from>
    <xdr:to>
      <xdr:col>13</xdr:col>
      <xdr:colOff>729581</xdr:colOff>
      <xdr:row>299</xdr:row>
      <xdr:rowOff>10389</xdr:rowOff>
    </xdr:to>
    <xdr:pic>
      <xdr:nvPicPr>
        <xdr:cNvPr id="8" name="Picture 7">
          <a:extLst>
            <a:ext uri="{FF2B5EF4-FFF2-40B4-BE49-F238E27FC236}">
              <a16:creationId xmlns:a16="http://schemas.microsoft.com/office/drawing/2014/main" id="{21DB54C1-7D2B-B2B2-CBAC-44FF1C07C4B2}"/>
            </a:ext>
          </a:extLst>
        </xdr:cNvPr>
        <xdr:cNvPicPr>
          <a:picLocks noChangeAspect="1"/>
        </xdr:cNvPicPr>
      </xdr:nvPicPr>
      <xdr:blipFill>
        <a:blip xmlns:r="http://schemas.openxmlformats.org/officeDocument/2006/relationships" r:embed="rId5"/>
        <a:stretch>
          <a:fillRect/>
        </a:stretch>
      </xdr:blipFill>
      <xdr:spPr>
        <a:xfrm>
          <a:off x="7334250" y="52720875"/>
          <a:ext cx="6192114" cy="6192114"/>
        </a:xfrm>
        <a:prstGeom prst="rect">
          <a:avLst/>
        </a:prstGeom>
      </xdr:spPr>
    </xdr:pic>
    <xdr:clientData/>
  </xdr:twoCellAnchor>
  <xdr:twoCellAnchor editAs="oneCell">
    <xdr:from>
      <xdr:col>7</xdr:col>
      <xdr:colOff>76200</xdr:colOff>
      <xdr:row>324</xdr:row>
      <xdr:rowOff>19050</xdr:rowOff>
    </xdr:from>
    <xdr:to>
      <xdr:col>13</xdr:col>
      <xdr:colOff>834369</xdr:colOff>
      <xdr:row>340</xdr:row>
      <xdr:rowOff>29002</xdr:rowOff>
    </xdr:to>
    <xdr:pic>
      <xdr:nvPicPr>
        <xdr:cNvPr id="9" name="Picture 8">
          <a:extLst>
            <a:ext uri="{FF2B5EF4-FFF2-40B4-BE49-F238E27FC236}">
              <a16:creationId xmlns:a16="http://schemas.microsoft.com/office/drawing/2014/main" id="{4F4E25C2-72D1-E5D1-C3F9-0A4A1DB1BCF9}"/>
            </a:ext>
          </a:extLst>
        </xdr:cNvPr>
        <xdr:cNvPicPr>
          <a:picLocks noChangeAspect="1"/>
        </xdr:cNvPicPr>
      </xdr:nvPicPr>
      <xdr:blipFill>
        <a:blip xmlns:r="http://schemas.openxmlformats.org/officeDocument/2006/relationships" r:embed="rId6"/>
        <a:stretch>
          <a:fillRect/>
        </a:stretch>
      </xdr:blipFill>
      <xdr:spPr>
        <a:xfrm>
          <a:off x="7343775" y="63684150"/>
          <a:ext cx="6287377" cy="30579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59532</xdr:colOff>
      <xdr:row>4</xdr:row>
      <xdr:rowOff>130971</xdr:rowOff>
    </xdr:from>
    <xdr:to>
      <xdr:col>22</xdr:col>
      <xdr:colOff>295275</xdr:colOff>
      <xdr:row>20</xdr:row>
      <xdr:rowOff>39154</xdr:rowOff>
    </xdr:to>
    <xdr:pic>
      <xdr:nvPicPr>
        <xdr:cNvPr id="2" name="Picture 1">
          <a:extLst>
            <a:ext uri="{FF2B5EF4-FFF2-40B4-BE49-F238E27FC236}">
              <a16:creationId xmlns:a16="http://schemas.microsoft.com/office/drawing/2014/main" id="{08BA989F-DF44-4F64-9382-FCA23BD86A26}"/>
            </a:ext>
          </a:extLst>
        </xdr:cNvPr>
        <xdr:cNvPicPr>
          <a:picLocks noChangeAspect="1"/>
        </xdr:cNvPicPr>
      </xdr:nvPicPr>
      <xdr:blipFill>
        <a:blip xmlns:r="http://schemas.openxmlformats.org/officeDocument/2006/relationships" r:embed="rId1"/>
        <a:stretch>
          <a:fillRect/>
        </a:stretch>
      </xdr:blipFill>
      <xdr:spPr>
        <a:xfrm>
          <a:off x="9813132" y="778671"/>
          <a:ext cx="5112543" cy="2498983"/>
        </a:xfrm>
        <a:prstGeom prst="rect">
          <a:avLst/>
        </a:prstGeom>
      </xdr:spPr>
    </xdr:pic>
    <xdr:clientData/>
  </xdr:twoCellAnchor>
  <xdr:twoCellAnchor editAs="oneCell">
    <xdr:from>
      <xdr:col>15</xdr:col>
      <xdr:colOff>11906</xdr:colOff>
      <xdr:row>3</xdr:row>
      <xdr:rowOff>11906</xdr:rowOff>
    </xdr:from>
    <xdr:to>
      <xdr:col>17</xdr:col>
      <xdr:colOff>512199</xdr:colOff>
      <xdr:row>4</xdr:row>
      <xdr:rowOff>38925</xdr:rowOff>
    </xdr:to>
    <xdr:pic>
      <xdr:nvPicPr>
        <xdr:cNvPr id="3" name="Picture 2">
          <a:extLst>
            <a:ext uri="{FF2B5EF4-FFF2-40B4-BE49-F238E27FC236}">
              <a16:creationId xmlns:a16="http://schemas.microsoft.com/office/drawing/2014/main" id="{A4E4BE63-0C17-4530-BBE8-FB88B7B039C1}"/>
            </a:ext>
          </a:extLst>
        </xdr:cNvPr>
        <xdr:cNvPicPr>
          <a:picLocks noChangeAspect="1"/>
        </xdr:cNvPicPr>
      </xdr:nvPicPr>
      <xdr:blipFill>
        <a:blip xmlns:r="http://schemas.openxmlformats.org/officeDocument/2006/relationships" r:embed="rId2"/>
        <a:stretch>
          <a:fillRect/>
        </a:stretch>
      </xdr:blipFill>
      <xdr:spPr>
        <a:xfrm>
          <a:off x="10375106" y="497681"/>
          <a:ext cx="1719493" cy="188944"/>
        </a:xfrm>
        <a:prstGeom prst="rect">
          <a:avLst/>
        </a:prstGeom>
      </xdr:spPr>
    </xdr:pic>
    <xdr:clientData/>
  </xdr:twoCellAnchor>
  <xdr:twoCellAnchor editAs="oneCell">
    <xdr:from>
      <xdr:col>0</xdr:col>
      <xdr:colOff>0</xdr:colOff>
      <xdr:row>36</xdr:row>
      <xdr:rowOff>114300</xdr:rowOff>
    </xdr:from>
    <xdr:to>
      <xdr:col>9</xdr:col>
      <xdr:colOff>0</xdr:colOff>
      <xdr:row>67</xdr:row>
      <xdr:rowOff>46440</xdr:rowOff>
    </xdr:to>
    <xdr:pic>
      <xdr:nvPicPr>
        <xdr:cNvPr id="4" name="Picture 3">
          <a:extLst>
            <a:ext uri="{FF2B5EF4-FFF2-40B4-BE49-F238E27FC236}">
              <a16:creationId xmlns:a16="http://schemas.microsoft.com/office/drawing/2014/main" id="{2B2336D4-B740-40F6-BF30-A8BF12779AB6}"/>
            </a:ext>
          </a:extLst>
        </xdr:cNvPr>
        <xdr:cNvPicPr>
          <a:picLocks noChangeAspect="1"/>
        </xdr:cNvPicPr>
      </xdr:nvPicPr>
      <xdr:blipFill>
        <a:blip xmlns:r="http://schemas.openxmlformats.org/officeDocument/2006/relationships" r:embed="rId3"/>
        <a:stretch>
          <a:fillRect/>
        </a:stretch>
      </xdr:blipFill>
      <xdr:spPr>
        <a:xfrm>
          <a:off x="0" y="5943600"/>
          <a:ext cx="6791325" cy="4951815"/>
        </a:xfrm>
        <a:prstGeom prst="rect">
          <a:avLst/>
        </a:prstGeom>
      </xdr:spPr>
    </xdr:pic>
    <xdr:clientData/>
  </xdr:twoCellAnchor>
  <xdr:twoCellAnchor editAs="oneCell">
    <xdr:from>
      <xdr:col>10</xdr:col>
      <xdr:colOff>123825</xdr:colOff>
      <xdr:row>37</xdr:row>
      <xdr:rowOff>9525</xdr:rowOff>
    </xdr:from>
    <xdr:to>
      <xdr:col>20</xdr:col>
      <xdr:colOff>57992</xdr:colOff>
      <xdr:row>63</xdr:row>
      <xdr:rowOff>10113</xdr:rowOff>
    </xdr:to>
    <xdr:pic>
      <xdr:nvPicPr>
        <xdr:cNvPr id="5" name="Picture 4">
          <a:extLst>
            <a:ext uri="{FF2B5EF4-FFF2-40B4-BE49-F238E27FC236}">
              <a16:creationId xmlns:a16="http://schemas.microsoft.com/office/drawing/2014/main" id="{05397AB8-F1AF-47DC-9926-5F998E1B3DE7}"/>
            </a:ext>
          </a:extLst>
        </xdr:cNvPr>
        <xdr:cNvPicPr>
          <a:picLocks noChangeAspect="1"/>
        </xdr:cNvPicPr>
      </xdr:nvPicPr>
      <xdr:blipFill>
        <a:blip xmlns:r="http://schemas.openxmlformats.org/officeDocument/2006/relationships" r:embed="rId4"/>
        <a:stretch>
          <a:fillRect/>
        </a:stretch>
      </xdr:blipFill>
      <xdr:spPr>
        <a:xfrm>
          <a:off x="7439025" y="6000750"/>
          <a:ext cx="6030167" cy="4210638"/>
        </a:xfrm>
        <a:prstGeom prst="rect">
          <a:avLst/>
        </a:prstGeom>
      </xdr:spPr>
    </xdr:pic>
    <xdr:clientData/>
  </xdr:twoCellAnchor>
  <xdr:twoCellAnchor editAs="oneCell">
    <xdr:from>
      <xdr:col>30</xdr:col>
      <xdr:colOff>295275</xdr:colOff>
      <xdr:row>36</xdr:row>
      <xdr:rowOff>9525</xdr:rowOff>
    </xdr:from>
    <xdr:to>
      <xdr:col>40</xdr:col>
      <xdr:colOff>553337</xdr:colOff>
      <xdr:row>65</xdr:row>
      <xdr:rowOff>10180</xdr:rowOff>
    </xdr:to>
    <xdr:pic>
      <xdr:nvPicPr>
        <xdr:cNvPr id="6" name="Picture 5">
          <a:extLst>
            <a:ext uri="{FF2B5EF4-FFF2-40B4-BE49-F238E27FC236}">
              <a16:creationId xmlns:a16="http://schemas.microsoft.com/office/drawing/2014/main" id="{8D299F00-9346-4D67-B6D0-E9BE85CC6674}"/>
            </a:ext>
          </a:extLst>
        </xdr:cNvPr>
        <xdr:cNvPicPr>
          <a:picLocks noChangeAspect="1"/>
        </xdr:cNvPicPr>
      </xdr:nvPicPr>
      <xdr:blipFill>
        <a:blip xmlns:r="http://schemas.openxmlformats.org/officeDocument/2006/relationships" r:embed="rId5"/>
        <a:stretch>
          <a:fillRect/>
        </a:stretch>
      </xdr:blipFill>
      <xdr:spPr>
        <a:xfrm>
          <a:off x="19802475" y="5838825"/>
          <a:ext cx="6354062" cy="4696480"/>
        </a:xfrm>
        <a:prstGeom prst="rect">
          <a:avLst/>
        </a:prstGeom>
      </xdr:spPr>
    </xdr:pic>
    <xdr:clientData/>
  </xdr:twoCellAnchor>
  <xdr:twoCellAnchor editAs="oneCell">
    <xdr:from>
      <xdr:col>20</xdr:col>
      <xdr:colOff>200025</xdr:colOff>
      <xdr:row>36</xdr:row>
      <xdr:rowOff>152400</xdr:rowOff>
    </xdr:from>
    <xdr:to>
      <xdr:col>30</xdr:col>
      <xdr:colOff>258034</xdr:colOff>
      <xdr:row>63</xdr:row>
      <xdr:rowOff>133958</xdr:rowOff>
    </xdr:to>
    <xdr:pic>
      <xdr:nvPicPr>
        <xdr:cNvPr id="7" name="Picture 6">
          <a:extLst>
            <a:ext uri="{FF2B5EF4-FFF2-40B4-BE49-F238E27FC236}">
              <a16:creationId xmlns:a16="http://schemas.microsoft.com/office/drawing/2014/main" id="{49C56A1B-0B20-43F1-993D-39A418683D2F}"/>
            </a:ext>
          </a:extLst>
        </xdr:cNvPr>
        <xdr:cNvPicPr>
          <a:picLocks noChangeAspect="1"/>
        </xdr:cNvPicPr>
      </xdr:nvPicPr>
      <xdr:blipFill>
        <a:blip xmlns:r="http://schemas.openxmlformats.org/officeDocument/2006/relationships" r:embed="rId6"/>
        <a:stretch>
          <a:fillRect/>
        </a:stretch>
      </xdr:blipFill>
      <xdr:spPr>
        <a:xfrm>
          <a:off x="13611225" y="5981700"/>
          <a:ext cx="6154009" cy="43535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Heather M Whitney" id="{49B03EC6-15D3-42E3-A1DA-8C1757C2B5DF}" userId="S::s213167@corp.aepsc.com::556296bf-2ed4-4f0b-8d7b-ebaf990976a9"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213167" refreshedDate="46097.308915972222" createdVersion="8" refreshedVersion="8" minRefreshableVersion="3" recordCount="190" xr:uid="{4F0B7BC2-298B-4CBE-A4F9-C588096EBDA5}">
  <cacheSource type="worksheet">
    <worksheetSource ref="A1:H191" sheet="Query"/>
  </cacheSource>
  <cacheFields count="8">
    <cacheField name="Company" numFmtId="49">
      <sharedItems/>
    </cacheField>
    <cacheField name="Function" numFmtId="49">
      <sharedItems/>
    </cacheField>
    <cacheField name="Utility Account" numFmtId="49">
      <sharedItems containsBlank="1" count="3">
        <s v="36500 - Overhead Conductors, Device"/>
        <s v="36400 - Poles, Towers and Fixtures"/>
        <m u="1"/>
      </sharedItems>
    </cacheField>
    <cacheField name="Depr Group" numFmtId="49">
      <sharedItems/>
    </cacheField>
    <cacheField name="Project" numFmtId="49">
      <sharedItems containsBlank="1" count="10">
        <s v="TREEREL18"/>
        <s v="TREEREL19"/>
        <s v="TREEREL20"/>
        <s v="TREEREL21"/>
        <s v="TREEREL23"/>
        <s v="TREEREL24"/>
        <s v="TREEREL25"/>
        <s v="000009160"/>
        <s v="KY5YCYCLE"/>
        <m u="1"/>
      </sharedItems>
    </cacheField>
    <cacheField name="Work Order" numFmtId="49">
      <sharedItems containsBlank="1" count="15">
        <s v="W0030487"/>
        <s v="W0031602"/>
        <s v="W0031664"/>
        <s v="W0033036"/>
        <s v="W0034024"/>
        <s v="W0035082"/>
        <s v="W0036569"/>
        <s v="W0037374"/>
        <s v="W0038101"/>
        <s v="W0030063"/>
        <s v="W0031603"/>
        <s v="T10083487"/>
        <s v="T10251137"/>
        <s v="W0034671"/>
        <m u="1"/>
      </sharedItems>
    </cacheField>
    <cacheField name="Month Number" numFmtId="0">
      <sharedItems containsSemiMixedTypes="0" containsString="0" containsNumber="1" containsInteger="1" minValue="201803" maxValue="202602" count="86">
        <n v="201908"/>
        <n v="202002"/>
        <n v="202003"/>
        <n v="202004"/>
        <n v="202005"/>
        <n v="202006"/>
        <n v="202007"/>
        <n v="202008"/>
        <n v="202009"/>
        <n v="202010"/>
        <n v="202201"/>
        <n v="202102"/>
        <n v="202103"/>
        <n v="202104"/>
        <n v="202105"/>
        <n v="202106"/>
        <n v="202202"/>
        <n v="202203"/>
        <n v="202204"/>
        <n v="202205"/>
        <n v="202206"/>
        <n v="202207"/>
        <n v="202208"/>
        <n v="202209"/>
        <n v="202210"/>
        <n v="202211"/>
        <n v="202212"/>
        <n v="202301"/>
        <n v="202302"/>
        <n v="202303"/>
        <n v="202305"/>
        <n v="202306"/>
        <n v="202304"/>
        <n v="202307"/>
        <n v="202308"/>
        <n v="202309"/>
        <n v="202310"/>
        <n v="202311"/>
        <n v="202312"/>
        <n v="202401"/>
        <n v="202402"/>
        <n v="202403"/>
        <n v="202404"/>
        <n v="202405"/>
        <n v="202406"/>
        <n v="202407"/>
        <n v="202408"/>
        <n v="202409"/>
        <n v="202411"/>
        <n v="202412"/>
        <n v="202501"/>
        <n v="202503"/>
        <n v="202504"/>
        <n v="202505"/>
        <n v="202506"/>
        <n v="202507"/>
        <n v="202508"/>
        <n v="202511"/>
        <n v="202512"/>
        <n v="202601"/>
        <n v="202602"/>
        <n v="202410"/>
        <n v="202502"/>
        <n v="202509"/>
        <n v="202510"/>
        <n v="201803"/>
        <n v="201804"/>
        <n v="201805"/>
        <n v="201806"/>
        <n v="201807"/>
        <n v="201808"/>
        <n v="201809"/>
        <n v="201810"/>
        <n v="201811"/>
        <n v="201812"/>
        <n v="201901"/>
        <n v="201902"/>
        <n v="201903"/>
        <n v="201904"/>
        <n v="202101"/>
        <n v="202107"/>
        <n v="202108"/>
        <n v="202109"/>
        <n v="202110"/>
        <n v="202111"/>
        <n v="202112"/>
      </sharedItems>
    </cacheField>
    <cacheField name="Activity Cost" numFmtId="43">
      <sharedItems containsSemiMixedTypes="0" containsString="0" containsNumber="1" minValue="-717332.47999999998" maxValue="18157875.4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0">
  <r>
    <s v="Kentucky Power - Distr"/>
    <s v="Distribution Plant - Electric"/>
    <x v="0"/>
    <s v="KEPCo 101/6 365 - KY Dist"/>
    <x v="0"/>
    <x v="0"/>
    <x v="0"/>
    <n v="5995105.7300000004"/>
  </r>
  <r>
    <s v="Kentucky Power - Distr"/>
    <s v="Distribution Plant - Electric"/>
    <x v="1"/>
    <s v="KEPCo 101/6 364 - KY Dist"/>
    <x v="0"/>
    <x v="1"/>
    <x v="1"/>
    <n v="4341.1499999999996"/>
  </r>
  <r>
    <s v="Kentucky Power - Distr"/>
    <s v="Distribution Plant - Electric"/>
    <x v="1"/>
    <s v="KEPCo 101/6 364 - KY Dist"/>
    <x v="1"/>
    <x v="2"/>
    <x v="1"/>
    <n v="12113028.140000001"/>
  </r>
  <r>
    <s v="Kentucky Power - Distr"/>
    <s v="Distribution Plant - Electric"/>
    <x v="1"/>
    <s v="KEPCo 101/6 364 - KY Dist"/>
    <x v="1"/>
    <x v="2"/>
    <x v="2"/>
    <n v="6822.86"/>
  </r>
  <r>
    <s v="Kentucky Power - Distr"/>
    <s v="Distribution Plant - Electric"/>
    <x v="1"/>
    <s v="KEPCo 101/6 364 - KY Dist"/>
    <x v="1"/>
    <x v="2"/>
    <x v="3"/>
    <n v="-33688.76"/>
  </r>
  <r>
    <s v="Kentucky Power - Distr"/>
    <s v="Distribution Plant - Electric"/>
    <x v="1"/>
    <s v="KEPCo 101/6 364 - KY Dist"/>
    <x v="1"/>
    <x v="2"/>
    <x v="4"/>
    <n v="10461.24"/>
  </r>
  <r>
    <s v="Kentucky Power - Distr"/>
    <s v="Distribution Plant - Electric"/>
    <x v="1"/>
    <s v="KEPCo 101/6 364 - KY Dist"/>
    <x v="1"/>
    <x v="2"/>
    <x v="5"/>
    <n v="15542.7"/>
  </r>
  <r>
    <s v="Kentucky Power - Distr"/>
    <s v="Distribution Plant - Electric"/>
    <x v="1"/>
    <s v="KEPCo 101/6 364 - KY Dist"/>
    <x v="1"/>
    <x v="2"/>
    <x v="6"/>
    <n v="13714.82"/>
  </r>
  <r>
    <s v="Kentucky Power - Distr"/>
    <s v="Distribution Plant - Electric"/>
    <x v="1"/>
    <s v="KEPCo 101/6 364 - KY Dist"/>
    <x v="1"/>
    <x v="2"/>
    <x v="7"/>
    <n v="11791.51"/>
  </r>
  <r>
    <s v="Kentucky Power - Distr"/>
    <s v="Distribution Plant - Electric"/>
    <x v="1"/>
    <s v="KEPCo 101/6 364 - KY Dist"/>
    <x v="1"/>
    <x v="2"/>
    <x v="8"/>
    <n v="1008.6"/>
  </r>
  <r>
    <s v="Kentucky Power - Distr"/>
    <s v="Distribution Plant - Electric"/>
    <x v="1"/>
    <s v="KEPCo 101/6 364 - KY Dist"/>
    <x v="1"/>
    <x v="2"/>
    <x v="9"/>
    <n v="-2017.2"/>
  </r>
  <r>
    <s v="Kentucky Power - Distr"/>
    <s v="Distribution Plant - Electric"/>
    <x v="1"/>
    <s v="KEPCo 101/6 364 - KY Dist"/>
    <x v="1"/>
    <x v="2"/>
    <x v="10"/>
    <n v="0"/>
  </r>
  <r>
    <s v="Kentucky Power - Distr"/>
    <s v="Distribution Plant - Electric"/>
    <x v="1"/>
    <s v="KEPCo 101/6 364 - KY Dist"/>
    <x v="2"/>
    <x v="3"/>
    <x v="11"/>
    <n v="7554373.8700000001"/>
  </r>
  <r>
    <s v="Kentucky Power - Distr"/>
    <s v="Distribution Plant - Electric"/>
    <x v="1"/>
    <s v="KEPCo 101/6 364 - KY Dist"/>
    <x v="2"/>
    <x v="3"/>
    <x v="12"/>
    <n v="72668.34"/>
  </r>
  <r>
    <s v="Kentucky Power - Distr"/>
    <s v="Distribution Plant - Electric"/>
    <x v="1"/>
    <s v="KEPCo 101/6 364 - KY Dist"/>
    <x v="2"/>
    <x v="3"/>
    <x v="13"/>
    <n v="18919.54"/>
  </r>
  <r>
    <s v="Kentucky Power - Distr"/>
    <s v="Distribution Plant - Electric"/>
    <x v="1"/>
    <s v="KEPCo 101/6 364 - KY Dist"/>
    <x v="2"/>
    <x v="3"/>
    <x v="14"/>
    <n v="-4042.42"/>
  </r>
  <r>
    <s v="Kentucky Power - Distr"/>
    <s v="Distribution Plant - Electric"/>
    <x v="1"/>
    <s v="KEPCo 101/6 364 - KY Dist"/>
    <x v="2"/>
    <x v="3"/>
    <x v="15"/>
    <n v="-88066.2"/>
  </r>
  <r>
    <s v="Kentucky Power - Distr"/>
    <s v="Distribution Plant - Electric"/>
    <x v="1"/>
    <s v="KEPCo 101/6 364 - KY Dist"/>
    <x v="3"/>
    <x v="4"/>
    <x v="16"/>
    <n v="6836837.1900000004"/>
  </r>
  <r>
    <s v="Kentucky Power - Distr"/>
    <s v="Distribution Plant - Electric"/>
    <x v="1"/>
    <s v="KEPCo 101/6 364 - KY Dist"/>
    <x v="3"/>
    <x v="4"/>
    <x v="17"/>
    <n v="5164.07"/>
  </r>
  <r>
    <s v="Kentucky Power - Distr"/>
    <s v="Distribution Plant - Electric"/>
    <x v="1"/>
    <s v="KEPCo 101/6 364 - KY Dist"/>
    <x v="3"/>
    <x v="4"/>
    <x v="18"/>
    <n v="4112.7"/>
  </r>
  <r>
    <s v="Kentucky Power - Distr"/>
    <s v="Distribution Plant - Electric"/>
    <x v="1"/>
    <s v="KEPCo 101/6 364 - KY Dist"/>
    <x v="3"/>
    <x v="4"/>
    <x v="19"/>
    <n v="4243.2700000000004"/>
  </r>
  <r>
    <s v="Kentucky Power - Distr"/>
    <s v="Distribution Plant - Electric"/>
    <x v="1"/>
    <s v="KEPCo 101/6 364 - KY Dist"/>
    <x v="3"/>
    <x v="4"/>
    <x v="20"/>
    <n v="5048.6400000000003"/>
  </r>
  <r>
    <s v="Kentucky Power - Distr"/>
    <s v="Distribution Plant - Electric"/>
    <x v="1"/>
    <s v="KEPCo 101/6 364 - KY Dist"/>
    <x v="3"/>
    <x v="4"/>
    <x v="21"/>
    <n v="5596.25"/>
  </r>
  <r>
    <s v="Kentucky Power - Distr"/>
    <s v="Distribution Plant - Electric"/>
    <x v="1"/>
    <s v="KEPCo 101/6 364 - KY Dist"/>
    <x v="3"/>
    <x v="4"/>
    <x v="22"/>
    <n v="2941.37"/>
  </r>
  <r>
    <s v="Kentucky Power - Distr"/>
    <s v="Distribution Plant - Electric"/>
    <x v="1"/>
    <s v="KEPCo 101/6 364 - KY Dist"/>
    <x v="3"/>
    <x v="4"/>
    <x v="23"/>
    <n v="3672.33"/>
  </r>
  <r>
    <s v="Kentucky Power - Distr"/>
    <s v="Distribution Plant - Electric"/>
    <x v="1"/>
    <s v="KEPCo 101/6 364 - KY Dist"/>
    <x v="3"/>
    <x v="4"/>
    <x v="24"/>
    <n v="4748.74"/>
  </r>
  <r>
    <s v="Kentucky Power - Distr"/>
    <s v="Distribution Plant - Electric"/>
    <x v="1"/>
    <s v="KEPCo 101/6 364 - KY Dist"/>
    <x v="3"/>
    <x v="4"/>
    <x v="25"/>
    <n v="3773.09"/>
  </r>
  <r>
    <s v="Kentucky Power - Distr"/>
    <s v="Distribution Plant - Electric"/>
    <x v="1"/>
    <s v="KEPCo 101/6 364 - KY Dist"/>
    <x v="3"/>
    <x v="4"/>
    <x v="26"/>
    <n v="5462.88"/>
  </r>
  <r>
    <s v="Kentucky Power - Distr"/>
    <s v="Distribution Plant - Electric"/>
    <x v="1"/>
    <s v="KEPCo 101/6 364 - KY Dist"/>
    <x v="3"/>
    <x v="4"/>
    <x v="27"/>
    <n v="3647.44"/>
  </r>
  <r>
    <s v="Kentucky Power - Distr"/>
    <s v="Distribution Plant - Electric"/>
    <x v="1"/>
    <s v="KEPCo 101/6 364 - KY Dist"/>
    <x v="3"/>
    <x v="4"/>
    <x v="28"/>
    <n v="3273.54"/>
  </r>
  <r>
    <s v="Kentucky Power - Distr"/>
    <s v="Distribution Plant - Electric"/>
    <x v="1"/>
    <s v="KEPCo 101/6 364 - KY Dist"/>
    <x v="3"/>
    <x v="4"/>
    <x v="29"/>
    <n v="3042.37"/>
  </r>
  <r>
    <s v="Kentucky Power - Distr"/>
    <s v="Distribution Plant - Electric"/>
    <x v="1"/>
    <s v="KEPCo 101/6 364 - KY Dist"/>
    <x v="3"/>
    <x v="4"/>
    <x v="30"/>
    <n v="1700.49"/>
  </r>
  <r>
    <s v="Kentucky Power - Distr"/>
    <s v="Distribution Plant - Electric"/>
    <x v="1"/>
    <s v="KEPCo 101/6 364 - KY Dist"/>
    <x v="3"/>
    <x v="4"/>
    <x v="31"/>
    <n v="0"/>
  </r>
  <r>
    <s v="Kentucky Power - Distr"/>
    <s v="Distribution Plant - Electric"/>
    <x v="1"/>
    <s v="KEPCo 101/6 364 - KY Dist"/>
    <x v="3"/>
    <x v="5"/>
    <x v="27"/>
    <n v="7163471.5700000003"/>
  </r>
  <r>
    <s v="Kentucky Power - Distr"/>
    <s v="Distribution Plant - Electric"/>
    <x v="1"/>
    <s v="KEPCo 101/6 364 - KY Dist"/>
    <x v="3"/>
    <x v="5"/>
    <x v="28"/>
    <n v="693158.68"/>
  </r>
  <r>
    <s v="Kentucky Power - Distr"/>
    <s v="Distribution Plant - Electric"/>
    <x v="1"/>
    <s v="KEPCo 101/6 364 - KY Dist"/>
    <x v="3"/>
    <x v="5"/>
    <x v="29"/>
    <n v="-717332.47999999998"/>
  </r>
  <r>
    <s v="Kentucky Power - Distr"/>
    <s v="Distribution Plant - Electric"/>
    <x v="1"/>
    <s v="KEPCo 101/6 364 - KY Dist"/>
    <x v="3"/>
    <x v="5"/>
    <x v="32"/>
    <n v="95752.18"/>
  </r>
  <r>
    <s v="Kentucky Power - Distr"/>
    <s v="Distribution Plant - Electric"/>
    <x v="1"/>
    <s v="KEPCo 101/6 364 - KY Dist"/>
    <x v="3"/>
    <x v="5"/>
    <x v="30"/>
    <n v="-647954.71"/>
  </r>
  <r>
    <s v="Kentucky Power - Distr"/>
    <s v="Distribution Plant - Electric"/>
    <x v="1"/>
    <s v="KEPCo 101/6 364 - KY Dist"/>
    <x v="3"/>
    <x v="5"/>
    <x v="31"/>
    <n v="978.53"/>
  </r>
  <r>
    <s v="Kentucky Power - Distr"/>
    <s v="Distribution Plant - Electric"/>
    <x v="1"/>
    <s v="KEPCo 101/6 364 - KY Dist"/>
    <x v="3"/>
    <x v="5"/>
    <x v="33"/>
    <n v="531.39"/>
  </r>
  <r>
    <s v="Kentucky Power - Distr"/>
    <s v="Distribution Plant - Electric"/>
    <x v="1"/>
    <s v="KEPCo 101/6 364 - KY Dist"/>
    <x v="3"/>
    <x v="5"/>
    <x v="34"/>
    <n v="358.56"/>
  </r>
  <r>
    <s v="Kentucky Power - Distr"/>
    <s v="Distribution Plant - Electric"/>
    <x v="1"/>
    <s v="KEPCo 101/6 364 - KY Dist"/>
    <x v="3"/>
    <x v="5"/>
    <x v="35"/>
    <n v="-31608.48"/>
  </r>
  <r>
    <s v="Kentucky Power - Distr"/>
    <s v="Distribution Plant - Electric"/>
    <x v="1"/>
    <s v="KEPCo 101/6 364 - KY Dist"/>
    <x v="3"/>
    <x v="5"/>
    <x v="36"/>
    <n v="403.3"/>
  </r>
  <r>
    <s v="Kentucky Power - Distr"/>
    <s v="Distribution Plant - Electric"/>
    <x v="1"/>
    <s v="KEPCo 101/6 364 - KY Dist"/>
    <x v="3"/>
    <x v="5"/>
    <x v="37"/>
    <n v="667.18"/>
  </r>
  <r>
    <s v="Kentucky Power - Distr"/>
    <s v="Distribution Plant - Electric"/>
    <x v="1"/>
    <s v="KEPCo 101/6 364 - KY Dist"/>
    <x v="3"/>
    <x v="5"/>
    <x v="38"/>
    <n v="914.52"/>
  </r>
  <r>
    <s v="Kentucky Power - Distr"/>
    <s v="Distribution Plant - Electric"/>
    <x v="1"/>
    <s v="KEPCo 101/6 364 - KY Dist"/>
    <x v="3"/>
    <x v="5"/>
    <x v="39"/>
    <n v="410.96"/>
  </r>
  <r>
    <s v="Kentucky Power - Distr"/>
    <s v="Distribution Plant - Electric"/>
    <x v="1"/>
    <s v="KEPCo 101/6 364 - KY Dist"/>
    <x v="3"/>
    <x v="5"/>
    <x v="40"/>
    <n v="606.16999999999996"/>
  </r>
  <r>
    <s v="Kentucky Power - Distr"/>
    <s v="Distribution Plant - Electric"/>
    <x v="1"/>
    <s v="KEPCo 101/6 364 - KY Dist"/>
    <x v="3"/>
    <x v="5"/>
    <x v="41"/>
    <n v="621.13"/>
  </r>
  <r>
    <s v="Kentucky Power - Distr"/>
    <s v="Distribution Plant - Electric"/>
    <x v="1"/>
    <s v="KEPCo 101/6 364 - KY Dist"/>
    <x v="3"/>
    <x v="5"/>
    <x v="42"/>
    <n v="570.4"/>
  </r>
  <r>
    <s v="Kentucky Power - Distr"/>
    <s v="Distribution Plant - Electric"/>
    <x v="1"/>
    <s v="KEPCo 101/6 364 - KY Dist"/>
    <x v="3"/>
    <x v="5"/>
    <x v="43"/>
    <n v="835.19"/>
  </r>
  <r>
    <s v="Kentucky Power - Distr"/>
    <s v="Distribution Plant - Electric"/>
    <x v="1"/>
    <s v="KEPCo 101/6 364 - KY Dist"/>
    <x v="3"/>
    <x v="5"/>
    <x v="44"/>
    <n v="664.4"/>
  </r>
  <r>
    <s v="Kentucky Power - Distr"/>
    <s v="Distribution Plant - Electric"/>
    <x v="1"/>
    <s v="KEPCo 101/6 364 - KY Dist"/>
    <x v="3"/>
    <x v="5"/>
    <x v="45"/>
    <n v="0"/>
  </r>
  <r>
    <s v="Kentucky Power - Distr"/>
    <s v="Distribution Plant - Electric"/>
    <x v="1"/>
    <s v="KEPCo 101/6 364 - KY Dist"/>
    <x v="4"/>
    <x v="6"/>
    <x v="39"/>
    <n v="6726022.79"/>
  </r>
  <r>
    <s v="Kentucky Power - Distr"/>
    <s v="Distribution Plant - Electric"/>
    <x v="1"/>
    <s v="KEPCo 101/6 364 - KY Dist"/>
    <x v="4"/>
    <x v="6"/>
    <x v="40"/>
    <n v="47404.82"/>
  </r>
  <r>
    <s v="Kentucky Power - Distr"/>
    <s v="Distribution Plant - Electric"/>
    <x v="1"/>
    <s v="KEPCo 101/6 364 - KY Dist"/>
    <x v="4"/>
    <x v="6"/>
    <x v="41"/>
    <n v="-30654.57"/>
  </r>
  <r>
    <s v="Kentucky Power - Distr"/>
    <s v="Distribution Plant - Electric"/>
    <x v="1"/>
    <s v="KEPCo 101/6 364 - KY Dist"/>
    <x v="4"/>
    <x v="6"/>
    <x v="42"/>
    <n v="-32552.23"/>
  </r>
  <r>
    <s v="Kentucky Power - Distr"/>
    <s v="Distribution Plant - Electric"/>
    <x v="1"/>
    <s v="KEPCo 101/6 364 - KY Dist"/>
    <x v="4"/>
    <x v="6"/>
    <x v="43"/>
    <n v="56864.9"/>
  </r>
  <r>
    <s v="Kentucky Power - Distr"/>
    <s v="Distribution Plant - Electric"/>
    <x v="1"/>
    <s v="KEPCo 101/6 364 - KY Dist"/>
    <x v="4"/>
    <x v="6"/>
    <x v="44"/>
    <n v="-50998.45"/>
  </r>
  <r>
    <s v="Kentucky Power - Distr"/>
    <s v="Distribution Plant - Electric"/>
    <x v="1"/>
    <s v="KEPCo 101/6 364 - KY Dist"/>
    <x v="4"/>
    <x v="6"/>
    <x v="45"/>
    <n v="-604.6"/>
  </r>
  <r>
    <s v="Kentucky Power - Distr"/>
    <s v="Distribution Plant - Electric"/>
    <x v="1"/>
    <s v="KEPCo 101/6 364 - KY Dist"/>
    <x v="4"/>
    <x v="6"/>
    <x v="46"/>
    <n v="18344.349999999999"/>
  </r>
  <r>
    <s v="Kentucky Power - Distr"/>
    <s v="Distribution Plant - Electric"/>
    <x v="1"/>
    <s v="KEPCo 101/6 364 - KY Dist"/>
    <x v="4"/>
    <x v="6"/>
    <x v="47"/>
    <n v="-17491.009999999998"/>
  </r>
  <r>
    <s v="Kentucky Power - Distr"/>
    <s v="Distribution Plant - Electric"/>
    <x v="1"/>
    <s v="KEPCo 101/6 364 - KY Dist"/>
    <x v="4"/>
    <x v="6"/>
    <x v="48"/>
    <n v="1524.28"/>
  </r>
  <r>
    <s v="Kentucky Power - Distr"/>
    <s v="Distribution Plant - Electric"/>
    <x v="1"/>
    <s v="KEPCo 101/6 364 - KY Dist"/>
    <x v="4"/>
    <x v="6"/>
    <x v="49"/>
    <n v="20737.14"/>
  </r>
  <r>
    <s v="Kentucky Power - Distr"/>
    <s v="Distribution Plant - Electric"/>
    <x v="1"/>
    <s v="KEPCo 101/6 364 - KY Dist"/>
    <x v="4"/>
    <x v="6"/>
    <x v="50"/>
    <n v="-17587.72"/>
  </r>
  <r>
    <s v="Kentucky Power - Distr"/>
    <s v="Distribution Plant - Electric"/>
    <x v="1"/>
    <s v="KEPCo 101/6 364 - KY Dist"/>
    <x v="4"/>
    <x v="6"/>
    <x v="51"/>
    <n v="5899.17"/>
  </r>
  <r>
    <s v="Kentucky Power - Distr"/>
    <s v="Distribution Plant - Electric"/>
    <x v="1"/>
    <s v="KEPCo 101/6 364 - KY Dist"/>
    <x v="4"/>
    <x v="6"/>
    <x v="52"/>
    <n v="-5899.17"/>
  </r>
  <r>
    <s v="Kentucky Power - Distr"/>
    <s v="Distribution Plant - Electric"/>
    <x v="1"/>
    <s v="KEPCo 101/6 364 - KY Dist"/>
    <x v="4"/>
    <x v="6"/>
    <x v="53"/>
    <n v="10654.4"/>
  </r>
  <r>
    <s v="Kentucky Power - Distr"/>
    <s v="Distribution Plant - Electric"/>
    <x v="1"/>
    <s v="KEPCo 101/6 364 - KY Dist"/>
    <x v="4"/>
    <x v="6"/>
    <x v="54"/>
    <n v="-8471.4500000000007"/>
  </r>
  <r>
    <s v="Kentucky Power - Distr"/>
    <s v="Distribution Plant - Electric"/>
    <x v="1"/>
    <s v="KEPCo 101/6 364 - KY Dist"/>
    <x v="4"/>
    <x v="6"/>
    <x v="55"/>
    <n v="1544.7"/>
  </r>
  <r>
    <s v="Kentucky Power - Distr"/>
    <s v="Distribution Plant - Electric"/>
    <x v="1"/>
    <s v="KEPCo 101/6 364 - KY Dist"/>
    <x v="4"/>
    <x v="6"/>
    <x v="56"/>
    <n v="-1544.7"/>
  </r>
  <r>
    <s v="Kentucky Power - Distr"/>
    <s v="Distribution Plant - Electric"/>
    <x v="1"/>
    <s v="KEPCo 101/6 364 - KY Dist"/>
    <x v="4"/>
    <x v="6"/>
    <x v="57"/>
    <n v="1727.7"/>
  </r>
  <r>
    <s v="Kentucky Power - Distr"/>
    <s v="Distribution Plant - Electric"/>
    <x v="1"/>
    <s v="KEPCo 101/6 364 - KY Dist"/>
    <x v="4"/>
    <x v="6"/>
    <x v="58"/>
    <n v="0"/>
  </r>
  <r>
    <s v="Kentucky Power - Distr"/>
    <s v="Distribution Plant - Electric"/>
    <x v="1"/>
    <s v="KEPCo 101/6 364 - KY Dist"/>
    <x v="4"/>
    <x v="6"/>
    <x v="59"/>
    <n v="47.3"/>
  </r>
  <r>
    <s v="Kentucky Power - Distr"/>
    <s v="Distribution Plant - Electric"/>
    <x v="1"/>
    <s v="KEPCo 101/6 364 - KY Dist"/>
    <x v="4"/>
    <x v="6"/>
    <x v="60"/>
    <n v="-591.9"/>
  </r>
  <r>
    <s v="Kentucky Power - Distr"/>
    <s v="Distribution Plant - Electric"/>
    <x v="1"/>
    <s v="KEPCo 101/6 364 - KY Dist"/>
    <x v="5"/>
    <x v="7"/>
    <x v="40"/>
    <n v="755709.8"/>
  </r>
  <r>
    <s v="Kentucky Power - Distr"/>
    <s v="Distribution Plant - Electric"/>
    <x v="1"/>
    <s v="KEPCo 101/6 364 - KY Dist"/>
    <x v="5"/>
    <x v="7"/>
    <x v="41"/>
    <n v="145626.01999999999"/>
  </r>
  <r>
    <s v="Kentucky Power - Distr"/>
    <s v="Distribution Plant - Electric"/>
    <x v="1"/>
    <s v="KEPCo 101/6 364 - KY Dist"/>
    <x v="5"/>
    <x v="7"/>
    <x v="42"/>
    <n v="-13302.83"/>
  </r>
  <r>
    <s v="Kentucky Power - Distr"/>
    <s v="Distribution Plant - Electric"/>
    <x v="1"/>
    <s v="KEPCo 101/6 364 - KY Dist"/>
    <x v="5"/>
    <x v="7"/>
    <x v="43"/>
    <n v="226015.99"/>
  </r>
  <r>
    <s v="Kentucky Power - Distr"/>
    <s v="Distribution Plant - Electric"/>
    <x v="1"/>
    <s v="KEPCo 101/6 364 - KY Dist"/>
    <x v="5"/>
    <x v="7"/>
    <x v="44"/>
    <n v="353400.36"/>
  </r>
  <r>
    <s v="Kentucky Power - Distr"/>
    <s v="Distribution Plant - Electric"/>
    <x v="1"/>
    <s v="KEPCo 101/6 364 - KY Dist"/>
    <x v="5"/>
    <x v="7"/>
    <x v="45"/>
    <n v="260421.33"/>
  </r>
  <r>
    <s v="Kentucky Power - Distr"/>
    <s v="Distribution Plant - Electric"/>
    <x v="1"/>
    <s v="KEPCo 101/6 364 - KY Dist"/>
    <x v="5"/>
    <x v="7"/>
    <x v="46"/>
    <n v="474290.94"/>
  </r>
  <r>
    <s v="Kentucky Power - Distr"/>
    <s v="Distribution Plant - Electric"/>
    <x v="1"/>
    <s v="KEPCo 101/6 364 - KY Dist"/>
    <x v="5"/>
    <x v="7"/>
    <x v="47"/>
    <n v="458345.43"/>
  </r>
  <r>
    <s v="Kentucky Power - Distr"/>
    <s v="Distribution Plant - Electric"/>
    <x v="1"/>
    <s v="KEPCo 101/6 364 - KY Dist"/>
    <x v="5"/>
    <x v="7"/>
    <x v="61"/>
    <n v="676259.48"/>
  </r>
  <r>
    <s v="Kentucky Power - Distr"/>
    <s v="Distribution Plant - Electric"/>
    <x v="1"/>
    <s v="KEPCo 101/6 364 - KY Dist"/>
    <x v="5"/>
    <x v="7"/>
    <x v="48"/>
    <n v="798132"/>
  </r>
  <r>
    <s v="Kentucky Power - Distr"/>
    <s v="Distribution Plant - Electric"/>
    <x v="1"/>
    <s v="KEPCo 101/6 364 - KY Dist"/>
    <x v="5"/>
    <x v="7"/>
    <x v="49"/>
    <n v="454041.07"/>
  </r>
  <r>
    <s v="Kentucky Power - Distr"/>
    <s v="Distribution Plant - Electric"/>
    <x v="1"/>
    <s v="KEPCo 101/6 364 - KY Dist"/>
    <x v="5"/>
    <x v="7"/>
    <x v="50"/>
    <n v="142135.57"/>
  </r>
  <r>
    <s v="Kentucky Power - Distr"/>
    <s v="Distribution Plant - Electric"/>
    <x v="1"/>
    <s v="KEPCo 101/6 364 - KY Dist"/>
    <x v="5"/>
    <x v="7"/>
    <x v="62"/>
    <n v="-114184.17"/>
  </r>
  <r>
    <s v="Kentucky Power - Distr"/>
    <s v="Distribution Plant - Electric"/>
    <x v="1"/>
    <s v="KEPCo 101/6 364 - KY Dist"/>
    <x v="5"/>
    <x v="7"/>
    <x v="51"/>
    <n v="67685.37"/>
  </r>
  <r>
    <s v="Kentucky Power - Distr"/>
    <s v="Distribution Plant - Electric"/>
    <x v="1"/>
    <s v="KEPCo 101/6 364 - KY Dist"/>
    <x v="5"/>
    <x v="7"/>
    <x v="52"/>
    <n v="-45108.01"/>
  </r>
  <r>
    <s v="Kentucky Power - Distr"/>
    <s v="Distribution Plant - Electric"/>
    <x v="1"/>
    <s v="KEPCo 101/6 364 - KY Dist"/>
    <x v="5"/>
    <x v="7"/>
    <x v="53"/>
    <n v="3840"/>
  </r>
  <r>
    <s v="Kentucky Power - Distr"/>
    <s v="Distribution Plant - Electric"/>
    <x v="1"/>
    <s v="KEPCo 101/6 364 - KY Dist"/>
    <x v="5"/>
    <x v="7"/>
    <x v="54"/>
    <n v="4657.96"/>
  </r>
  <r>
    <s v="Kentucky Power - Distr"/>
    <s v="Distribution Plant - Electric"/>
    <x v="1"/>
    <s v="KEPCo 101/6 364 - KY Dist"/>
    <x v="5"/>
    <x v="7"/>
    <x v="55"/>
    <n v="7916.56"/>
  </r>
  <r>
    <s v="Kentucky Power - Distr"/>
    <s v="Distribution Plant - Electric"/>
    <x v="1"/>
    <s v="KEPCo 101/6 364 - KY Dist"/>
    <x v="5"/>
    <x v="7"/>
    <x v="56"/>
    <n v="7833.24"/>
  </r>
  <r>
    <s v="Kentucky Power - Distr"/>
    <s v="Distribution Plant - Electric"/>
    <x v="1"/>
    <s v="KEPCo 101/6 364 - KY Dist"/>
    <x v="5"/>
    <x v="7"/>
    <x v="63"/>
    <n v="-4598.5200000000004"/>
  </r>
  <r>
    <s v="Kentucky Power - Distr"/>
    <s v="Distribution Plant - Electric"/>
    <x v="1"/>
    <s v="KEPCo 101/6 364 - KY Dist"/>
    <x v="5"/>
    <x v="7"/>
    <x v="64"/>
    <n v="3000.6"/>
  </r>
  <r>
    <s v="Kentucky Power - Distr"/>
    <s v="Distribution Plant - Electric"/>
    <x v="1"/>
    <s v="KEPCo 101/6 364 - KY Dist"/>
    <x v="5"/>
    <x v="7"/>
    <x v="57"/>
    <n v="3607.1"/>
  </r>
  <r>
    <s v="Kentucky Power - Distr"/>
    <s v="Distribution Plant - Electric"/>
    <x v="1"/>
    <s v="KEPCo 101/6 364 - KY Dist"/>
    <x v="5"/>
    <x v="7"/>
    <x v="58"/>
    <n v="1336.3"/>
  </r>
  <r>
    <s v="Kentucky Power - Distr"/>
    <s v="Distribution Plant - Electric"/>
    <x v="1"/>
    <s v="KEPCo 101/6 364 - KY Dist"/>
    <x v="5"/>
    <x v="7"/>
    <x v="59"/>
    <n v="1664"/>
  </r>
  <r>
    <s v="Kentucky Power - Distr"/>
    <s v="Distribution Plant - Electric"/>
    <x v="1"/>
    <s v="KEPCo 101/6 364 - KY Dist"/>
    <x v="5"/>
    <x v="7"/>
    <x v="60"/>
    <n v="2560"/>
  </r>
  <r>
    <s v="Kentucky Power - Distr"/>
    <s v="Distribution Plant - Electric"/>
    <x v="1"/>
    <s v="KEPCo 101/6 364 - KY Dist"/>
    <x v="6"/>
    <x v="8"/>
    <x v="58"/>
    <n v="18157875.41"/>
  </r>
  <r>
    <s v="Kentucky Power - Distr"/>
    <s v="Distribution Plant - Electric"/>
    <x v="1"/>
    <s v="KEPCo 101/6 364 - KY Dist"/>
    <x v="6"/>
    <x v="8"/>
    <x v="59"/>
    <n v="215578"/>
  </r>
  <r>
    <s v="Kentucky Power - Distr"/>
    <s v="Distribution Plant - Electric"/>
    <x v="1"/>
    <s v="KEPCo 101/6 364 - KY Dist"/>
    <x v="6"/>
    <x v="8"/>
    <x v="60"/>
    <n v="13415.64"/>
  </r>
  <r>
    <s v="Kentucky Power - Distr"/>
    <s v="Distribution Plant - Electric"/>
    <x v="0"/>
    <s v="KEPCo 101/6 365 - KY Dist"/>
    <x v="7"/>
    <x v="9"/>
    <x v="65"/>
    <n v="802438.52"/>
  </r>
  <r>
    <s v="Kentucky Power - Distr"/>
    <s v="Distribution Plant - Electric"/>
    <x v="0"/>
    <s v="KEPCo 101/6 365 - KY Dist"/>
    <x v="7"/>
    <x v="9"/>
    <x v="66"/>
    <n v="159643.56"/>
  </r>
  <r>
    <s v="Kentucky Power - Distr"/>
    <s v="Distribution Plant - Electric"/>
    <x v="0"/>
    <s v="KEPCo 101/6 365 - KY Dist"/>
    <x v="7"/>
    <x v="9"/>
    <x v="67"/>
    <n v="301546.87"/>
  </r>
  <r>
    <s v="Kentucky Power - Distr"/>
    <s v="Distribution Plant - Electric"/>
    <x v="0"/>
    <s v="KEPCo 101/6 365 - KY Dist"/>
    <x v="7"/>
    <x v="9"/>
    <x v="68"/>
    <n v="186398.46"/>
  </r>
  <r>
    <s v="Kentucky Power - Distr"/>
    <s v="Distribution Plant - Electric"/>
    <x v="0"/>
    <s v="KEPCo 101/6 365 - KY Dist"/>
    <x v="7"/>
    <x v="9"/>
    <x v="69"/>
    <n v="254307.01"/>
  </r>
  <r>
    <s v="Kentucky Power - Distr"/>
    <s v="Distribution Plant - Electric"/>
    <x v="0"/>
    <s v="KEPCo 101/6 365 - KY Dist"/>
    <x v="7"/>
    <x v="9"/>
    <x v="70"/>
    <n v="70881.39"/>
  </r>
  <r>
    <s v="Kentucky Power - Distr"/>
    <s v="Distribution Plant - Electric"/>
    <x v="0"/>
    <s v="KEPCo 101/6 365 - KY Dist"/>
    <x v="7"/>
    <x v="9"/>
    <x v="71"/>
    <n v="169633.29"/>
  </r>
  <r>
    <s v="Kentucky Power - Distr"/>
    <s v="Distribution Plant - Electric"/>
    <x v="0"/>
    <s v="KEPCo 101/6 365 - KY Dist"/>
    <x v="7"/>
    <x v="9"/>
    <x v="72"/>
    <n v="236019.58"/>
  </r>
  <r>
    <s v="Kentucky Power - Distr"/>
    <s v="Distribution Plant - Electric"/>
    <x v="0"/>
    <s v="KEPCo 101/6 365 - KY Dist"/>
    <x v="7"/>
    <x v="9"/>
    <x v="73"/>
    <n v="185030.5"/>
  </r>
  <r>
    <s v="Kentucky Power - Distr"/>
    <s v="Distribution Plant - Electric"/>
    <x v="0"/>
    <s v="KEPCo 101/6 365 - KY Dist"/>
    <x v="7"/>
    <x v="9"/>
    <x v="74"/>
    <n v="660980.27"/>
  </r>
  <r>
    <s v="Kentucky Power - Distr"/>
    <s v="Distribution Plant - Electric"/>
    <x v="0"/>
    <s v="KEPCo 101/6 365 - KY Dist"/>
    <x v="7"/>
    <x v="9"/>
    <x v="75"/>
    <n v="88905.3"/>
  </r>
  <r>
    <s v="Kentucky Power - Distr"/>
    <s v="Distribution Plant - Electric"/>
    <x v="0"/>
    <s v="KEPCo 101/6 365 - KY Dist"/>
    <x v="7"/>
    <x v="9"/>
    <x v="76"/>
    <n v="80169.91"/>
  </r>
  <r>
    <s v="Kentucky Power - Distr"/>
    <s v="Distribution Plant - Electric"/>
    <x v="0"/>
    <s v="KEPCo 101/6 365 - KY Dist"/>
    <x v="7"/>
    <x v="9"/>
    <x v="77"/>
    <n v="9143.0499999999993"/>
  </r>
  <r>
    <s v="Kentucky Power - Distr"/>
    <s v="Distribution Plant - Electric"/>
    <x v="0"/>
    <s v="KEPCo 101/6 365 - KY Dist"/>
    <x v="7"/>
    <x v="9"/>
    <x v="78"/>
    <n v="3046.48"/>
  </r>
  <r>
    <s v="Kentucky Power - Distr"/>
    <s v="Distribution Plant - Electric"/>
    <x v="1"/>
    <s v="KEPCo 101/6 364 - KY Dist"/>
    <x v="8"/>
    <x v="10"/>
    <x v="4"/>
    <n v="2923572.47"/>
  </r>
  <r>
    <s v="Kentucky Power - Distr"/>
    <s v="Distribution Plant - Electric"/>
    <x v="1"/>
    <s v="KEPCo 101/6 364 - KY Dist"/>
    <x v="8"/>
    <x v="10"/>
    <x v="7"/>
    <n v="2411.7600000000002"/>
  </r>
  <r>
    <s v="Kentucky Power - Distr"/>
    <s v="Distribution Plant - Electric"/>
    <x v="1"/>
    <s v="KEPCo 101/6 364 - KY Dist"/>
    <x v="8"/>
    <x v="10"/>
    <x v="8"/>
    <n v="-2411.7600000000002"/>
  </r>
  <r>
    <s v="Kentucky Power - Distr"/>
    <s v="Distribution Plant - Electric"/>
    <x v="1"/>
    <s v="KEPCo 101/6 364 - KY Dist"/>
    <x v="8"/>
    <x v="10"/>
    <x v="10"/>
    <n v="0"/>
  </r>
  <r>
    <s v="Kentucky Power - Distr"/>
    <s v="Distribution Plant - Electric"/>
    <x v="0"/>
    <s v="KEPCo 101/6 365 - KY Dist"/>
    <x v="8"/>
    <x v="11"/>
    <x v="79"/>
    <n v="3490941.81"/>
  </r>
  <r>
    <s v="Kentucky Power - Distr"/>
    <s v="Distribution Plant - Electric"/>
    <x v="0"/>
    <s v="KEPCo 101/6 365 - KY Dist"/>
    <x v="8"/>
    <x v="11"/>
    <x v="11"/>
    <n v="82799.22"/>
  </r>
  <r>
    <s v="Kentucky Power - Distr"/>
    <s v="Distribution Plant - Electric"/>
    <x v="0"/>
    <s v="KEPCo 101/6 365 - KY Dist"/>
    <x v="8"/>
    <x v="11"/>
    <x v="13"/>
    <n v="91.81"/>
  </r>
  <r>
    <s v="Kentucky Power - Distr"/>
    <s v="Distribution Plant - Electric"/>
    <x v="0"/>
    <s v="KEPCo 101/6 365 - KY Dist"/>
    <x v="8"/>
    <x v="12"/>
    <x v="79"/>
    <n v="168072.37"/>
  </r>
  <r>
    <s v="Kentucky Power - Distr"/>
    <s v="Distribution Plant - Electric"/>
    <x v="0"/>
    <s v="KEPCo 101/6 365 - KY Dist"/>
    <x v="8"/>
    <x v="12"/>
    <x v="11"/>
    <n v="84472.29"/>
  </r>
  <r>
    <s v="Kentucky Power - Distr"/>
    <s v="Distribution Plant - Electric"/>
    <x v="0"/>
    <s v="KEPCo 101/6 365 - KY Dist"/>
    <x v="8"/>
    <x v="12"/>
    <x v="12"/>
    <n v="217725.19"/>
  </r>
  <r>
    <s v="Kentucky Power - Distr"/>
    <s v="Distribution Plant - Electric"/>
    <x v="0"/>
    <s v="KEPCo 101/6 365 - KY Dist"/>
    <x v="8"/>
    <x v="12"/>
    <x v="13"/>
    <n v="136101.41"/>
  </r>
  <r>
    <s v="Kentucky Power - Distr"/>
    <s v="Distribution Plant - Electric"/>
    <x v="0"/>
    <s v="KEPCo 101/6 365 - KY Dist"/>
    <x v="8"/>
    <x v="12"/>
    <x v="14"/>
    <n v="208198.75"/>
  </r>
  <r>
    <s v="Kentucky Power - Distr"/>
    <s v="Distribution Plant - Electric"/>
    <x v="0"/>
    <s v="KEPCo 101/6 365 - KY Dist"/>
    <x v="8"/>
    <x v="12"/>
    <x v="15"/>
    <n v="167565.87"/>
  </r>
  <r>
    <s v="Kentucky Power - Distr"/>
    <s v="Distribution Plant - Electric"/>
    <x v="0"/>
    <s v="KEPCo 101/6 365 - KY Dist"/>
    <x v="8"/>
    <x v="12"/>
    <x v="80"/>
    <n v="215132.13"/>
  </r>
  <r>
    <s v="Kentucky Power - Distr"/>
    <s v="Distribution Plant - Electric"/>
    <x v="0"/>
    <s v="KEPCo 101/6 365 - KY Dist"/>
    <x v="8"/>
    <x v="12"/>
    <x v="81"/>
    <n v="199483.89"/>
  </r>
  <r>
    <s v="Kentucky Power - Distr"/>
    <s v="Distribution Plant - Electric"/>
    <x v="0"/>
    <s v="KEPCo 101/6 365 - KY Dist"/>
    <x v="8"/>
    <x v="12"/>
    <x v="82"/>
    <n v="313146.84999999998"/>
  </r>
  <r>
    <s v="Kentucky Power - Distr"/>
    <s v="Distribution Plant - Electric"/>
    <x v="0"/>
    <s v="KEPCo 101/6 365 - KY Dist"/>
    <x v="8"/>
    <x v="12"/>
    <x v="83"/>
    <n v="148655.5"/>
  </r>
  <r>
    <s v="Kentucky Power - Distr"/>
    <s v="Distribution Plant - Electric"/>
    <x v="0"/>
    <s v="KEPCo 101/6 365 - KY Dist"/>
    <x v="8"/>
    <x v="12"/>
    <x v="84"/>
    <n v="286410.01"/>
  </r>
  <r>
    <s v="Kentucky Power - Distr"/>
    <s v="Distribution Plant - Electric"/>
    <x v="0"/>
    <s v="KEPCo 101/6 365 - KY Dist"/>
    <x v="8"/>
    <x v="12"/>
    <x v="85"/>
    <n v="146342.59"/>
  </r>
  <r>
    <s v="Kentucky Power - Distr"/>
    <s v="Distribution Plant - Electric"/>
    <x v="0"/>
    <s v="KEPCo 101/6 365 - KY Dist"/>
    <x v="8"/>
    <x v="12"/>
    <x v="10"/>
    <n v="57666.28"/>
  </r>
  <r>
    <s v="Kentucky Power - Distr"/>
    <s v="Distribution Plant - Electric"/>
    <x v="0"/>
    <s v="KEPCo 101/6 365 - KY Dist"/>
    <x v="8"/>
    <x v="12"/>
    <x v="16"/>
    <n v="15194.69"/>
  </r>
  <r>
    <s v="Kentucky Power - Distr"/>
    <s v="Distribution Plant - Electric"/>
    <x v="0"/>
    <s v="KEPCo 101/6 365 - KY Dist"/>
    <x v="8"/>
    <x v="12"/>
    <x v="17"/>
    <n v="-6278.79"/>
  </r>
  <r>
    <s v="Kentucky Power - Distr"/>
    <s v="Distribution Plant - Electric"/>
    <x v="0"/>
    <s v="KEPCo 101/6 365 - KY Dist"/>
    <x v="8"/>
    <x v="12"/>
    <x v="18"/>
    <n v="89.77"/>
  </r>
  <r>
    <s v="Kentucky Power - Distr"/>
    <s v="Distribution Plant - Electric"/>
    <x v="0"/>
    <s v="KEPCo 101/6 365 - KY Dist"/>
    <x v="8"/>
    <x v="12"/>
    <x v="19"/>
    <n v="0.39"/>
  </r>
  <r>
    <s v="Kentucky Power - Distr"/>
    <s v="Distribution Plant - Electric"/>
    <x v="0"/>
    <s v="KEPCo 101/6 365 - KY Dist"/>
    <x v="8"/>
    <x v="13"/>
    <x v="10"/>
    <n v="101025.52"/>
  </r>
  <r>
    <s v="Kentucky Power - Distr"/>
    <s v="Distribution Plant - Electric"/>
    <x v="0"/>
    <s v="KEPCo 101/6 365 - KY Dist"/>
    <x v="8"/>
    <x v="13"/>
    <x v="16"/>
    <n v="157491.17000000001"/>
  </r>
  <r>
    <s v="Kentucky Power - Distr"/>
    <s v="Distribution Plant - Electric"/>
    <x v="0"/>
    <s v="KEPCo 101/6 365 - KY Dist"/>
    <x v="8"/>
    <x v="13"/>
    <x v="17"/>
    <n v="271613.75"/>
  </r>
  <r>
    <s v="Kentucky Power - Distr"/>
    <s v="Distribution Plant - Electric"/>
    <x v="0"/>
    <s v="KEPCo 101/6 365 - KY Dist"/>
    <x v="8"/>
    <x v="13"/>
    <x v="18"/>
    <n v="287936.48"/>
  </r>
  <r>
    <s v="Kentucky Power - Distr"/>
    <s v="Distribution Plant - Electric"/>
    <x v="0"/>
    <s v="KEPCo 101/6 365 - KY Dist"/>
    <x v="8"/>
    <x v="13"/>
    <x v="19"/>
    <n v="279667.32"/>
  </r>
  <r>
    <s v="Kentucky Power - Distr"/>
    <s v="Distribution Plant - Electric"/>
    <x v="0"/>
    <s v="KEPCo 101/6 365 - KY Dist"/>
    <x v="8"/>
    <x v="13"/>
    <x v="20"/>
    <n v="386216.68"/>
  </r>
  <r>
    <s v="Kentucky Power - Distr"/>
    <s v="Distribution Plant - Electric"/>
    <x v="0"/>
    <s v="KEPCo 101/6 365 - KY Dist"/>
    <x v="8"/>
    <x v="13"/>
    <x v="21"/>
    <n v="199592.11"/>
  </r>
  <r>
    <s v="Kentucky Power - Distr"/>
    <s v="Distribution Plant - Electric"/>
    <x v="0"/>
    <s v="KEPCo 101/6 365 - KY Dist"/>
    <x v="8"/>
    <x v="13"/>
    <x v="22"/>
    <n v="189315.13"/>
  </r>
  <r>
    <s v="Kentucky Power - Distr"/>
    <s v="Distribution Plant - Electric"/>
    <x v="0"/>
    <s v="KEPCo 101/6 365 - KY Dist"/>
    <x v="8"/>
    <x v="13"/>
    <x v="23"/>
    <n v="201230.11"/>
  </r>
  <r>
    <s v="Kentucky Power - Distr"/>
    <s v="Distribution Plant - Electric"/>
    <x v="0"/>
    <s v="KEPCo 101/6 365 - KY Dist"/>
    <x v="8"/>
    <x v="13"/>
    <x v="24"/>
    <n v="234815.04"/>
  </r>
  <r>
    <s v="Kentucky Power - Distr"/>
    <s v="Distribution Plant - Electric"/>
    <x v="0"/>
    <s v="KEPCo 101/6 365 - KY Dist"/>
    <x v="8"/>
    <x v="13"/>
    <x v="25"/>
    <n v="243316.73"/>
  </r>
  <r>
    <s v="Kentucky Power - Distr"/>
    <s v="Distribution Plant - Electric"/>
    <x v="0"/>
    <s v="KEPCo 101/6 365 - KY Dist"/>
    <x v="8"/>
    <x v="13"/>
    <x v="26"/>
    <n v="132709.62"/>
  </r>
  <r>
    <s v="Kentucky Power - Distr"/>
    <s v="Distribution Plant - Electric"/>
    <x v="0"/>
    <s v="KEPCo 101/6 365 - KY Dist"/>
    <x v="8"/>
    <x v="13"/>
    <x v="27"/>
    <n v="313996.43"/>
  </r>
  <r>
    <s v="Kentucky Power - Distr"/>
    <s v="Distribution Plant - Electric"/>
    <x v="0"/>
    <s v="KEPCo 101/6 365 - KY Dist"/>
    <x v="8"/>
    <x v="13"/>
    <x v="28"/>
    <n v="226271.46"/>
  </r>
  <r>
    <s v="Kentucky Power - Distr"/>
    <s v="Distribution Plant - Electric"/>
    <x v="0"/>
    <s v="KEPCo 101/6 365 - KY Dist"/>
    <x v="8"/>
    <x v="13"/>
    <x v="29"/>
    <n v="343246.03"/>
  </r>
  <r>
    <s v="Kentucky Power - Distr"/>
    <s v="Distribution Plant - Electric"/>
    <x v="0"/>
    <s v="KEPCo 101/6 365 - KY Dist"/>
    <x v="8"/>
    <x v="13"/>
    <x v="32"/>
    <n v="453265.93"/>
  </r>
  <r>
    <s v="Kentucky Power - Distr"/>
    <s v="Distribution Plant - Electric"/>
    <x v="0"/>
    <s v="KEPCo 101/6 365 - KY Dist"/>
    <x v="8"/>
    <x v="13"/>
    <x v="30"/>
    <n v="300879.88"/>
  </r>
  <r>
    <s v="Kentucky Power - Distr"/>
    <s v="Distribution Plant - Electric"/>
    <x v="0"/>
    <s v="KEPCo 101/6 365 - KY Dist"/>
    <x v="8"/>
    <x v="13"/>
    <x v="31"/>
    <n v="266585.61"/>
  </r>
  <r>
    <s v="Kentucky Power - Distr"/>
    <s v="Distribution Plant - Electric"/>
    <x v="0"/>
    <s v="KEPCo 101/6 365 - KY Dist"/>
    <x v="8"/>
    <x v="13"/>
    <x v="33"/>
    <n v="71720.78"/>
  </r>
  <r>
    <s v="Kentucky Power - Distr"/>
    <s v="Distribution Plant - Electric"/>
    <x v="0"/>
    <s v="KEPCo 101/6 365 - KY Dist"/>
    <x v="8"/>
    <x v="13"/>
    <x v="34"/>
    <n v="92529.02"/>
  </r>
  <r>
    <s v="Kentucky Power - Distr"/>
    <s v="Distribution Plant - Electric"/>
    <x v="0"/>
    <s v="KEPCo 101/6 365 - KY Dist"/>
    <x v="8"/>
    <x v="13"/>
    <x v="35"/>
    <n v="207786.62"/>
  </r>
  <r>
    <s v="Kentucky Power - Distr"/>
    <s v="Distribution Plant - Electric"/>
    <x v="0"/>
    <s v="KEPCo 101/6 365 - KY Dist"/>
    <x v="8"/>
    <x v="13"/>
    <x v="36"/>
    <n v="494727.62"/>
  </r>
  <r>
    <s v="Kentucky Power - Distr"/>
    <s v="Distribution Plant - Electric"/>
    <x v="0"/>
    <s v="KEPCo 101/6 365 - KY Dist"/>
    <x v="8"/>
    <x v="13"/>
    <x v="37"/>
    <n v="56781.38"/>
  </r>
  <r>
    <s v="Kentucky Power - Distr"/>
    <s v="Distribution Plant - Electric"/>
    <x v="0"/>
    <s v="KEPCo 101/6 365 - KY Dist"/>
    <x v="8"/>
    <x v="13"/>
    <x v="38"/>
    <n v="4220.9799999999996"/>
  </r>
  <r>
    <s v="Kentucky Power - Distr"/>
    <s v="Distribution Plant - Electric"/>
    <x v="0"/>
    <s v="KEPCo 101/6 365 - KY Dist"/>
    <x v="8"/>
    <x v="13"/>
    <x v="39"/>
    <n v="34659.07"/>
  </r>
  <r>
    <s v="Kentucky Power - Distr"/>
    <s v="Distribution Plant - Electric"/>
    <x v="0"/>
    <s v="KEPCo 101/6 365 - KY Dist"/>
    <x v="8"/>
    <x v="13"/>
    <x v="40"/>
    <n v="72498.39"/>
  </r>
  <r>
    <s v="Kentucky Power - Distr"/>
    <s v="Distribution Plant - Electric"/>
    <x v="0"/>
    <s v="KEPCo 101/6 365 - KY Dist"/>
    <x v="8"/>
    <x v="13"/>
    <x v="41"/>
    <n v="127034.67"/>
  </r>
  <r>
    <s v="Kentucky Power - Distr"/>
    <s v="Distribution Plant - Electric"/>
    <x v="0"/>
    <s v="KEPCo 101/6 365 - KY Dist"/>
    <x v="8"/>
    <x v="13"/>
    <x v="42"/>
    <n v="108767.9"/>
  </r>
  <r>
    <s v="Kentucky Power - Distr"/>
    <s v="Distribution Plant - Electric"/>
    <x v="0"/>
    <s v="KEPCo 101/6 365 - KY Dist"/>
    <x v="8"/>
    <x v="13"/>
    <x v="43"/>
    <n v="62435.74"/>
  </r>
  <r>
    <s v="Kentucky Power - Distr"/>
    <s v="Distribution Plant - Electric"/>
    <x v="0"/>
    <s v="KEPCo 101/6 365 - KY Dist"/>
    <x v="8"/>
    <x v="13"/>
    <x v="44"/>
    <n v="-13493.51"/>
  </r>
  <r>
    <s v="Kentucky Power - Distr"/>
    <s v="Distribution Plant - Electric"/>
    <x v="0"/>
    <s v="KEPCo 101/6 365 - KY Dist"/>
    <x v="8"/>
    <x v="13"/>
    <x v="45"/>
    <n v="46568.77"/>
  </r>
  <r>
    <s v="Kentucky Power - Distr"/>
    <s v="Distribution Plant - Electric"/>
    <x v="0"/>
    <s v="KEPCo 101/6 365 - KY Dist"/>
    <x v="8"/>
    <x v="13"/>
    <x v="46"/>
    <n v="167052.23000000001"/>
  </r>
  <r>
    <s v="Kentucky Power - Distr"/>
    <s v="Distribution Plant - Electric"/>
    <x v="0"/>
    <s v="KEPCo 101/6 365 - KY Dist"/>
    <x v="8"/>
    <x v="13"/>
    <x v="47"/>
    <n v="395240.08"/>
  </r>
  <r>
    <s v="Kentucky Power - Distr"/>
    <s v="Distribution Plant - Electric"/>
    <x v="0"/>
    <s v="KEPCo 101/6 365 - KY Dist"/>
    <x v="8"/>
    <x v="13"/>
    <x v="61"/>
    <n v="96781.89"/>
  </r>
  <r>
    <s v="Kentucky Power - Distr"/>
    <s v="Distribution Plant - Electric"/>
    <x v="0"/>
    <s v="KEPCo 101/6 365 - KY Dist"/>
    <x v="8"/>
    <x v="13"/>
    <x v="48"/>
    <n v="114760.52"/>
  </r>
  <r>
    <s v="Kentucky Power - Distr"/>
    <s v="Distribution Plant - Electric"/>
    <x v="0"/>
    <s v="KEPCo 101/6 365 - KY Dist"/>
    <x v="8"/>
    <x v="13"/>
    <x v="49"/>
    <n v="228872.85"/>
  </r>
  <r>
    <s v="Kentucky Power - Distr"/>
    <s v="Distribution Plant - Electric"/>
    <x v="0"/>
    <s v="KEPCo 101/6 365 - KY Dist"/>
    <x v="8"/>
    <x v="13"/>
    <x v="50"/>
    <n v="165573.39000000001"/>
  </r>
  <r>
    <s v="Kentucky Power - Distr"/>
    <s v="Distribution Plant - Electric"/>
    <x v="0"/>
    <s v="KEPCo 101/6 365 - KY Dist"/>
    <x v="8"/>
    <x v="13"/>
    <x v="62"/>
    <n v="160476.81"/>
  </r>
  <r>
    <s v="Kentucky Power - Distr"/>
    <s v="Distribution Plant - Electric"/>
    <x v="0"/>
    <s v="KEPCo 101/6 365 - KY Dist"/>
    <x v="8"/>
    <x v="13"/>
    <x v="51"/>
    <n v="127839.59"/>
  </r>
  <r>
    <s v="Kentucky Power - Distr"/>
    <s v="Distribution Plant - Electric"/>
    <x v="0"/>
    <s v="KEPCo 101/6 365 - KY Dist"/>
    <x v="8"/>
    <x v="13"/>
    <x v="52"/>
    <n v="100477.83"/>
  </r>
  <r>
    <s v="Kentucky Power - Distr"/>
    <s v="Distribution Plant - Electric"/>
    <x v="0"/>
    <s v="KEPCo 101/6 365 - KY Dist"/>
    <x v="8"/>
    <x v="13"/>
    <x v="53"/>
    <n v="72698.75"/>
  </r>
  <r>
    <s v="Kentucky Power - Distr"/>
    <s v="Distribution Plant - Electric"/>
    <x v="0"/>
    <s v="KEPCo 101/6 365 - KY Dist"/>
    <x v="8"/>
    <x v="13"/>
    <x v="54"/>
    <n v="56614.03"/>
  </r>
  <r>
    <s v="Kentucky Power - Distr"/>
    <s v="Distribution Plant - Electric"/>
    <x v="0"/>
    <s v="KEPCo 101/6 365 - KY Dist"/>
    <x v="8"/>
    <x v="13"/>
    <x v="55"/>
    <n v="107505.73"/>
  </r>
  <r>
    <s v="Kentucky Power - Distr"/>
    <s v="Distribution Plant - Electric"/>
    <x v="0"/>
    <s v="KEPCo 101/6 365 - KY Dist"/>
    <x v="8"/>
    <x v="13"/>
    <x v="56"/>
    <n v="234391.31"/>
  </r>
  <r>
    <s v="Kentucky Power - Distr"/>
    <s v="Distribution Plant - Electric"/>
    <x v="0"/>
    <s v="KEPCo 101/6 365 - KY Dist"/>
    <x v="8"/>
    <x v="13"/>
    <x v="63"/>
    <n v="234162.37"/>
  </r>
  <r>
    <s v="Kentucky Power - Distr"/>
    <s v="Distribution Plant - Electric"/>
    <x v="0"/>
    <s v="KEPCo 101/6 365 - KY Dist"/>
    <x v="8"/>
    <x v="13"/>
    <x v="64"/>
    <n v="187484.32"/>
  </r>
  <r>
    <s v="Kentucky Power - Distr"/>
    <s v="Distribution Plant - Electric"/>
    <x v="0"/>
    <s v="KEPCo 101/6 365 - KY Dist"/>
    <x v="8"/>
    <x v="13"/>
    <x v="57"/>
    <n v="338149.5"/>
  </r>
  <r>
    <s v="Kentucky Power - Distr"/>
    <s v="Distribution Plant - Electric"/>
    <x v="0"/>
    <s v="KEPCo 101/6 365 - KY Dist"/>
    <x v="8"/>
    <x v="13"/>
    <x v="58"/>
    <n v="171286.37"/>
  </r>
  <r>
    <s v="Kentucky Power - Distr"/>
    <s v="Distribution Plant - Electric"/>
    <x v="0"/>
    <s v="KEPCo 101/6 365 - KY Dist"/>
    <x v="8"/>
    <x v="13"/>
    <x v="59"/>
    <n v="70851.899999999994"/>
  </r>
  <r>
    <s v="Kentucky Power - Distr"/>
    <s v="Distribution Plant - Electric"/>
    <x v="0"/>
    <s v="KEPCo 101/6 365 - KY Dist"/>
    <x v="8"/>
    <x v="13"/>
    <x v="60"/>
    <n v="61627.7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8BE1B3A-1608-4129-A5BC-0C458B44497B}" name="PivotTable1" cacheId="8" applyNumberFormats="0" applyBorderFormats="0" applyFontFormats="0" applyPatternFormats="0" applyAlignmentFormats="0" applyWidthHeightFormats="1" dataCaption="Values" updatedVersion="8" minRefreshableVersion="3" useAutoFormatting="1" itemPrintTitles="1" createdVersion="6" indent="0" compact="0" compactData="0" multipleFieldFilters="0">
  <location ref="A3:L148" firstHeaderRow="1" firstDataRow="2" firstDataCol="2" rowPageCount="1" colPageCount="1"/>
  <pivotFields count="8">
    <pivotField compact="0" outline="0" showAll="0"/>
    <pivotField compact="0" outline="0" showAll="0"/>
    <pivotField axis="axisRow" compact="0" outline="0" showAll="0">
      <items count="4">
        <item x="1"/>
        <item x="0"/>
        <item m="1" x="2"/>
        <item t="default"/>
      </items>
    </pivotField>
    <pivotField compact="0" outline="0" showAll="0"/>
    <pivotField axis="axisCol" compact="0" outline="0" showAll="0" defaultSubtotal="0">
      <items count="10">
        <item x="0"/>
        <item x="1"/>
        <item x="2"/>
        <item x="3"/>
        <item x="4"/>
        <item x="5"/>
        <item x="6"/>
        <item x="8"/>
        <item x="7"/>
        <item m="1" x="9"/>
      </items>
    </pivotField>
    <pivotField axis="axisPage" compact="0" outline="0" multipleItemSelectionAllowed="1" showAll="0">
      <items count="16">
        <item x="11"/>
        <item x="12"/>
        <item x="0"/>
        <item x="10"/>
        <item x="2"/>
        <item x="3"/>
        <item x="4"/>
        <item x="13"/>
        <item x="5"/>
        <item x="6"/>
        <item x="7"/>
        <item x="8"/>
        <item x="9"/>
        <item x="1"/>
        <item m="1" x="14"/>
        <item t="default"/>
      </items>
    </pivotField>
    <pivotField axis="axisRow" compact="0" outline="0" showAll="0">
      <items count="87">
        <item x="0"/>
        <item x="1"/>
        <item x="2"/>
        <item x="3"/>
        <item x="4"/>
        <item x="5"/>
        <item x="6"/>
        <item x="7"/>
        <item x="8"/>
        <item x="9"/>
        <item x="79"/>
        <item x="11"/>
        <item x="12"/>
        <item x="13"/>
        <item x="14"/>
        <item x="15"/>
        <item x="80"/>
        <item x="81"/>
        <item x="82"/>
        <item x="83"/>
        <item x="84"/>
        <item x="85"/>
        <item x="10"/>
        <item x="16"/>
        <item x="17"/>
        <item x="18"/>
        <item x="19"/>
        <item x="20"/>
        <item x="21"/>
        <item x="22"/>
        <item x="23"/>
        <item x="24"/>
        <item x="25"/>
        <item x="26"/>
        <item x="27"/>
        <item x="28"/>
        <item x="29"/>
        <item x="32"/>
        <item x="30"/>
        <item x="31"/>
        <item x="33"/>
        <item x="34"/>
        <item x="35"/>
        <item x="36"/>
        <item x="37"/>
        <item x="38"/>
        <item x="39"/>
        <item x="40"/>
        <item x="41"/>
        <item x="42"/>
        <item x="43"/>
        <item x="44"/>
        <item x="45"/>
        <item x="46"/>
        <item x="47"/>
        <item x="61"/>
        <item x="48"/>
        <item x="49"/>
        <item x="50"/>
        <item x="62"/>
        <item x="51"/>
        <item x="52"/>
        <item x="53"/>
        <item x="54"/>
        <item x="55"/>
        <item x="56"/>
        <item x="63"/>
        <item x="64"/>
        <item x="57"/>
        <item x="58"/>
        <item x="59"/>
        <item x="65"/>
        <item x="66"/>
        <item x="67"/>
        <item x="68"/>
        <item x="69"/>
        <item x="70"/>
        <item x="71"/>
        <item x="72"/>
        <item x="73"/>
        <item x="74"/>
        <item x="75"/>
        <item x="76"/>
        <item x="77"/>
        <item x="78"/>
        <item x="60"/>
        <item t="default"/>
      </items>
    </pivotField>
    <pivotField dataField="1" compact="0" numFmtId="8" outline="0" showAll="0"/>
  </pivotFields>
  <rowFields count="2">
    <field x="2"/>
    <field x="6"/>
  </rowFields>
  <rowItems count="144">
    <i>
      <x/>
      <x v="1"/>
    </i>
    <i r="1">
      <x v="2"/>
    </i>
    <i r="1">
      <x v="3"/>
    </i>
    <i r="1">
      <x v="4"/>
    </i>
    <i r="1">
      <x v="5"/>
    </i>
    <i r="1">
      <x v="6"/>
    </i>
    <i r="1">
      <x v="7"/>
    </i>
    <i r="1">
      <x v="8"/>
    </i>
    <i r="1">
      <x v="9"/>
    </i>
    <i r="1">
      <x v="11"/>
    </i>
    <i r="1">
      <x v="12"/>
    </i>
    <i r="1">
      <x v="13"/>
    </i>
    <i r="1">
      <x v="14"/>
    </i>
    <i r="1">
      <x v="15"/>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6"/>
    </i>
    <i r="1">
      <x v="57"/>
    </i>
    <i r="1">
      <x v="58"/>
    </i>
    <i r="1">
      <x v="59"/>
    </i>
    <i r="1">
      <x v="60"/>
    </i>
    <i r="1">
      <x v="61"/>
    </i>
    <i r="1">
      <x v="62"/>
    </i>
    <i r="1">
      <x v="63"/>
    </i>
    <i r="1">
      <x v="64"/>
    </i>
    <i r="1">
      <x v="65"/>
    </i>
    <i r="1">
      <x v="66"/>
    </i>
    <i r="1">
      <x v="67"/>
    </i>
    <i r="1">
      <x v="68"/>
    </i>
    <i r="1">
      <x v="69"/>
    </i>
    <i r="1">
      <x v="70"/>
    </i>
    <i r="1">
      <x v="85"/>
    </i>
    <i t="default">
      <x/>
    </i>
    <i>
      <x v="1"/>
      <x/>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6"/>
    </i>
    <i r="1">
      <x v="57"/>
    </i>
    <i r="1">
      <x v="58"/>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2"/>
    </i>
    <i r="1">
      <x v="83"/>
    </i>
    <i r="1">
      <x v="84"/>
    </i>
    <i r="1">
      <x v="85"/>
    </i>
    <i t="default">
      <x v="1"/>
    </i>
    <i t="grand">
      <x/>
    </i>
  </rowItems>
  <colFields count="1">
    <field x="4"/>
  </colFields>
  <colItems count="10">
    <i>
      <x/>
    </i>
    <i>
      <x v="1"/>
    </i>
    <i>
      <x v="2"/>
    </i>
    <i>
      <x v="3"/>
    </i>
    <i>
      <x v="4"/>
    </i>
    <i>
      <x v="5"/>
    </i>
    <i>
      <x v="6"/>
    </i>
    <i>
      <x v="7"/>
    </i>
    <i>
      <x v="8"/>
    </i>
    <i t="grand">
      <x/>
    </i>
  </colItems>
  <pageFields count="1">
    <pageField fld="5" hier="-1"/>
  </pageFields>
  <dataFields count="1">
    <dataField name="Sum of Activity Cost" fld="7" baseField="0" baseItem="0" numFmtId="43"/>
  </dataFields>
  <formats count="12">
    <format dxfId="15">
      <pivotArea outline="0" collapsedLevelsAreSubtotals="1" fieldPosition="0"/>
    </format>
    <format dxfId="14">
      <pivotArea dataOnly="0" labelOnly="1" outline="0" fieldPosition="0">
        <references count="1">
          <reference field="4" count="0"/>
        </references>
      </pivotArea>
    </format>
    <format dxfId="13">
      <pivotArea dataOnly="0" labelOnly="1" grandCol="1" outline="0" fieldPosition="0"/>
    </format>
    <format dxfId="12">
      <pivotArea dataOnly="0" labelOnly="1" outline="0" fieldPosition="0">
        <references count="2">
          <reference field="4" count="1" selected="0">
            <x v="0"/>
          </reference>
          <reference field="5" count="1">
            <x v="2"/>
          </reference>
        </references>
      </pivotArea>
    </format>
    <format dxfId="11">
      <pivotArea dataOnly="0" labelOnly="1" outline="0" fieldPosition="0">
        <references count="2">
          <reference field="4" count="1" selected="0">
            <x v="1"/>
          </reference>
          <reference field="5" count="1">
            <x v="4"/>
          </reference>
        </references>
      </pivotArea>
    </format>
    <format dxfId="10">
      <pivotArea dataOnly="0" labelOnly="1" outline="0" fieldPosition="0">
        <references count="2">
          <reference field="4" count="1" selected="0">
            <x v="2"/>
          </reference>
          <reference field="5" count="1">
            <x v="5"/>
          </reference>
        </references>
      </pivotArea>
    </format>
    <format dxfId="9">
      <pivotArea dataOnly="0" labelOnly="1" outline="0" fieldPosition="0">
        <references count="2">
          <reference field="4" count="1" selected="0">
            <x v="3"/>
          </reference>
          <reference field="5" count="2">
            <x v="6"/>
            <x v="8"/>
          </reference>
        </references>
      </pivotArea>
    </format>
    <format dxfId="8">
      <pivotArea dataOnly="0" labelOnly="1" outline="0" fieldPosition="0">
        <references count="2">
          <reference field="4" count="1" selected="0">
            <x v="4"/>
          </reference>
          <reference field="5" count="1">
            <x v="9"/>
          </reference>
        </references>
      </pivotArea>
    </format>
    <format dxfId="7">
      <pivotArea dataOnly="0" labelOnly="1" outline="0" fieldPosition="0">
        <references count="2">
          <reference field="4" count="1" selected="0">
            <x v="5"/>
          </reference>
          <reference field="5" count="1">
            <x v="10"/>
          </reference>
        </references>
      </pivotArea>
    </format>
    <format dxfId="6">
      <pivotArea dataOnly="0" labelOnly="1" outline="0" fieldPosition="0">
        <references count="2">
          <reference field="4" count="1" selected="0">
            <x v="6"/>
          </reference>
          <reference field="5" count="1">
            <x v="11"/>
          </reference>
        </references>
      </pivotArea>
    </format>
    <format dxfId="5">
      <pivotArea dataOnly="0" labelOnly="1" outline="0" fieldPosition="0">
        <references count="2">
          <reference field="4" count="1" selected="0">
            <x v="7"/>
          </reference>
          <reference field="5" count="4">
            <x v="0"/>
            <x v="1"/>
            <x v="3"/>
            <x v="7"/>
          </reference>
        </references>
      </pivotArea>
    </format>
    <format dxfId="4">
      <pivotArea dataOnly="0" labelOnly="1" outline="0" fieldPosition="0">
        <references count="2">
          <reference field="4" count="1" selected="0">
            <x v="8"/>
          </reference>
          <reference field="5" count="1">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A29814F-E147-445A-B3EE-76E7852E34E4}" name="PivotTable6"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2:B37" firstHeaderRow="1" firstDataRow="1" firstDataCol="1" rowPageCount="1" colPageCount="1"/>
  <pivotFields count="8">
    <pivotField showAll="0"/>
    <pivotField showAll="0"/>
    <pivotField showAll="0"/>
    <pivotField showAll="0"/>
    <pivotField showAll="0"/>
    <pivotField axis="axisRow" showAll="0">
      <items count="16">
        <item x="11"/>
        <item x="12"/>
        <item x="0"/>
        <item x="1"/>
        <item x="10"/>
        <item x="2"/>
        <item x="3"/>
        <item x="4"/>
        <item x="13"/>
        <item x="5"/>
        <item x="6"/>
        <item x="7"/>
        <item x="8"/>
        <item x="9"/>
        <item m="1" x="14"/>
        <item t="default"/>
      </items>
    </pivotField>
    <pivotField axis="axisPage" multipleItemSelectionAllowed="1" showAll="0">
      <items count="87">
        <item x="0"/>
        <item x="1"/>
        <item x="2"/>
        <item x="3"/>
        <item x="4"/>
        <item x="5"/>
        <item x="6"/>
        <item x="7"/>
        <item x="8"/>
        <item x="9"/>
        <item x="79"/>
        <item x="11"/>
        <item x="12"/>
        <item x="13"/>
        <item x="14"/>
        <item x="15"/>
        <item x="80"/>
        <item x="81"/>
        <item x="82"/>
        <item x="83"/>
        <item x="84"/>
        <item x="85"/>
        <item x="10"/>
        <item x="16"/>
        <item x="17"/>
        <item x="18"/>
        <item x="19"/>
        <item x="20"/>
        <item x="21"/>
        <item x="22"/>
        <item x="23"/>
        <item x="24"/>
        <item x="25"/>
        <item x="26"/>
        <item x="27"/>
        <item x="28"/>
        <item x="29"/>
        <item x="32"/>
        <item x="30"/>
        <item x="31"/>
        <item x="33"/>
        <item x="34"/>
        <item x="35"/>
        <item x="36"/>
        <item x="37"/>
        <item x="38"/>
        <item x="39"/>
        <item x="40"/>
        <item x="41"/>
        <item x="42"/>
        <item x="43"/>
        <item x="44"/>
        <item x="45"/>
        <item x="46"/>
        <item x="47"/>
        <item x="61"/>
        <item x="48"/>
        <item x="49"/>
        <item x="50"/>
        <item x="62"/>
        <item x="51"/>
        <item x="52"/>
        <item x="53"/>
        <item x="54"/>
        <item x="55"/>
        <item x="56"/>
        <item x="63"/>
        <item x="64"/>
        <item x="57"/>
        <item x="58"/>
        <item x="59"/>
        <item x="65"/>
        <item x="66"/>
        <item x="67"/>
        <item x="68"/>
        <item x="69"/>
        <item x="70"/>
        <item x="71"/>
        <item x="72"/>
        <item x="73"/>
        <item x="74"/>
        <item x="75"/>
        <item x="76"/>
        <item x="77"/>
        <item x="78"/>
        <item x="60"/>
        <item t="default"/>
      </items>
    </pivotField>
    <pivotField dataField="1" numFmtId="8" showAll="0"/>
  </pivotFields>
  <rowFields count="1">
    <field x="5"/>
  </rowFields>
  <rowItems count="15">
    <i>
      <x/>
    </i>
    <i>
      <x v="1"/>
    </i>
    <i>
      <x v="2"/>
    </i>
    <i>
      <x v="3"/>
    </i>
    <i>
      <x v="4"/>
    </i>
    <i>
      <x v="5"/>
    </i>
    <i>
      <x v="6"/>
    </i>
    <i>
      <x v="7"/>
    </i>
    <i>
      <x v="8"/>
    </i>
    <i>
      <x v="9"/>
    </i>
    <i>
      <x v="10"/>
    </i>
    <i>
      <x v="11"/>
    </i>
    <i>
      <x v="12"/>
    </i>
    <i>
      <x v="13"/>
    </i>
    <i t="grand">
      <x/>
    </i>
  </rowItems>
  <colItems count="1">
    <i/>
  </colItems>
  <pageFields count="1">
    <pageField fld="6" hier="-1"/>
  </pageFields>
  <dataFields count="1">
    <dataField name="Sum of Activity Cost" fld="7" baseField="0" baseItem="0" numFmtId="8"/>
  </dataFields>
  <formats count="2">
    <format dxfId="1">
      <pivotArea dataOnly="0" labelOnly="1" fieldPosition="0">
        <references count="1">
          <reference field="5" count="1">
            <x v="3"/>
          </reference>
        </references>
      </pivotArea>
    </format>
    <format dxfId="0">
      <pivotArea collapsedLevelsAreSubtotals="1" fieldPosition="0">
        <references count="1">
          <reference field="5" count="12">
            <x v="0"/>
            <x v="1"/>
            <x v="2"/>
            <x v="3"/>
            <x v="4"/>
            <x v="5"/>
            <x v="6"/>
            <x v="7"/>
            <x v="8"/>
            <x v="9"/>
            <x v="10"/>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334D1E1-7440-4A5A-9313-98FD40B7F0F5}" name="PivotTable1"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7" firstHeaderRow="1" firstDataRow="1" firstDataCol="1" rowPageCount="1" colPageCount="1"/>
  <pivotFields count="8">
    <pivotField showAll="0"/>
    <pivotField showAll="0"/>
    <pivotField showAll="0"/>
    <pivotField showAll="0"/>
    <pivotField showAll="0"/>
    <pivotField axis="axisRow" showAll="0">
      <items count="16">
        <item x="11"/>
        <item x="12"/>
        <item x="0"/>
        <item x="1"/>
        <item x="10"/>
        <item x="2"/>
        <item x="3"/>
        <item x="4"/>
        <item x="13"/>
        <item x="5"/>
        <item x="6"/>
        <item x="7"/>
        <item x="8"/>
        <item x="9"/>
        <item m="1" x="14"/>
        <item t="default"/>
      </items>
    </pivotField>
    <pivotField axis="axisPage" multipleItemSelectionAllowed="1" showAll="0">
      <items count="87">
        <item x="0"/>
        <item x="1"/>
        <item x="2"/>
        <item x="3"/>
        <item x="4"/>
        <item x="5"/>
        <item x="6"/>
        <item x="7"/>
        <item x="8"/>
        <item x="9"/>
        <item x="79"/>
        <item x="11"/>
        <item x="12"/>
        <item x="13"/>
        <item x="14"/>
        <item x="15"/>
        <item x="80"/>
        <item x="81"/>
        <item x="82"/>
        <item x="83"/>
        <item x="84"/>
        <item x="85"/>
        <item x="10"/>
        <item x="16"/>
        <item x="17"/>
        <item x="18"/>
        <item x="19"/>
        <item x="20"/>
        <item x="21"/>
        <item x="22"/>
        <item x="23"/>
        <item x="24"/>
        <item x="25"/>
        <item x="26"/>
        <item x="27"/>
        <item x="28"/>
        <item x="29"/>
        <item x="32"/>
        <item x="30"/>
        <item x="31"/>
        <item x="33"/>
        <item x="34"/>
        <item x="35"/>
        <item x="36"/>
        <item x="37"/>
        <item x="38"/>
        <item x="39"/>
        <item x="40"/>
        <item x="41"/>
        <item x="42"/>
        <item x="43"/>
        <item x="44"/>
        <item x="45"/>
        <item x="46"/>
        <item x="47"/>
        <item x="61"/>
        <item x="48"/>
        <item x="49"/>
        <item x="50"/>
        <item x="62"/>
        <item x="51"/>
        <item x="52"/>
        <item x="53"/>
        <item h="1" x="54"/>
        <item h="1" x="55"/>
        <item h="1" x="56"/>
        <item h="1" x="63"/>
        <item h="1" x="64"/>
        <item h="1" x="57"/>
        <item h="1" x="58"/>
        <item h="1" x="59"/>
        <item x="65"/>
        <item x="66"/>
        <item x="67"/>
        <item x="68"/>
        <item x="69"/>
        <item x="70"/>
        <item x="71"/>
        <item x="72"/>
        <item x="73"/>
        <item x="74"/>
        <item x="75"/>
        <item x="76"/>
        <item x="77"/>
        <item x="78"/>
        <item h="1" x="60"/>
        <item t="default"/>
      </items>
    </pivotField>
    <pivotField dataField="1" numFmtId="8" showAll="0"/>
  </pivotFields>
  <rowFields count="1">
    <field x="5"/>
  </rowFields>
  <rowItems count="14">
    <i>
      <x/>
    </i>
    <i>
      <x v="1"/>
    </i>
    <i>
      <x v="2"/>
    </i>
    <i>
      <x v="3"/>
    </i>
    <i>
      <x v="4"/>
    </i>
    <i>
      <x v="5"/>
    </i>
    <i>
      <x v="6"/>
    </i>
    <i>
      <x v="7"/>
    </i>
    <i>
      <x v="8"/>
    </i>
    <i>
      <x v="9"/>
    </i>
    <i>
      <x v="10"/>
    </i>
    <i>
      <x v="11"/>
    </i>
    <i>
      <x v="13"/>
    </i>
    <i t="grand">
      <x/>
    </i>
  </rowItems>
  <colItems count="1">
    <i/>
  </colItems>
  <pageFields count="1">
    <pageField fld="6" hier="-1"/>
  </pageFields>
  <dataFields count="1">
    <dataField name="Sum of Activity Cost" fld="7" baseField="0" baseItem="0" numFmtId="8"/>
  </dataFields>
  <formats count="2">
    <format dxfId="3">
      <pivotArea dataOnly="0" labelOnly="1" fieldPosition="0">
        <references count="1">
          <reference field="5" count="1">
            <x v="3"/>
          </reference>
        </references>
      </pivotArea>
    </format>
    <format dxfId="2">
      <pivotArea collapsedLevelsAreSubtotals="1" fieldPosition="0">
        <references count="1">
          <reference field="5" count="12">
            <x v="0"/>
            <x v="1"/>
            <x v="2"/>
            <x v="3"/>
            <x v="4"/>
            <x v="5"/>
            <x v="6"/>
            <x v="7"/>
            <x v="8"/>
            <x v="9"/>
            <x v="10"/>
            <x v="1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1" dT="2026-03-03T19:19:25.89" personId="{49B03EC6-15D3-42E3-A1DA-8C1757C2B5DF}" id="{F297AC00-B33B-4BCF-BAD1-400229BB32F7}">
    <text>Remove all incentive expense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BCCD-5785-4AED-BF47-8A076D9AB2EF}">
  <sheetPr>
    <pageSetUpPr fitToPage="1"/>
  </sheetPr>
  <dimension ref="A1:P85"/>
  <sheetViews>
    <sheetView topLeftCell="A23" zoomScaleNormal="100" workbookViewId="0">
      <selection activeCell="R59" sqref="R59"/>
    </sheetView>
  </sheetViews>
  <sheetFormatPr defaultRowHeight="15"/>
  <cols>
    <col min="1" max="1" width="50.140625" customWidth="1"/>
    <col min="2" max="2" width="11.5703125" bestFit="1" customWidth="1"/>
    <col min="3" max="3" width="9" bestFit="1" customWidth="1"/>
    <col min="4" max="4" width="11.5703125" bestFit="1" customWidth="1"/>
    <col min="5" max="5" width="3" customWidth="1"/>
    <col min="6" max="6" width="19.85546875" bestFit="1" customWidth="1"/>
    <col min="7" max="7" width="2.42578125" customWidth="1"/>
    <col min="8" max="8" width="11.5703125" bestFit="1" customWidth="1"/>
    <col min="9" max="9" width="2.42578125" customWidth="1"/>
    <col min="10" max="10" width="12.28515625" bestFit="1" customWidth="1"/>
    <col min="11" max="11" width="2.140625" customWidth="1"/>
    <col min="12" max="12" width="13.42578125" bestFit="1" customWidth="1"/>
    <col min="13" max="13" width="1.7109375" customWidth="1"/>
    <col min="14" max="14" width="12.28515625" bestFit="1" customWidth="1"/>
    <col min="15" max="15" width="4.5703125" style="304" customWidth="1"/>
    <col min="16" max="16" width="12.28515625" bestFit="1" customWidth="1"/>
    <col min="17" max="17" width="2.7109375" customWidth="1"/>
    <col min="19" max="19" width="13.28515625" bestFit="1" customWidth="1"/>
  </cols>
  <sheetData>
    <row r="1" spans="1:16">
      <c r="A1" s="4" t="s">
        <v>0</v>
      </c>
    </row>
    <row r="2" spans="1:16">
      <c r="A2" s="4" t="s">
        <v>1</v>
      </c>
    </row>
    <row r="3" spans="1:16">
      <c r="A3" s="4" t="s">
        <v>2</v>
      </c>
    </row>
    <row r="5" spans="1:16" ht="45">
      <c r="A5" s="4" t="s">
        <v>3</v>
      </c>
      <c r="B5" s="4" t="s">
        <v>4</v>
      </c>
      <c r="C5" s="4" t="s">
        <v>5</v>
      </c>
      <c r="D5" s="6" t="s">
        <v>6</v>
      </c>
      <c r="F5" s="6" t="s">
        <v>7</v>
      </c>
      <c r="H5" s="7" t="s">
        <v>8</v>
      </c>
      <c r="J5" s="6" t="s">
        <v>9</v>
      </c>
      <c r="L5" s="6" t="s">
        <v>10</v>
      </c>
      <c r="N5" s="6" t="s">
        <v>11</v>
      </c>
      <c r="P5" s="6" t="s">
        <v>12</v>
      </c>
    </row>
    <row r="6" spans="1:16">
      <c r="A6" s="262" t="s">
        <v>13</v>
      </c>
      <c r="B6" s="262"/>
      <c r="C6" s="262"/>
      <c r="D6" s="263"/>
      <c r="E6" s="264"/>
      <c r="F6" s="265"/>
      <c r="G6" s="264"/>
      <c r="H6" s="263"/>
      <c r="I6" s="264"/>
      <c r="J6" s="265"/>
      <c r="K6" s="264"/>
      <c r="L6" s="265"/>
      <c r="M6" s="264"/>
      <c r="N6" s="265"/>
      <c r="O6" s="305"/>
      <c r="P6" s="265"/>
    </row>
    <row r="7" spans="1:16">
      <c r="A7" s="8" t="s">
        <v>14</v>
      </c>
      <c r="B7" s="185">
        <v>-215408.01999998803</v>
      </c>
      <c r="C7" s="1">
        <v>1</v>
      </c>
      <c r="D7" s="177">
        <f>B7*C7</f>
        <v>-215408.01999998803</v>
      </c>
      <c r="E7" s="177"/>
      <c r="F7" s="185">
        <f>'W21'!K34</f>
        <v>215408.01999999955</v>
      </c>
      <c r="G7" s="177"/>
      <c r="H7" s="177">
        <f t="shared" ref="H7:H11" si="0">SUM(D7:F7)</f>
        <v>1.1525116860866547E-8</v>
      </c>
      <c r="I7" s="177"/>
      <c r="J7" s="185">
        <v>2000000</v>
      </c>
      <c r="K7" s="177"/>
      <c r="L7" s="177">
        <f>H7+J7</f>
        <v>2000000.0000000116</v>
      </c>
      <c r="M7" s="164"/>
      <c r="N7" s="177">
        <v>0</v>
      </c>
      <c r="P7" s="164">
        <f>L7+N7</f>
        <v>2000000.0000000116</v>
      </c>
    </row>
    <row r="8" spans="1:16">
      <c r="A8" s="8" t="s">
        <v>15</v>
      </c>
      <c r="B8" s="185">
        <v>0</v>
      </c>
      <c r="C8" s="1">
        <v>1</v>
      </c>
      <c r="D8" s="177">
        <f t="shared" ref="D8:D11" si="1">B8*C8</f>
        <v>0</v>
      </c>
      <c r="E8" s="177"/>
      <c r="F8" s="185">
        <v>0</v>
      </c>
      <c r="G8" s="177"/>
      <c r="H8" s="177">
        <f t="shared" si="0"/>
        <v>0</v>
      </c>
      <c r="I8" s="177"/>
      <c r="J8" s="185">
        <v>0</v>
      </c>
      <c r="K8" s="177"/>
      <c r="L8" s="177">
        <f t="shared" ref="L8:L11" si="2">H8+J8</f>
        <v>0</v>
      </c>
      <c r="M8" s="164"/>
      <c r="N8" s="185">
        <v>0</v>
      </c>
      <c r="P8" s="164">
        <f t="shared" ref="P8:P11" si="3">L8+N8</f>
        <v>0</v>
      </c>
    </row>
    <row r="9" spans="1:16">
      <c r="A9" s="8" t="s">
        <v>16</v>
      </c>
      <c r="B9" s="185">
        <v>28985357.800000001</v>
      </c>
      <c r="C9" s="1">
        <v>1</v>
      </c>
      <c r="D9" s="177">
        <f t="shared" si="1"/>
        <v>28985357.800000001</v>
      </c>
      <c r="E9" s="177"/>
      <c r="F9" s="286">
        <f>'W50'!G17</f>
        <v>-6159961.8000000007</v>
      </c>
      <c r="G9" s="177"/>
      <c r="H9" s="177">
        <f t="shared" si="0"/>
        <v>22825396</v>
      </c>
      <c r="I9" s="177"/>
      <c r="J9" s="185">
        <v>0</v>
      </c>
      <c r="K9" s="177"/>
      <c r="L9" s="177">
        <f t="shared" si="2"/>
        <v>22825396</v>
      </c>
      <c r="M9" s="164"/>
      <c r="N9" s="185">
        <f>'TOR TIR Rate Base &amp; JE'!G209</f>
        <v>2717378.3842857145</v>
      </c>
      <c r="O9" s="304" t="s">
        <v>17</v>
      </c>
      <c r="P9" s="164">
        <f t="shared" si="3"/>
        <v>25542774.384285714</v>
      </c>
    </row>
    <row r="10" spans="1:16">
      <c r="A10" s="8" t="s">
        <v>18</v>
      </c>
      <c r="B10" s="185">
        <v>0</v>
      </c>
      <c r="C10" s="1">
        <v>1</v>
      </c>
      <c r="D10" s="177">
        <v>0</v>
      </c>
      <c r="E10" s="177"/>
      <c r="F10" s="286">
        <v>0</v>
      </c>
      <c r="G10" s="177"/>
      <c r="H10" s="177">
        <v>0</v>
      </c>
      <c r="I10" s="177"/>
      <c r="J10" s="185">
        <v>0</v>
      </c>
      <c r="K10" s="177"/>
      <c r="L10" s="177">
        <v>0</v>
      </c>
      <c r="M10" s="164"/>
      <c r="N10" s="185">
        <f>D33/30</f>
        <v>567461.12133333343</v>
      </c>
      <c r="O10" s="304" t="s">
        <v>19</v>
      </c>
      <c r="P10" s="164">
        <f t="shared" si="3"/>
        <v>567461.12133333343</v>
      </c>
    </row>
    <row r="11" spans="1:16">
      <c r="A11" s="8" t="s">
        <v>20</v>
      </c>
      <c r="B11" s="185">
        <f>7075740.15799999-3777676.53-2389975.6</f>
        <v>908088.02799998969</v>
      </c>
      <c r="C11" s="1">
        <v>1</v>
      </c>
      <c r="D11" s="177">
        <f t="shared" si="1"/>
        <v>908088.02799998969</v>
      </c>
      <c r="E11" s="177"/>
      <c r="F11" s="185">
        <f>'Sch 5'!AB377+'Sch 5'!AG377</f>
        <v>798811.29</v>
      </c>
      <c r="G11" s="177"/>
      <c r="H11" s="177">
        <f t="shared" si="0"/>
        <v>1706899.3179999897</v>
      </c>
      <c r="I11" s="177"/>
      <c r="J11" s="185">
        <f>-'W30'!D31-'W30'!H31</f>
        <v>-608698.04</v>
      </c>
      <c r="K11" s="177"/>
      <c r="L11" s="177">
        <f t="shared" si="2"/>
        <v>1098201.2779999897</v>
      </c>
      <c r="M11" s="164"/>
      <c r="N11" s="185">
        <v>0</v>
      </c>
      <c r="P11" s="164">
        <f t="shared" si="3"/>
        <v>1098201.2779999897</v>
      </c>
    </row>
    <row r="12" spans="1:16">
      <c r="A12" s="3" t="s">
        <v>21</v>
      </c>
      <c r="B12" s="284">
        <f>SUM(B7:B11)</f>
        <v>29678037.808000002</v>
      </c>
      <c r="D12" s="287">
        <f>SUM(D7:D11)</f>
        <v>29678037.808000002</v>
      </c>
      <c r="E12" s="177"/>
      <c r="F12" s="284">
        <f>SUM(F7:F11)</f>
        <v>-5145742.4900000012</v>
      </c>
      <c r="G12" s="177"/>
      <c r="H12" s="284">
        <f>SUM(H7:H11)</f>
        <v>24532295.318</v>
      </c>
      <c r="I12" s="177"/>
      <c r="J12" s="284">
        <f>SUM(J7:J11)</f>
        <v>1391301.96</v>
      </c>
      <c r="K12" s="177"/>
      <c r="L12" s="284">
        <f>SUM(L7:L11)</f>
        <v>25923597.278000001</v>
      </c>
      <c r="M12" s="164"/>
      <c r="N12" s="284">
        <f>SUM(N7:N11)</f>
        <v>3284839.5056190481</v>
      </c>
      <c r="P12" s="284">
        <f>SUM(P7:P11)</f>
        <v>29208436.78361905</v>
      </c>
    </row>
    <row r="13" spans="1:16">
      <c r="B13" s="164">
        <f>B12-SUM('Sch 4'!C390:C392)</f>
        <v>0</v>
      </c>
      <c r="D13" s="177"/>
      <c r="E13" s="177"/>
      <c r="F13" s="177"/>
      <c r="G13" s="177"/>
      <c r="H13" s="177">
        <f>H12-SUM('Sch 4'!G390:G392)</f>
        <v>0</v>
      </c>
      <c r="I13" s="177"/>
      <c r="J13" s="185"/>
      <c r="K13" s="177"/>
      <c r="L13" s="177"/>
      <c r="M13" s="164"/>
      <c r="N13" s="164"/>
      <c r="P13" s="164"/>
    </row>
    <row r="14" spans="1:16">
      <c r="A14" s="8" t="s">
        <v>22</v>
      </c>
      <c r="B14" s="185">
        <v>0</v>
      </c>
      <c r="D14" s="177">
        <f>B14*C14</f>
        <v>0</v>
      </c>
      <c r="E14" s="177"/>
      <c r="F14" s="185">
        <v>0</v>
      </c>
      <c r="G14" s="177"/>
      <c r="H14" s="177">
        <f>SUM(D14:F14)</f>
        <v>0</v>
      </c>
      <c r="I14" s="177"/>
      <c r="J14" s="185">
        <v>7209925</v>
      </c>
      <c r="K14" s="177"/>
      <c r="L14" s="177">
        <f>H14+J14</f>
        <v>7209925</v>
      </c>
      <c r="M14" s="164"/>
      <c r="N14" s="185">
        <f>P14-L14</f>
        <v>619.82714285701513</v>
      </c>
      <c r="O14" s="304" t="s">
        <v>23</v>
      </c>
      <c r="P14" s="164">
        <f>'TOR TIR Rate Base &amp; JE'!E209</f>
        <v>7210544.827142857</v>
      </c>
    </row>
    <row r="15" spans="1:16">
      <c r="A15" s="8" t="s">
        <v>24</v>
      </c>
      <c r="B15" s="185">
        <v>0</v>
      </c>
      <c r="D15" s="177">
        <f>B15*C15</f>
        <v>0</v>
      </c>
      <c r="E15" s="177"/>
      <c r="F15" s="185">
        <v>0</v>
      </c>
      <c r="G15" s="177"/>
      <c r="H15" s="177">
        <f>SUM(D15:F15)</f>
        <v>0</v>
      </c>
      <c r="I15" s="177"/>
      <c r="J15" s="185">
        <v>1552183</v>
      </c>
      <c r="K15" s="177"/>
      <c r="L15" s="177">
        <f>H15+J15</f>
        <v>1552183</v>
      </c>
      <c r="M15" s="164"/>
      <c r="N15" s="185">
        <f>P15-L15</f>
        <v>43382.03666666639</v>
      </c>
      <c r="O15" s="304" t="s">
        <v>25</v>
      </c>
      <c r="P15" s="164">
        <f>(D25+D26)/30</f>
        <v>1595565.0366666664</v>
      </c>
    </row>
    <row r="16" spans="1:16">
      <c r="A16" s="3" t="s">
        <v>26</v>
      </c>
      <c r="B16" s="285">
        <f>SUM(B14:B15)</f>
        <v>0</v>
      </c>
      <c r="C16" s="4"/>
      <c r="D16" s="285">
        <f>SUM(D14:D15)</f>
        <v>0</v>
      </c>
      <c r="E16" s="288"/>
      <c r="F16" s="285">
        <f>SUM(F14:F15)</f>
        <v>0</v>
      </c>
      <c r="G16" s="288"/>
      <c r="H16" s="285">
        <f>SUM(H14:H15)</f>
        <v>0</v>
      </c>
      <c r="I16" s="288"/>
      <c r="J16" s="285">
        <f>SUM(J14:J15)</f>
        <v>8762108</v>
      </c>
      <c r="K16" s="288"/>
      <c r="L16" s="285">
        <f>SUM(L14:L15)</f>
        <v>8762108</v>
      </c>
      <c r="M16" s="164"/>
      <c r="N16" s="285">
        <f>SUM(N14:N15)</f>
        <v>44001.863809523406</v>
      </c>
      <c r="P16" s="285">
        <f>SUM(P14:P15)</f>
        <v>8806109.8638095241</v>
      </c>
    </row>
    <row r="17" spans="1:16">
      <c r="B17" s="164"/>
      <c r="D17" s="177"/>
      <c r="E17" s="177"/>
      <c r="F17" s="177"/>
      <c r="G17" s="177"/>
      <c r="H17" s="177"/>
      <c r="I17" s="177"/>
      <c r="J17" s="185"/>
      <c r="K17" s="177"/>
      <c r="L17" s="177"/>
      <c r="M17" s="164"/>
      <c r="N17" s="164"/>
      <c r="P17" s="164"/>
    </row>
    <row r="18" spans="1:16" ht="15.75" thickBot="1">
      <c r="A18" s="3" t="s">
        <v>27</v>
      </c>
      <c r="B18" s="283">
        <f>B16+B12</f>
        <v>29678037.808000002</v>
      </c>
      <c r="C18" s="4"/>
      <c r="D18" s="289">
        <f>D16+D12</f>
        <v>29678037.808000002</v>
      </c>
      <c r="E18" s="288"/>
      <c r="F18" s="289">
        <f>F16+F12</f>
        <v>-5145742.4900000012</v>
      </c>
      <c r="G18" s="288"/>
      <c r="H18" s="289">
        <f>H16+H12</f>
        <v>24532295.318</v>
      </c>
      <c r="I18" s="288"/>
      <c r="J18" s="289">
        <f>J16+J12</f>
        <v>10153409.960000001</v>
      </c>
      <c r="K18" s="288"/>
      <c r="L18" s="289">
        <f>L16+L12</f>
        <v>34685705.277999997</v>
      </c>
      <c r="M18" s="164"/>
      <c r="N18" s="289">
        <f>N16+N12</f>
        <v>3328841.3694285713</v>
      </c>
      <c r="P18" s="289">
        <f>P16+P12</f>
        <v>38014546.647428572</v>
      </c>
    </row>
    <row r="19" spans="1:16" ht="15.75" thickTop="1"/>
    <row r="21" spans="1:16" ht="45">
      <c r="A21" s="4" t="s">
        <v>3</v>
      </c>
      <c r="B21" s="4" t="s">
        <v>4</v>
      </c>
      <c r="C21" s="4" t="s">
        <v>5</v>
      </c>
      <c r="D21" s="6" t="s">
        <v>6</v>
      </c>
      <c r="F21" s="6" t="s">
        <v>7</v>
      </c>
      <c r="H21" s="7" t="s">
        <v>8</v>
      </c>
      <c r="J21" s="6" t="s">
        <v>9</v>
      </c>
      <c r="L21" s="6" t="s">
        <v>10</v>
      </c>
      <c r="N21" s="6" t="s">
        <v>11</v>
      </c>
      <c r="P21" s="6" t="s">
        <v>12</v>
      </c>
    </row>
    <row r="22" spans="1:16">
      <c r="A22" s="262" t="s">
        <v>28</v>
      </c>
      <c r="B22" s="262"/>
      <c r="C22" s="262"/>
      <c r="D22" s="263"/>
      <c r="E22" s="264"/>
      <c r="F22" s="265"/>
      <c r="G22" s="264"/>
      <c r="H22" s="263"/>
      <c r="I22" s="264"/>
      <c r="J22" s="265"/>
      <c r="K22" s="264"/>
      <c r="L22" s="265"/>
      <c r="M22" s="264"/>
      <c r="N22" s="265"/>
      <c r="O22" s="305"/>
      <c r="P22" s="265"/>
    </row>
    <row r="23" spans="1:16">
      <c r="A23" t="s">
        <v>29</v>
      </c>
      <c r="B23" s="164">
        <f>'TOR TIR Rate Base &amp; JE'!E201</f>
        <v>50521249.229999997</v>
      </c>
      <c r="C23" s="1">
        <v>1</v>
      </c>
      <c r="D23" s="164">
        <f>B23*C23</f>
        <v>50521249.229999997</v>
      </c>
      <c r="E23" s="164"/>
      <c r="F23" s="164">
        <v>18000000</v>
      </c>
      <c r="G23" s="164"/>
      <c r="H23" s="164">
        <f>D23+F23</f>
        <v>68521249.229999989</v>
      </c>
      <c r="I23" s="164"/>
      <c r="J23" s="164">
        <f>-18000000-54178819</f>
        <v>-72178819</v>
      </c>
      <c r="K23" s="164"/>
      <c r="L23" s="164">
        <f>H23+J23</f>
        <v>-3657569.7700000107</v>
      </c>
      <c r="M23" s="164"/>
      <c r="N23" s="164">
        <f>-L23</f>
        <v>3657569.7700000107</v>
      </c>
      <c r="O23" s="304" t="s">
        <v>30</v>
      </c>
      <c r="P23" s="164">
        <f>L23+N23</f>
        <v>0</v>
      </c>
    </row>
    <row r="24" spans="1:16">
      <c r="A24" t="s">
        <v>31</v>
      </c>
      <c r="B24" s="164">
        <f>'TOR TIR Rate Base &amp; JE'!E202</f>
        <v>-6363642.6300000008</v>
      </c>
      <c r="C24" s="1">
        <v>1</v>
      </c>
      <c r="D24" s="164">
        <f>B24*C24</f>
        <v>-6363642.6300000008</v>
      </c>
      <c r="E24" s="164"/>
      <c r="F24" s="164">
        <v>0</v>
      </c>
      <c r="G24" s="164"/>
      <c r="H24" s="164">
        <f>D24+F24</f>
        <v>-6363642.6300000008</v>
      </c>
      <c r="I24" s="164"/>
      <c r="J24" s="164">
        <v>7613333</v>
      </c>
      <c r="K24" s="164"/>
      <c r="L24" s="164">
        <f>H24+J24</f>
        <v>1249690.3699999992</v>
      </c>
      <c r="M24" s="164"/>
      <c r="N24" s="164">
        <f>-L24</f>
        <v>-1249690.3699999992</v>
      </c>
      <c r="O24" s="304" t="s">
        <v>30</v>
      </c>
      <c r="P24" s="164">
        <f>L24+N24</f>
        <v>0</v>
      </c>
    </row>
    <row r="25" spans="1:16">
      <c r="A25" t="s">
        <v>32</v>
      </c>
      <c r="B25" s="282">
        <f>SUM(B23:B24)</f>
        <v>44157606.599999994</v>
      </c>
      <c r="C25" s="164"/>
      <c r="D25" s="282">
        <f>SUM(D23:D24)</f>
        <v>44157606.599999994</v>
      </c>
      <c r="E25" s="164"/>
      <c r="F25" s="282">
        <f>SUM(F23:F24)</f>
        <v>18000000</v>
      </c>
      <c r="G25" s="164"/>
      <c r="H25" s="282">
        <f>SUM(H23:H24)</f>
        <v>62157606.599999987</v>
      </c>
      <c r="I25" s="164"/>
      <c r="J25" s="282">
        <f>SUM(J23:J24)</f>
        <v>-64565486</v>
      </c>
      <c r="K25" s="164"/>
      <c r="L25" s="282">
        <f>SUM(L23:L24)</f>
        <v>-2407879.4000000115</v>
      </c>
      <c r="M25" s="164"/>
      <c r="N25" s="282">
        <f>SUM(N23:N24)</f>
        <v>2407879.4000000115</v>
      </c>
      <c r="P25" s="282">
        <f>SUM(P23:P24)</f>
        <v>0</v>
      </c>
    </row>
    <row r="26" spans="1:16">
      <c r="A26" t="s">
        <v>33</v>
      </c>
      <c r="B26" s="185">
        <f>'TOR TIR Rate Base &amp; JE'!E204</f>
        <v>3709344.5000000005</v>
      </c>
      <c r="C26" s="1">
        <v>1</v>
      </c>
      <c r="D26" s="164">
        <f>B26*C26</f>
        <v>3709344.5000000005</v>
      </c>
      <c r="E26" s="164"/>
      <c r="F26" s="164">
        <v>0</v>
      </c>
      <c r="G26" s="164"/>
      <c r="H26" s="164">
        <f>D26+F26</f>
        <v>3709344.5000000005</v>
      </c>
      <c r="I26" s="164"/>
      <c r="J26" s="164">
        <v>0</v>
      </c>
      <c r="K26" s="164"/>
      <c r="L26" s="164">
        <f>H26+J26</f>
        <v>3709344.5000000005</v>
      </c>
      <c r="M26" s="164"/>
      <c r="N26" s="164">
        <f>-L26</f>
        <v>-3709344.5000000005</v>
      </c>
      <c r="O26" s="304" t="s">
        <v>30</v>
      </c>
      <c r="P26" s="164">
        <f>L26+N26</f>
        <v>0</v>
      </c>
    </row>
    <row r="27" spans="1:16">
      <c r="A27" t="s">
        <v>34</v>
      </c>
      <c r="B27" s="282">
        <f>SUM(B25:B26)</f>
        <v>47866951.099999994</v>
      </c>
      <c r="C27" s="164"/>
      <c r="D27" s="282">
        <f>SUM(D25:D26)</f>
        <v>47866951.099999994</v>
      </c>
      <c r="E27" s="164"/>
      <c r="F27" s="282">
        <f>SUM(F25:F26)</f>
        <v>18000000</v>
      </c>
      <c r="G27" s="164"/>
      <c r="H27" s="282">
        <f>SUM(H25:H26)</f>
        <v>65866951.099999987</v>
      </c>
      <c r="I27" s="164"/>
      <c r="J27" s="282">
        <f>SUM(J25:J26)</f>
        <v>-64565486</v>
      </c>
      <c r="K27" s="164"/>
      <c r="L27" s="282">
        <f>SUM(L25:L26)</f>
        <v>1301465.0999999889</v>
      </c>
      <c r="M27" s="164"/>
      <c r="N27" s="282">
        <f>SUM(N25:N26)</f>
        <v>-1301465.0999999889</v>
      </c>
      <c r="P27" s="282">
        <f>SUM(P25:P26)</f>
        <v>0</v>
      </c>
    </row>
    <row r="28" spans="1:16">
      <c r="A28" t="s">
        <v>35</v>
      </c>
      <c r="B28" s="179">
        <f>'TOR TIR Rate Base &amp; JE'!E206</f>
        <v>-1019550.0538087565</v>
      </c>
      <c r="C28" s="1">
        <v>1</v>
      </c>
      <c r="D28" s="164">
        <f>B28*C28</f>
        <v>-1019550.0538087565</v>
      </c>
      <c r="E28" s="164"/>
      <c r="F28" s="164">
        <v>0</v>
      </c>
      <c r="G28" s="164"/>
      <c r="H28" s="164">
        <f>D28+F28</f>
        <v>-1019550.0538087565</v>
      </c>
      <c r="I28" s="164"/>
      <c r="J28" s="164">
        <v>0</v>
      </c>
      <c r="K28" s="164"/>
      <c r="L28" s="164">
        <f>H28+J28</f>
        <v>-1019550.0538087565</v>
      </c>
      <c r="M28" s="164"/>
      <c r="N28" s="164">
        <f>-L28</f>
        <v>1019550.0538087565</v>
      </c>
      <c r="O28" s="304" t="s">
        <v>36</v>
      </c>
      <c r="P28" s="164">
        <f>L28+N28</f>
        <v>0</v>
      </c>
    </row>
    <row r="29" spans="1:16">
      <c r="A29" t="s">
        <v>37</v>
      </c>
      <c r="B29" s="282">
        <f>B27+B28</f>
        <v>46847401.046191238</v>
      </c>
      <c r="C29" s="164"/>
      <c r="D29" s="282">
        <f>D27+D28</f>
        <v>46847401.046191238</v>
      </c>
      <c r="E29" s="164"/>
      <c r="F29" s="282">
        <f>F27+F28</f>
        <v>18000000</v>
      </c>
      <c r="G29" s="164"/>
      <c r="H29" s="282">
        <f>H27+H28</f>
        <v>64847401.04619123</v>
      </c>
      <c r="I29" s="164"/>
      <c r="J29" s="282">
        <f>J27+J28</f>
        <v>-64565486</v>
      </c>
      <c r="K29" s="164"/>
      <c r="L29" s="282">
        <f>L27+L28</f>
        <v>281915.0461912324</v>
      </c>
      <c r="M29" s="164"/>
      <c r="N29" s="282">
        <f>N27+N28</f>
        <v>-281915.0461912324</v>
      </c>
      <c r="P29" s="282">
        <f>P27+P28</f>
        <v>0</v>
      </c>
    </row>
    <row r="30" spans="1:16">
      <c r="B30" s="164"/>
      <c r="C30" s="164"/>
      <c r="D30" s="164"/>
      <c r="E30" s="164"/>
      <c r="F30" s="164"/>
      <c r="G30" s="164"/>
      <c r="H30" s="164"/>
      <c r="I30" s="164"/>
      <c r="J30" s="164"/>
      <c r="K30" s="164"/>
      <c r="L30" s="164"/>
      <c r="M30" s="164"/>
      <c r="N30" s="164"/>
      <c r="P30" s="164"/>
    </row>
    <row r="31" spans="1:16">
      <c r="A31" t="s">
        <v>38</v>
      </c>
      <c r="B31" s="164">
        <f>'TOR TIR Rate Base &amp; JE'!G201</f>
        <v>19648715.060000002</v>
      </c>
      <c r="C31" s="1">
        <v>1</v>
      </c>
      <c r="D31" s="164">
        <f>B31*C31</f>
        <v>19648715.060000002</v>
      </c>
      <c r="E31" s="164"/>
      <c r="F31" s="164">
        <v>0</v>
      </c>
      <c r="G31" s="164"/>
      <c r="H31" s="164">
        <f>D31+F31</f>
        <v>19648715.060000002</v>
      </c>
      <c r="I31" s="164"/>
      <c r="J31" s="164">
        <v>0</v>
      </c>
      <c r="K31" s="164"/>
      <c r="L31" s="164">
        <f>H31+J31</f>
        <v>19648715.060000002</v>
      </c>
      <c r="M31" s="164"/>
      <c r="N31" s="164">
        <f>-L31</f>
        <v>-19648715.060000002</v>
      </c>
      <c r="O31" s="304" t="s">
        <v>39</v>
      </c>
      <c r="P31" s="164">
        <f>L31+N31</f>
        <v>0</v>
      </c>
    </row>
    <row r="32" spans="1:16">
      <c r="A32" t="s">
        <v>31</v>
      </c>
      <c r="B32" s="164">
        <f>'TOR TIR Rate Base &amp; JE'!G202</f>
        <v>-2624881.419999999</v>
      </c>
      <c r="C32" s="1">
        <v>1</v>
      </c>
      <c r="D32" s="164">
        <f>B32*C32</f>
        <v>-2624881.419999999</v>
      </c>
      <c r="E32" s="164"/>
      <c r="F32" s="164">
        <v>0</v>
      </c>
      <c r="G32" s="164"/>
      <c r="H32" s="164">
        <f>D32+F32</f>
        <v>-2624881.419999999</v>
      </c>
      <c r="I32" s="164"/>
      <c r="J32" s="164">
        <v>0</v>
      </c>
      <c r="K32" s="164"/>
      <c r="L32" s="164">
        <f>H32+J32</f>
        <v>-2624881.419999999</v>
      </c>
      <c r="M32" s="164"/>
      <c r="N32" s="164">
        <f>-L32</f>
        <v>2624881.419999999</v>
      </c>
      <c r="O32" s="304" t="s">
        <v>39</v>
      </c>
      <c r="P32" s="164">
        <f>L32+N32</f>
        <v>0</v>
      </c>
    </row>
    <row r="33" spans="1:16">
      <c r="A33" t="s">
        <v>32</v>
      </c>
      <c r="B33" s="282">
        <f>SUM(B31:B32)</f>
        <v>17023833.640000004</v>
      </c>
      <c r="C33" s="164"/>
      <c r="D33" s="282">
        <f>SUM(D31:D32)</f>
        <v>17023833.640000004</v>
      </c>
      <c r="E33" s="164"/>
      <c r="F33" s="282">
        <f>SUM(F31:F32)</f>
        <v>0</v>
      </c>
      <c r="G33" s="164"/>
      <c r="H33" s="282">
        <f>SUM(H31:H32)</f>
        <v>17023833.640000004</v>
      </c>
      <c r="I33" s="164"/>
      <c r="J33" s="282">
        <f>SUM(J31:J32)</f>
        <v>0</v>
      </c>
      <c r="K33" s="164"/>
      <c r="L33" s="282">
        <f>SUM(L31:L32)</f>
        <v>17023833.640000004</v>
      </c>
      <c r="M33" s="164"/>
      <c r="N33" s="282">
        <f>SUM(N31:N32)</f>
        <v>-17023833.640000004</v>
      </c>
      <c r="P33" s="282">
        <f>SUM(P31:P32)</f>
        <v>0</v>
      </c>
    </row>
    <row r="34" spans="1:16">
      <c r="A34" t="s">
        <v>33</v>
      </c>
      <c r="B34" s="185">
        <f>'TOR TIR Rate Base &amp; JE'!G204</f>
        <v>0</v>
      </c>
      <c r="C34" s="1">
        <v>1</v>
      </c>
      <c r="D34" s="164">
        <f>B34*C34</f>
        <v>0</v>
      </c>
      <c r="E34" s="164"/>
      <c r="F34" s="164">
        <v>0</v>
      </c>
      <c r="G34" s="164"/>
      <c r="H34" s="164">
        <f>D34+F34</f>
        <v>0</v>
      </c>
      <c r="I34" s="164"/>
      <c r="J34" s="164">
        <v>0</v>
      </c>
      <c r="K34" s="164"/>
      <c r="L34" s="164">
        <f>H34+J34</f>
        <v>0</v>
      </c>
      <c r="M34" s="164"/>
      <c r="N34" s="164">
        <v>0</v>
      </c>
      <c r="O34" s="304" t="s">
        <v>39</v>
      </c>
      <c r="P34" s="164">
        <f>L34+N34</f>
        <v>0</v>
      </c>
    </row>
    <row r="35" spans="1:16">
      <c r="A35" t="s">
        <v>34</v>
      </c>
      <c r="B35" s="282">
        <f>SUM(B33:B34)</f>
        <v>17023833.640000004</v>
      </c>
      <c r="C35" s="164"/>
      <c r="D35" s="282">
        <f>SUM(D33:D34)</f>
        <v>17023833.640000004</v>
      </c>
      <c r="E35" s="164"/>
      <c r="F35" s="282">
        <f>SUM(F33:F34)</f>
        <v>0</v>
      </c>
      <c r="G35" s="164"/>
      <c r="H35" s="282">
        <f>SUM(H33:H34)</f>
        <v>17023833.640000004</v>
      </c>
      <c r="I35" s="164"/>
      <c r="J35" s="282">
        <f>SUM(J33:J34)</f>
        <v>0</v>
      </c>
      <c r="K35" s="164"/>
      <c r="L35" s="282">
        <f>SUM(L33:L34)</f>
        <v>17023833.640000004</v>
      </c>
      <c r="M35" s="164"/>
      <c r="N35" s="282">
        <f>SUM(N33:N34)</f>
        <v>-17023833.640000004</v>
      </c>
      <c r="P35" s="282">
        <f>SUM(P33:P34)</f>
        <v>0</v>
      </c>
    </row>
    <row r="36" spans="1:16">
      <c r="A36" t="s">
        <v>35</v>
      </c>
      <c r="B36" s="179">
        <f>'TOR TIR Rate Base &amp; JE'!G206</f>
        <v>-502916.19468762225</v>
      </c>
      <c r="C36" s="1">
        <v>1</v>
      </c>
      <c r="D36" s="164">
        <f>B36*C36</f>
        <v>-502916.19468762225</v>
      </c>
      <c r="E36" s="164"/>
      <c r="F36" s="164">
        <v>0</v>
      </c>
      <c r="G36" s="164"/>
      <c r="H36" s="164">
        <f>D36+F36</f>
        <v>-502916.19468762225</v>
      </c>
      <c r="I36" s="164"/>
      <c r="J36" s="164">
        <v>0</v>
      </c>
      <c r="K36" s="164"/>
      <c r="L36" s="164">
        <f>H36+J36</f>
        <v>-502916.19468762225</v>
      </c>
      <c r="M36" s="164"/>
      <c r="N36" s="164">
        <f>-L36</f>
        <v>502916.19468762225</v>
      </c>
      <c r="O36" s="304" t="s">
        <v>39</v>
      </c>
      <c r="P36" s="164">
        <f>L36+N36</f>
        <v>0</v>
      </c>
    </row>
    <row r="37" spans="1:16">
      <c r="A37" t="s">
        <v>40</v>
      </c>
      <c r="B37" s="282">
        <f>B35+B36</f>
        <v>16520917.445312383</v>
      </c>
      <c r="C37" s="164"/>
      <c r="D37" s="282">
        <f>D35+D36</f>
        <v>16520917.445312383</v>
      </c>
      <c r="E37" s="164"/>
      <c r="F37" s="282">
        <f>F35+F36</f>
        <v>0</v>
      </c>
      <c r="G37" s="164"/>
      <c r="H37" s="282">
        <f>H35+H36</f>
        <v>16520917.445312383</v>
      </c>
      <c r="I37" s="164"/>
      <c r="J37" s="282">
        <f>J35+J36</f>
        <v>0</v>
      </c>
      <c r="K37" s="164"/>
      <c r="L37" s="282">
        <f>L35+L36</f>
        <v>16520917.445312383</v>
      </c>
      <c r="M37" s="164"/>
      <c r="N37" s="282">
        <f>N35+N36</f>
        <v>-16520917.445312383</v>
      </c>
      <c r="P37" s="282">
        <f>P35+P36</f>
        <v>0</v>
      </c>
    </row>
    <row r="38" spans="1:16">
      <c r="B38" s="164"/>
      <c r="C38" s="164"/>
      <c r="D38" s="164"/>
      <c r="E38" s="164"/>
      <c r="F38" s="164"/>
      <c r="G38" s="164"/>
      <c r="H38" s="164"/>
      <c r="I38" s="164"/>
      <c r="J38" s="164"/>
      <c r="K38" s="164"/>
      <c r="L38" s="164"/>
      <c r="M38" s="164"/>
      <c r="N38" s="164"/>
      <c r="P38" s="164"/>
    </row>
    <row r="39" spans="1:16">
      <c r="A39" t="s">
        <v>41</v>
      </c>
      <c r="B39" s="177">
        <v>0</v>
      </c>
      <c r="C39" s="1">
        <v>1</v>
      </c>
      <c r="D39" s="177">
        <f>B39*C39</f>
        <v>0</v>
      </c>
      <c r="E39" s="164"/>
      <c r="F39" s="177">
        <v>0</v>
      </c>
      <c r="G39" s="164"/>
      <c r="H39" s="177">
        <v>0</v>
      </c>
      <c r="I39" s="164"/>
      <c r="J39" s="164">
        <v>0</v>
      </c>
      <c r="K39" s="164"/>
      <c r="L39" s="164">
        <f>H39+J39</f>
        <v>0</v>
      </c>
      <c r="M39" s="164"/>
      <c r="N39" s="164">
        <f>D25+D26</f>
        <v>47866951.099999994</v>
      </c>
      <c r="O39" s="304" t="s">
        <v>42</v>
      </c>
      <c r="P39" s="164">
        <f>L39+N39</f>
        <v>47866951.099999994</v>
      </c>
    </row>
    <row r="40" spans="1:16">
      <c r="A40" t="s">
        <v>43</v>
      </c>
      <c r="B40" s="177">
        <v>0</v>
      </c>
      <c r="C40" s="1">
        <v>1</v>
      </c>
      <c r="D40" s="177">
        <f>B40*C40</f>
        <v>0</v>
      </c>
      <c r="E40" s="164"/>
      <c r="F40" s="177">
        <v>0</v>
      </c>
      <c r="G40" s="164"/>
      <c r="H40" s="177">
        <v>0</v>
      </c>
      <c r="I40" s="164"/>
      <c r="J40" s="164">
        <v>0</v>
      </c>
      <c r="K40" s="164"/>
      <c r="L40" s="164">
        <f>H40+J40</f>
        <v>0</v>
      </c>
      <c r="M40" s="164"/>
      <c r="N40" s="164">
        <f>D33</f>
        <v>17023833.640000004</v>
      </c>
      <c r="O40" s="304" t="s">
        <v>39</v>
      </c>
      <c r="P40" s="164">
        <f>L40+N40</f>
        <v>17023833.640000004</v>
      </c>
    </row>
    <row r="41" spans="1:16">
      <c r="A41" t="s">
        <v>44</v>
      </c>
      <c r="B41" s="177">
        <v>0</v>
      </c>
      <c r="C41" s="1">
        <v>1</v>
      </c>
      <c r="D41" s="177">
        <f>B41*C41</f>
        <v>0</v>
      </c>
      <c r="E41" s="164"/>
      <c r="F41" s="177">
        <v>0</v>
      </c>
      <c r="G41" s="164"/>
      <c r="H41" s="177">
        <v>0</v>
      </c>
      <c r="I41" s="164"/>
      <c r="J41" s="164">
        <v>0</v>
      </c>
      <c r="K41" s="164"/>
      <c r="L41" s="164">
        <f>H41+J41</f>
        <v>0</v>
      </c>
      <c r="M41" s="164"/>
      <c r="N41" s="164">
        <f>-N39*0.21</f>
        <v>-10052059.730999999</v>
      </c>
      <c r="O41" s="304" t="s">
        <v>42</v>
      </c>
      <c r="P41" s="164">
        <f>L41+N41</f>
        <v>-10052059.730999999</v>
      </c>
    </row>
    <row r="42" spans="1:16">
      <c r="A42" t="s">
        <v>45</v>
      </c>
      <c r="B42" s="177"/>
      <c r="C42" s="1"/>
      <c r="D42" s="177"/>
      <c r="E42" s="164"/>
      <c r="F42" s="177"/>
      <c r="G42" s="164"/>
      <c r="H42" s="177"/>
      <c r="I42" s="164"/>
      <c r="J42" s="164"/>
      <c r="K42" s="164"/>
      <c r="L42" s="164"/>
      <c r="M42" s="164"/>
      <c r="N42" s="164">
        <f>-N40*0.21</f>
        <v>-3575005.064400001</v>
      </c>
      <c r="O42" s="304" t="s">
        <v>39</v>
      </c>
      <c r="P42" s="164">
        <f>L42+N42</f>
        <v>-3575005.064400001</v>
      </c>
    </row>
    <row r="43" spans="1:16">
      <c r="A43" t="s">
        <v>46</v>
      </c>
      <c r="B43" s="282">
        <f>SUM(B39:B42)</f>
        <v>0</v>
      </c>
      <c r="C43" s="164"/>
      <c r="D43" s="282">
        <f>SUM(D39:D42)</f>
        <v>0</v>
      </c>
      <c r="E43" s="164"/>
      <c r="F43" s="282">
        <f>SUM(F39:F42)</f>
        <v>0</v>
      </c>
      <c r="G43" s="164"/>
      <c r="H43" s="282">
        <f>SUM(H39:H42)</f>
        <v>0</v>
      </c>
      <c r="I43" s="164"/>
      <c r="J43" s="282">
        <f>SUM(J39:J42)</f>
        <v>0</v>
      </c>
      <c r="K43" s="164"/>
      <c r="L43" s="282">
        <f>SUM(L39:L42)</f>
        <v>0</v>
      </c>
      <c r="M43" s="164"/>
      <c r="N43" s="282">
        <f>SUM(N39:N42)</f>
        <v>51263719.944599994</v>
      </c>
      <c r="P43" s="282">
        <f>SUM(P39:P42)</f>
        <v>51263719.944599994</v>
      </c>
    </row>
    <row r="44" spans="1:16">
      <c r="B44" s="164"/>
      <c r="C44" s="164"/>
      <c r="D44" s="164"/>
      <c r="E44" s="164"/>
      <c r="F44" s="164"/>
      <c r="G44" s="164"/>
      <c r="H44" s="164"/>
      <c r="I44" s="164"/>
      <c r="J44" s="164"/>
      <c r="K44" s="164"/>
      <c r="L44" s="164"/>
      <c r="M44" s="164"/>
      <c r="N44" s="164"/>
      <c r="P44" s="164"/>
    </row>
    <row r="45" spans="1:16" ht="15.75" thickBot="1">
      <c r="A45" s="4" t="s">
        <v>47</v>
      </c>
      <c r="B45" s="283">
        <f>B29+B37+B43</f>
        <v>63368318.491503619</v>
      </c>
      <c r="C45" s="164"/>
      <c r="D45" s="283">
        <f>D29+D37+D43</f>
        <v>63368318.491503619</v>
      </c>
      <c r="E45" s="164"/>
      <c r="F45" s="283">
        <f>F29+F37+F43</f>
        <v>18000000</v>
      </c>
      <c r="G45" s="164"/>
      <c r="H45" s="283">
        <f>H29+H37+H43</f>
        <v>81368318.491503611</v>
      </c>
      <c r="I45" s="164"/>
      <c r="J45" s="283">
        <f>J29+J37+J43</f>
        <v>-64565486</v>
      </c>
      <c r="K45" s="164"/>
      <c r="L45" s="283">
        <f>L29+L37+L43</f>
        <v>16802832.491503615</v>
      </c>
      <c r="M45" s="164"/>
      <c r="N45" s="283">
        <f>N29+N37+N43</f>
        <v>34460887.453096375</v>
      </c>
      <c r="P45" s="283">
        <f>P29+P37+P43</f>
        <v>51263719.944599994</v>
      </c>
    </row>
    <row r="46" spans="1:16" ht="15.75" thickTop="1"/>
    <row r="48" spans="1:16" ht="45">
      <c r="A48" s="4" t="s">
        <v>3</v>
      </c>
      <c r="B48" s="4" t="s">
        <v>4</v>
      </c>
      <c r="C48" s="4" t="s">
        <v>5</v>
      </c>
      <c r="D48" s="6" t="s">
        <v>6</v>
      </c>
      <c r="F48" s="6" t="s">
        <v>7</v>
      </c>
      <c r="H48" s="7" t="s">
        <v>8</v>
      </c>
      <c r="J48" s="6" t="s">
        <v>9</v>
      </c>
      <c r="L48" s="6" t="s">
        <v>10</v>
      </c>
      <c r="N48" s="6" t="s">
        <v>11</v>
      </c>
      <c r="P48" s="6" t="s">
        <v>12</v>
      </c>
    </row>
    <row r="49" spans="1:16">
      <c r="A49" s="262" t="s">
        <v>48</v>
      </c>
      <c r="B49" s="262"/>
      <c r="C49" s="262"/>
      <c r="D49" s="263"/>
      <c r="E49" s="264"/>
      <c r="F49" s="265"/>
      <c r="G49" s="264"/>
      <c r="H49" s="263"/>
      <c r="I49" s="264"/>
      <c r="J49" s="265"/>
      <c r="K49" s="264"/>
      <c r="L49" s="265"/>
      <c r="M49" s="264"/>
      <c r="N49" s="265"/>
      <c r="O49" s="305"/>
      <c r="P49" s="265"/>
    </row>
    <row r="50" spans="1:16">
      <c r="A50" t="s">
        <v>49</v>
      </c>
      <c r="B50" s="268">
        <f>WACC!$M$18</f>
        <v>7.46E-2</v>
      </c>
      <c r="D50" s="268">
        <f>WACC!$M$18</f>
        <v>7.46E-2</v>
      </c>
      <c r="F50" s="268">
        <f>WACC!$M$18</f>
        <v>7.46E-2</v>
      </c>
      <c r="H50" s="268">
        <f>WACC!$M$18</f>
        <v>7.46E-2</v>
      </c>
      <c r="J50" s="302"/>
      <c r="L50" s="268">
        <f>WACC!$M$18</f>
        <v>7.46E-2</v>
      </c>
      <c r="N50" s="268">
        <f>WACC!$M$18</f>
        <v>7.46E-2</v>
      </c>
      <c r="P50" s="268">
        <f>WACC!$M$18</f>
        <v>7.46E-2</v>
      </c>
    </row>
    <row r="51" spans="1:16">
      <c r="A51" t="s">
        <v>50</v>
      </c>
      <c r="B51" s="181">
        <f>B45*B50</f>
        <v>4727276.5594661701</v>
      </c>
      <c r="C51" s="164"/>
      <c r="D51" s="181">
        <f>D45*D50</f>
        <v>4727276.5594661701</v>
      </c>
      <c r="E51" s="164"/>
      <c r="F51" s="181">
        <f>F45*F50</f>
        <v>1342800</v>
      </c>
      <c r="G51" s="164"/>
      <c r="H51" s="181">
        <f>H45*H50</f>
        <v>6070076.5594661692</v>
      </c>
      <c r="I51" s="164"/>
      <c r="J51" s="301"/>
      <c r="K51" s="164"/>
      <c r="L51" s="181">
        <f>L45*L50</f>
        <v>1253491.3038661696</v>
      </c>
      <c r="M51" s="164"/>
      <c r="N51" s="181">
        <f>N45*N50</f>
        <v>2570782.2040009894</v>
      </c>
      <c r="P51" s="181">
        <f>P45*P50</f>
        <v>3824273.5078671593</v>
      </c>
    </row>
    <row r="52" spans="1:16">
      <c r="A52" t="s">
        <v>51</v>
      </c>
      <c r="B52">
        <f>WACC!$S$42</f>
        <v>1.3384929999999999</v>
      </c>
      <c r="D52">
        <f>WACC!$S$42</f>
        <v>1.3384929999999999</v>
      </c>
      <c r="F52">
        <f>WACC!$S$42</f>
        <v>1.3384929999999999</v>
      </c>
      <c r="H52">
        <f>WACC!$S$42</f>
        <v>1.3384929999999999</v>
      </c>
      <c r="J52" s="183"/>
      <c r="L52">
        <f>WACC!$S$42</f>
        <v>1.3384929999999999</v>
      </c>
      <c r="N52">
        <f>WACC!$S$42</f>
        <v>1.3384929999999999</v>
      </c>
      <c r="P52">
        <f>WACC!$S$42</f>
        <v>1.3384929999999999</v>
      </c>
    </row>
    <row r="53" spans="1:16">
      <c r="A53" s="4" t="s">
        <v>52</v>
      </c>
      <c r="B53" s="285">
        <f>B51*B52</f>
        <v>6327426.5839095525</v>
      </c>
      <c r="C53" s="164"/>
      <c r="D53" s="285">
        <f>D51*D52</f>
        <v>6327426.5839095525</v>
      </c>
      <c r="E53" s="164"/>
      <c r="F53" s="285">
        <f>F51*F52</f>
        <v>1797328.4003999999</v>
      </c>
      <c r="G53" s="164"/>
      <c r="H53" s="285">
        <f>H51*H52</f>
        <v>8124754.9843095504</v>
      </c>
      <c r="I53" s="164"/>
      <c r="J53" s="285">
        <v>-6602630</v>
      </c>
      <c r="K53" s="164"/>
      <c r="L53" s="285">
        <f>L51*L52</f>
        <v>1677789.335785741</v>
      </c>
      <c r="M53" s="164"/>
      <c r="N53" s="285">
        <f>N51*N52</f>
        <v>3440973.9845798961</v>
      </c>
      <c r="P53" s="285">
        <f>P51*P52</f>
        <v>5118763.3203656375</v>
      </c>
    </row>
    <row r="55" spans="1:16">
      <c r="A55" t="s">
        <v>53</v>
      </c>
      <c r="B55" s="164">
        <f>'TOR TIR Rate Base &amp; JE'!K73*C66</f>
        <v>1424836.5919999997</v>
      </c>
      <c r="C55" s="1">
        <v>1</v>
      </c>
      <c r="D55" s="164">
        <f>B55*C55</f>
        <v>1424836.5919999997</v>
      </c>
      <c r="E55" s="164"/>
      <c r="F55" s="177">
        <v>0</v>
      </c>
      <c r="G55" s="164"/>
      <c r="H55" s="164">
        <f>D55+F55</f>
        <v>1424836.5919999997</v>
      </c>
      <c r="I55" s="164"/>
      <c r="J55" s="185">
        <v>0</v>
      </c>
      <c r="K55" s="164"/>
      <c r="L55" s="164">
        <f>H55+J55</f>
        <v>1424836.5919999997</v>
      </c>
      <c r="M55" s="164"/>
      <c r="N55" s="164">
        <f>P55-L55</f>
        <v>-1424836.5919999997</v>
      </c>
      <c r="O55" s="304" t="s">
        <v>30</v>
      </c>
      <c r="P55" s="164">
        <v>0</v>
      </c>
    </row>
    <row r="56" spans="1:16">
      <c r="A56" t="s">
        <v>54</v>
      </c>
      <c r="B56" s="164">
        <f>'TOR TIR Rate Base &amp; JE'!K171*C67</f>
        <v>194840.93622500001</v>
      </c>
      <c r="C56" s="1">
        <v>1</v>
      </c>
      <c r="D56" s="164">
        <f>B56*C56</f>
        <v>194840.93622500001</v>
      </c>
      <c r="E56" s="164"/>
      <c r="F56" s="177">
        <f>F23*C67</f>
        <v>585000</v>
      </c>
      <c r="G56" s="164"/>
      <c r="H56" s="164">
        <f t="shared" ref="H56:H59" si="4">D56+F56</f>
        <v>779840.93622500007</v>
      </c>
      <c r="I56" s="164"/>
      <c r="J56" s="164">
        <f>-2345812</f>
        <v>-2345812</v>
      </c>
      <c r="K56" s="164"/>
      <c r="L56" s="164">
        <f t="shared" ref="L56:L58" si="5">H56+J56</f>
        <v>-1565971.0637749999</v>
      </c>
      <c r="M56" s="164"/>
      <c r="N56" s="164">
        <f t="shared" ref="N56:N58" si="6">P56-L56</f>
        <v>1565971.0637749999</v>
      </c>
      <c r="O56" s="304" t="s">
        <v>30</v>
      </c>
      <c r="P56" s="164">
        <v>0</v>
      </c>
    </row>
    <row r="57" spans="1:16">
      <c r="A57" t="s">
        <v>55</v>
      </c>
      <c r="B57" s="164">
        <f>'TOR TIR Rate Base &amp; JE'!T73*C66</f>
        <v>93554.319040000002</v>
      </c>
      <c r="C57" s="1">
        <v>1</v>
      </c>
      <c r="D57" s="164">
        <f>B57*C57</f>
        <v>93554.319040000002</v>
      </c>
      <c r="E57" s="164"/>
      <c r="F57" s="177">
        <v>0</v>
      </c>
      <c r="G57" s="164"/>
      <c r="H57" s="164">
        <f t="shared" si="4"/>
        <v>93554.319040000002</v>
      </c>
      <c r="I57" s="164"/>
      <c r="J57" s="177">
        <v>0</v>
      </c>
      <c r="K57" s="164"/>
      <c r="L57" s="164">
        <f t="shared" si="5"/>
        <v>93554.319040000002</v>
      </c>
      <c r="M57" s="164"/>
      <c r="N57" s="164">
        <f t="shared" si="6"/>
        <v>-93554.319040000002</v>
      </c>
      <c r="O57" s="304" t="s">
        <v>39</v>
      </c>
      <c r="P57" s="164">
        <v>0</v>
      </c>
    </row>
    <row r="58" spans="1:16">
      <c r="A58" t="s">
        <v>56</v>
      </c>
      <c r="B58" s="164">
        <f>'TOR TIR Rate Base &amp; JE'!T171*C67</f>
        <v>543567.13417500001</v>
      </c>
      <c r="C58" s="1">
        <v>1</v>
      </c>
      <c r="D58" s="164">
        <f>B58*C58</f>
        <v>543567.13417500001</v>
      </c>
      <c r="E58" s="164"/>
      <c r="F58" s="177">
        <v>0</v>
      </c>
      <c r="G58" s="164"/>
      <c r="H58" s="164">
        <f t="shared" si="4"/>
        <v>543567.13417500001</v>
      </c>
      <c r="I58" s="164"/>
      <c r="J58" s="177">
        <v>0</v>
      </c>
      <c r="K58" s="164"/>
      <c r="L58" s="164">
        <f t="shared" si="5"/>
        <v>543567.13417500001</v>
      </c>
      <c r="M58" s="164"/>
      <c r="N58" s="164">
        <f t="shared" si="6"/>
        <v>-543567.13417500001</v>
      </c>
      <c r="O58" s="304" t="s">
        <v>39</v>
      </c>
      <c r="P58" s="164">
        <v>0</v>
      </c>
    </row>
    <row r="59" spans="1:16">
      <c r="A59" t="s">
        <v>57</v>
      </c>
      <c r="B59" s="164">
        <f>B18</f>
        <v>29678037.808000002</v>
      </c>
      <c r="C59" s="164"/>
      <c r="D59" s="164">
        <f>D18</f>
        <v>29678037.808000002</v>
      </c>
      <c r="E59" s="164"/>
      <c r="F59" s="177">
        <f>F18</f>
        <v>-5145742.4900000012</v>
      </c>
      <c r="G59" s="164"/>
      <c r="H59" s="164">
        <f t="shared" si="4"/>
        <v>24532295.318</v>
      </c>
      <c r="I59" s="164"/>
      <c r="J59" s="177">
        <f>J18</f>
        <v>10153409.960000001</v>
      </c>
      <c r="K59" s="164"/>
      <c r="L59" s="177">
        <f>L18</f>
        <v>34685705.277999997</v>
      </c>
      <c r="M59" s="288"/>
      <c r="N59" s="177">
        <f>N18</f>
        <v>3328841.3694285713</v>
      </c>
      <c r="O59" s="303"/>
      <c r="P59" s="177">
        <f>P18</f>
        <v>38014546.647428572</v>
      </c>
    </row>
    <row r="60" spans="1:16">
      <c r="A60" t="s">
        <v>58</v>
      </c>
      <c r="B60" s="181">
        <f>SUM(B55:B59)</f>
        <v>31934836.789440002</v>
      </c>
      <c r="C60" s="164"/>
      <c r="D60" s="181">
        <f>SUM(D55:D59)</f>
        <v>31934836.789440002</v>
      </c>
      <c r="E60" s="164"/>
      <c r="F60" s="181">
        <f>SUM(F55:F59)</f>
        <v>-4560742.4900000012</v>
      </c>
      <c r="G60" s="164"/>
      <c r="H60" s="181">
        <f>SUM(H55:H59)</f>
        <v>27374094.29944</v>
      </c>
      <c r="I60" s="164"/>
      <c r="J60" s="181">
        <f>SUM(J55:J59)</f>
        <v>7807597.9600000009</v>
      </c>
      <c r="K60" s="164"/>
      <c r="L60" s="181">
        <f>SUM(L55:L59)</f>
        <v>35181692.259439997</v>
      </c>
      <c r="M60" s="288"/>
      <c r="N60" s="181">
        <f>SUM(N55:N59)</f>
        <v>2832854.3879885715</v>
      </c>
      <c r="O60" s="303"/>
      <c r="P60" s="181">
        <f>SUM(P55:P59)</f>
        <v>38014546.647428572</v>
      </c>
    </row>
    <row r="61" spans="1:16">
      <c r="A61" t="s">
        <v>51</v>
      </c>
      <c r="B61">
        <f>WACC!$O$42</f>
        <v>1.004437</v>
      </c>
      <c r="D61">
        <f>WACC!$O$42</f>
        <v>1.004437</v>
      </c>
      <c r="F61">
        <f>WACC!$O$42</f>
        <v>1.004437</v>
      </c>
      <c r="H61">
        <f>WACC!$O$42</f>
        <v>1.004437</v>
      </c>
      <c r="J61">
        <f>WACC!$O$42</f>
        <v>1.004437</v>
      </c>
      <c r="L61">
        <f>WACC!$O$42</f>
        <v>1.004437</v>
      </c>
      <c r="M61" s="158"/>
      <c r="N61">
        <f>WACC!$O$42</f>
        <v>1.004437</v>
      </c>
      <c r="O61" s="303"/>
      <c r="P61">
        <f>WACC!$O$42</f>
        <v>1.004437</v>
      </c>
    </row>
    <row r="62" spans="1:16">
      <c r="A62" s="4" t="s">
        <v>59</v>
      </c>
      <c r="B62" s="285">
        <f>B60*B61</f>
        <v>32076531.660274748</v>
      </c>
      <c r="C62" s="164"/>
      <c r="D62" s="285">
        <f>D60*D61</f>
        <v>32076531.660274748</v>
      </c>
      <c r="E62" s="164"/>
      <c r="F62" s="285">
        <f>F60*F61</f>
        <v>-4580978.5044281315</v>
      </c>
      <c r="G62" s="164"/>
      <c r="H62" s="285">
        <f>H60*H61</f>
        <v>27495553.155846614</v>
      </c>
      <c r="I62" s="164"/>
      <c r="J62" s="285">
        <f>J60*J61</f>
        <v>7842240.2721485207</v>
      </c>
      <c r="K62" s="164"/>
      <c r="L62" s="285">
        <f>L60*L61</f>
        <v>35337793.42799513</v>
      </c>
      <c r="M62" s="288"/>
      <c r="N62" s="285">
        <f>N60*N61</f>
        <v>2845423.7629080769</v>
      </c>
      <c r="O62" s="303"/>
      <c r="P62" s="285">
        <f>P60*P61</f>
        <v>38183217.190903217</v>
      </c>
    </row>
    <row r="63" spans="1:16">
      <c r="B63" s="164"/>
      <c r="C63" s="164"/>
      <c r="D63" s="164"/>
      <c r="E63" s="164"/>
      <c r="F63" s="164"/>
      <c r="G63" s="164"/>
      <c r="H63" s="164"/>
      <c r="I63" s="164"/>
      <c r="J63" s="164"/>
      <c r="K63" s="164"/>
      <c r="L63" s="164"/>
      <c r="M63" s="288"/>
      <c r="N63" s="164"/>
      <c r="O63" s="303"/>
      <c r="P63" s="164"/>
    </row>
    <row r="64" spans="1:16" ht="15.75" thickBot="1">
      <c r="A64" s="4" t="s">
        <v>60</v>
      </c>
      <c r="B64" s="283">
        <f>B53+B62</f>
        <v>38403958.2441843</v>
      </c>
      <c r="C64" s="164"/>
      <c r="D64" s="283">
        <f>D53+D62</f>
        <v>38403958.2441843</v>
      </c>
      <c r="E64" s="164"/>
      <c r="F64" s="283">
        <f>F53+F62</f>
        <v>-2783650.1040281318</v>
      </c>
      <c r="G64" s="164"/>
      <c r="H64" s="283">
        <f>H53+H62</f>
        <v>35620308.140156165</v>
      </c>
      <c r="I64" s="164"/>
      <c r="J64" s="283">
        <f>J53+J62</f>
        <v>1239610.2721485207</v>
      </c>
      <c r="K64" s="164"/>
      <c r="L64" s="283">
        <f>L53+L62</f>
        <v>37015582.76378087</v>
      </c>
      <c r="M64" s="288"/>
      <c r="N64" s="283">
        <f>N53+N62</f>
        <v>6286397.7474879734</v>
      </c>
      <c r="O64" s="303"/>
      <c r="P64" s="283">
        <f>P53+P62</f>
        <v>43301980.511268854</v>
      </c>
    </row>
    <row r="65" spans="1:16" ht="15.75" thickTop="1">
      <c r="J65" s="184"/>
      <c r="L65" s="269"/>
      <c r="M65" s="158"/>
      <c r="N65" s="269"/>
      <c r="O65" s="303"/>
    </row>
    <row r="66" spans="1:16">
      <c r="A66" s="4" t="s">
        <v>61</v>
      </c>
      <c r="C66" s="170">
        <v>3.2000000000000001E-2</v>
      </c>
      <c r="J66" s="184"/>
      <c r="L66" s="269"/>
      <c r="M66" s="158"/>
      <c r="N66" s="269"/>
      <c r="O66" s="303"/>
      <c r="P66" s="290"/>
    </row>
    <row r="67" spans="1:16">
      <c r="A67" s="4" t="s">
        <v>62</v>
      </c>
      <c r="C67" s="170">
        <v>3.2500000000000001E-2</v>
      </c>
      <c r="J67" s="184"/>
      <c r="L67" s="269"/>
      <c r="M67" s="158"/>
      <c r="N67" s="269"/>
      <c r="O67" s="303"/>
      <c r="P67" s="269"/>
    </row>
    <row r="68" spans="1:16">
      <c r="B68" s="170"/>
      <c r="J68" s="184"/>
      <c r="L68" s="269"/>
      <c r="M68" s="158"/>
      <c r="N68" s="269"/>
      <c r="O68" s="303"/>
      <c r="P68" s="269"/>
    </row>
    <row r="69" spans="1:16">
      <c r="A69" s="174" t="s">
        <v>63</v>
      </c>
      <c r="J69" s="159"/>
      <c r="L69" s="266"/>
      <c r="M69" s="1"/>
      <c r="N69" s="266"/>
      <c r="O69" s="303"/>
      <c r="P69" s="266"/>
    </row>
    <row r="70" spans="1:16">
      <c r="A70" s="307" t="s">
        <v>64</v>
      </c>
      <c r="B70" s="307"/>
      <c r="C70" s="307"/>
      <c r="D70" s="307"/>
      <c r="E70" s="307"/>
      <c r="F70" s="307"/>
      <c r="G70" s="307"/>
      <c r="H70" s="307"/>
      <c r="I70" s="307"/>
      <c r="J70" s="307"/>
      <c r="K70" s="307"/>
      <c r="L70" s="307"/>
      <c r="M70" s="307"/>
      <c r="N70" s="307"/>
      <c r="O70" s="308"/>
      <c r="P70" s="307"/>
    </row>
    <row r="71" spans="1:16" ht="33" customHeight="1">
      <c r="A71" s="568" t="s">
        <v>65</v>
      </c>
      <c r="B71" s="568"/>
      <c r="C71" s="568"/>
      <c r="D71" s="568"/>
      <c r="E71" s="568"/>
      <c r="F71" s="568"/>
      <c r="G71" s="568"/>
      <c r="H71" s="568"/>
      <c r="I71" s="568"/>
      <c r="J71" s="568"/>
      <c r="K71" s="568"/>
      <c r="L71" s="568"/>
      <c r="M71" s="568"/>
      <c r="N71" s="568"/>
      <c r="O71" s="568"/>
      <c r="P71" s="568"/>
    </row>
    <row r="72" spans="1:16">
      <c r="A72" s="568" t="s">
        <v>66</v>
      </c>
      <c r="B72" s="568"/>
      <c r="C72" s="568"/>
      <c r="D72" s="568"/>
      <c r="E72" s="568"/>
      <c r="F72" s="568"/>
      <c r="G72" s="568"/>
      <c r="H72" s="568"/>
      <c r="I72" s="568"/>
      <c r="J72" s="568"/>
      <c r="K72" s="568"/>
      <c r="L72" s="568"/>
      <c r="M72" s="568"/>
      <c r="N72" s="568"/>
      <c r="O72" s="568"/>
      <c r="P72" s="568"/>
    </row>
    <row r="73" spans="1:16">
      <c r="A73" s="162" t="s">
        <v>67</v>
      </c>
      <c r="B73" s="161"/>
      <c r="C73" s="161"/>
      <c r="D73" s="161"/>
      <c r="E73" s="161"/>
      <c r="F73" s="161"/>
      <c r="G73" s="161"/>
      <c r="H73" s="161"/>
      <c r="I73" s="161"/>
      <c r="J73" s="161"/>
      <c r="K73" s="161"/>
      <c r="L73" s="161"/>
      <c r="M73" s="161"/>
      <c r="N73" s="161"/>
      <c r="O73" s="306"/>
      <c r="P73" s="161"/>
    </row>
    <row r="74" spans="1:16">
      <c r="A74" s="307" t="s">
        <v>68</v>
      </c>
      <c r="B74" s="161"/>
      <c r="C74" s="161"/>
      <c r="D74" s="161"/>
      <c r="E74" s="161"/>
      <c r="F74" s="161"/>
      <c r="G74" s="161"/>
      <c r="H74" s="161"/>
      <c r="I74" s="161"/>
      <c r="J74" s="161"/>
      <c r="K74" s="161"/>
      <c r="L74" s="161"/>
      <c r="M74" s="161"/>
      <c r="N74" s="161"/>
      <c r="O74" s="306"/>
      <c r="P74" s="161"/>
    </row>
    <row r="75" spans="1:16">
      <c r="A75" s="568" t="s">
        <v>69</v>
      </c>
      <c r="B75" s="568"/>
      <c r="C75" s="568"/>
      <c r="D75" s="568"/>
      <c r="E75" s="568"/>
      <c r="F75" s="568"/>
      <c r="G75" s="568"/>
      <c r="H75" s="568"/>
      <c r="I75" s="568"/>
      <c r="J75" s="568"/>
      <c r="K75" s="568"/>
      <c r="L75" s="568"/>
      <c r="M75" s="568"/>
      <c r="N75" s="568"/>
      <c r="O75" s="568"/>
      <c r="P75" s="568"/>
    </row>
    <row r="76" spans="1:16">
      <c r="A76" s="568"/>
      <c r="B76" s="568"/>
      <c r="C76" s="568"/>
      <c r="D76" s="568"/>
      <c r="E76" s="568"/>
      <c r="F76" s="568"/>
      <c r="G76" s="568"/>
      <c r="H76" s="568"/>
      <c r="I76" s="568"/>
      <c r="J76" s="568"/>
      <c r="K76" s="568"/>
      <c r="L76" s="568"/>
      <c r="M76" s="568"/>
      <c r="N76" s="568"/>
      <c r="O76" s="568"/>
      <c r="P76" s="568"/>
    </row>
    <row r="77" spans="1:16">
      <c r="A77" s="568" t="s">
        <v>70</v>
      </c>
      <c r="B77" s="568"/>
      <c r="C77" s="568"/>
      <c r="D77" s="568"/>
      <c r="E77" s="568"/>
      <c r="F77" s="568"/>
      <c r="G77" s="568"/>
      <c r="H77" s="568"/>
      <c r="I77" s="568"/>
      <c r="J77" s="568"/>
      <c r="K77" s="568"/>
      <c r="L77" s="568"/>
      <c r="M77" s="568"/>
      <c r="N77" s="568"/>
      <c r="O77" s="568"/>
      <c r="P77" s="568"/>
    </row>
    <row r="78" spans="1:16">
      <c r="A78" s="307" t="s">
        <v>71</v>
      </c>
      <c r="B78" s="161"/>
      <c r="C78" s="161"/>
      <c r="D78" s="161"/>
      <c r="E78" s="161"/>
      <c r="F78" s="161"/>
      <c r="G78" s="161"/>
      <c r="H78" s="161"/>
      <c r="I78" s="161"/>
      <c r="J78" s="161"/>
      <c r="K78" s="161"/>
      <c r="L78" s="161"/>
      <c r="M78" s="161"/>
      <c r="N78" s="161"/>
      <c r="O78" s="161"/>
      <c r="P78" s="161"/>
    </row>
    <row r="79" spans="1:16" ht="14.45" customHeight="1">
      <c r="A79" s="568" t="s">
        <v>72</v>
      </c>
      <c r="B79" s="568"/>
      <c r="C79" s="568"/>
      <c r="D79" s="568"/>
      <c r="E79" s="568"/>
      <c r="F79" s="568"/>
      <c r="G79" s="568"/>
      <c r="H79" s="568"/>
      <c r="I79" s="568"/>
      <c r="J79" s="568"/>
      <c r="K79" s="568"/>
      <c r="L79" s="568"/>
      <c r="M79" s="568"/>
      <c r="N79" s="568"/>
      <c r="O79" s="568"/>
      <c r="P79" s="568"/>
    </row>
    <row r="80" spans="1:16" ht="14.45" customHeight="1">
      <c r="A80" s="568"/>
      <c r="B80" s="568"/>
      <c r="C80" s="568"/>
      <c r="D80" s="568"/>
      <c r="E80" s="568"/>
      <c r="F80" s="568"/>
      <c r="G80" s="568"/>
      <c r="H80" s="568"/>
      <c r="I80" s="568"/>
      <c r="J80" s="568"/>
      <c r="K80" s="568"/>
      <c r="L80" s="568"/>
      <c r="M80" s="568"/>
      <c r="N80" s="568"/>
      <c r="O80" s="568"/>
      <c r="P80" s="568"/>
    </row>
    <row r="81" spans="1:16">
      <c r="A81" s="307"/>
      <c r="B81" s="307"/>
      <c r="C81" s="307"/>
      <c r="D81" s="307"/>
      <c r="E81" s="307"/>
      <c r="F81" s="307"/>
      <c r="G81" s="307"/>
      <c r="H81" s="307"/>
      <c r="I81" s="307"/>
      <c r="J81" s="307"/>
      <c r="K81" s="307"/>
      <c r="L81" s="307"/>
      <c r="M81" s="307"/>
      <c r="N81" s="307"/>
      <c r="O81" s="308"/>
      <c r="P81" s="307"/>
    </row>
    <row r="82" spans="1:16">
      <c r="A82" s="307"/>
    </row>
    <row r="83" spans="1:16">
      <c r="A83" s="307"/>
    </row>
    <row r="84" spans="1:16">
      <c r="A84" s="307"/>
    </row>
    <row r="85" spans="1:16">
      <c r="A85" s="307"/>
    </row>
  </sheetData>
  <mergeCells count="5">
    <mergeCell ref="A71:P71"/>
    <mergeCell ref="A79:P80"/>
    <mergeCell ref="A75:P76"/>
    <mergeCell ref="A77:P77"/>
    <mergeCell ref="A72:P72"/>
  </mergeCells>
  <pageMargins left="0.45" right="0.45" top="0.5" bottom="0.5" header="0.05" footer="0.05"/>
  <pageSetup scale="53"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90BC-BE0B-41A1-B6D1-F2E92847F0F7}">
  <dimension ref="A1:E37"/>
  <sheetViews>
    <sheetView workbookViewId="0">
      <selection activeCell="L246" sqref="L246"/>
    </sheetView>
  </sheetViews>
  <sheetFormatPr defaultRowHeight="15"/>
  <cols>
    <col min="1" max="1" width="14" bestFit="1" customWidth="1"/>
    <col min="2" max="2" width="18" bestFit="1" customWidth="1"/>
    <col min="3" max="3" width="24" bestFit="1" customWidth="1"/>
  </cols>
  <sheetData>
    <row r="1" spans="1:5">
      <c r="A1" s="267" t="s">
        <v>880</v>
      </c>
      <c r="B1" t="s">
        <v>907</v>
      </c>
      <c r="C1" t="s">
        <v>908</v>
      </c>
    </row>
    <row r="3" spans="1:5">
      <c r="A3" s="267" t="s">
        <v>909</v>
      </c>
      <c r="B3" t="s">
        <v>877</v>
      </c>
    </row>
    <row r="4" spans="1:5">
      <c r="A4" s="163" t="s">
        <v>904</v>
      </c>
      <c r="B4" s="189">
        <v>3573832.8400000003</v>
      </c>
      <c r="C4" t="s">
        <v>16</v>
      </c>
    </row>
    <row r="5" spans="1:5">
      <c r="A5" s="163" t="s">
        <v>905</v>
      </c>
      <c r="B5" s="189">
        <v>2357979.1899999995</v>
      </c>
      <c r="C5" t="s">
        <v>16</v>
      </c>
    </row>
    <row r="6" spans="1:5">
      <c r="A6" s="163" t="s">
        <v>893</v>
      </c>
      <c r="B6" s="189">
        <v>5995105.7300000004</v>
      </c>
      <c r="C6" t="s">
        <v>22</v>
      </c>
    </row>
    <row r="7" spans="1:5">
      <c r="A7" s="163" t="s">
        <v>895</v>
      </c>
      <c r="B7" s="189">
        <v>4341.1499999999996</v>
      </c>
      <c r="C7" s="190" t="s">
        <v>910</v>
      </c>
      <c r="D7" s="190"/>
      <c r="E7" s="190"/>
    </row>
    <row r="8" spans="1:5">
      <c r="A8" s="163" t="s">
        <v>903</v>
      </c>
      <c r="B8" s="189">
        <v>2923572.47</v>
      </c>
      <c r="C8" t="s">
        <v>16</v>
      </c>
    </row>
    <row r="9" spans="1:5">
      <c r="A9" s="163" t="s">
        <v>896</v>
      </c>
      <c r="B9" s="189">
        <v>12136663.91</v>
      </c>
      <c r="C9" t="s">
        <v>22</v>
      </c>
    </row>
    <row r="10" spans="1:5">
      <c r="A10" s="163" t="s">
        <v>897</v>
      </c>
      <c r="B10" s="189">
        <v>7553853.1299999999</v>
      </c>
      <c r="C10" t="s">
        <v>22</v>
      </c>
    </row>
    <row r="11" spans="1:5">
      <c r="A11" s="163" t="s">
        <v>898</v>
      </c>
      <c r="B11" s="189">
        <v>6893264.370000001</v>
      </c>
      <c r="C11" t="s">
        <v>22</v>
      </c>
    </row>
    <row r="12" spans="1:5">
      <c r="A12" s="163" t="s">
        <v>906</v>
      </c>
      <c r="B12" s="189">
        <v>7585186.3700000001</v>
      </c>
      <c r="C12" t="s">
        <v>16</v>
      </c>
    </row>
    <row r="13" spans="1:5">
      <c r="A13" s="163" t="s">
        <v>899</v>
      </c>
      <c r="B13" s="189">
        <v>6563048.4899999984</v>
      </c>
      <c r="C13" t="s">
        <v>22</v>
      </c>
    </row>
    <row r="14" spans="1:5">
      <c r="A14" s="163" t="s">
        <v>900</v>
      </c>
      <c r="B14" s="189">
        <v>6731664.1000000006</v>
      </c>
      <c r="C14" t="s">
        <v>22</v>
      </c>
    </row>
    <row r="15" spans="1:5">
      <c r="A15" s="163" t="s">
        <v>901</v>
      </c>
      <c r="B15" s="189">
        <v>4643308.3500000006</v>
      </c>
      <c r="C15" t="s">
        <v>22</v>
      </c>
    </row>
    <row r="16" spans="1:5">
      <c r="A16" s="163" t="s">
        <v>827</v>
      </c>
      <c r="B16" s="189">
        <v>3208144.19</v>
      </c>
      <c r="C16" s="190" t="s">
        <v>911</v>
      </c>
      <c r="D16" s="190"/>
      <c r="E16" s="190"/>
    </row>
    <row r="17" spans="1:3">
      <c r="A17" s="163" t="s">
        <v>129</v>
      </c>
      <c r="B17" s="189">
        <v>70169964.290000007</v>
      </c>
    </row>
    <row r="20" spans="1:3">
      <c r="A20" s="267" t="s">
        <v>880</v>
      </c>
      <c r="B20" t="s">
        <v>876</v>
      </c>
      <c r="C20" t="s">
        <v>912</v>
      </c>
    </row>
    <row r="22" spans="1:3">
      <c r="A22" s="267" t="s">
        <v>909</v>
      </c>
      <c r="B22" t="s">
        <v>877</v>
      </c>
    </row>
    <row r="23" spans="1:3">
      <c r="A23" s="163" t="s">
        <v>904</v>
      </c>
      <c r="B23" s="189">
        <v>3573832.8400000003</v>
      </c>
    </row>
    <row r="24" spans="1:3">
      <c r="A24" s="163" t="s">
        <v>905</v>
      </c>
      <c r="B24" s="189">
        <v>2357979.1899999995</v>
      </c>
    </row>
    <row r="25" spans="1:3">
      <c r="A25" s="163" t="s">
        <v>893</v>
      </c>
      <c r="B25" s="189">
        <v>5995105.7300000004</v>
      </c>
    </row>
    <row r="26" spans="1:3">
      <c r="A26" s="163" t="s">
        <v>895</v>
      </c>
      <c r="B26" s="189">
        <v>4341.1499999999996</v>
      </c>
    </row>
    <row r="27" spans="1:3">
      <c r="A27" s="163" t="s">
        <v>903</v>
      </c>
      <c r="B27" s="189">
        <v>2923572.47</v>
      </c>
    </row>
    <row r="28" spans="1:3">
      <c r="A28" s="163" t="s">
        <v>896</v>
      </c>
      <c r="B28" s="189">
        <v>12136663.91</v>
      </c>
    </row>
    <row r="29" spans="1:3">
      <c r="A29" s="163" t="s">
        <v>897</v>
      </c>
      <c r="B29" s="189">
        <v>7553853.1299999999</v>
      </c>
    </row>
    <row r="30" spans="1:3">
      <c r="A30" s="163" t="s">
        <v>898</v>
      </c>
      <c r="B30" s="189">
        <v>6893264.370000001</v>
      </c>
    </row>
    <row r="31" spans="1:3">
      <c r="A31" s="163" t="s">
        <v>906</v>
      </c>
      <c r="B31" s="189">
        <v>9047259.6600000001</v>
      </c>
    </row>
    <row r="32" spans="1:3">
      <c r="A32" s="163" t="s">
        <v>899</v>
      </c>
      <c r="B32" s="189">
        <v>6563048.4899999984</v>
      </c>
    </row>
    <row r="33" spans="1:2">
      <c r="A33" s="163" t="s">
        <v>900</v>
      </c>
      <c r="B33" s="189">
        <v>6724375.75</v>
      </c>
    </row>
    <row r="34" spans="1:2">
      <c r="A34" s="163" t="s">
        <v>901</v>
      </c>
      <c r="B34" s="189">
        <v>4671285.59</v>
      </c>
    </row>
    <row r="35" spans="1:2">
      <c r="A35" s="163" t="s">
        <v>902</v>
      </c>
      <c r="B35" s="189">
        <v>18386869.050000001</v>
      </c>
    </row>
    <row r="36" spans="1:2">
      <c r="A36" s="163" t="s">
        <v>827</v>
      </c>
      <c r="B36" s="189">
        <v>3208144.19</v>
      </c>
    </row>
    <row r="37" spans="1:2">
      <c r="A37" s="163" t="s">
        <v>129</v>
      </c>
      <c r="B37" s="189">
        <v>90039595.519999996</v>
      </c>
    </row>
  </sheetData>
  <pageMargins left="0.7" right="0.7" top="0.75" bottom="0.75" header="0.3" footer="0.3"/>
  <pageSetup paperSize="0" orientation="portrait" horizontalDpi="0" verticalDpi="0" copies="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1D12B-91E5-4192-A916-39C1DD0E5AB3}">
  <dimension ref="A1:X331"/>
  <sheetViews>
    <sheetView workbookViewId="0">
      <pane ySplit="1" topLeftCell="A2" activePane="bottomLeft" state="frozen"/>
      <selection activeCell="L246" sqref="L246"/>
      <selection pane="bottomLeft" activeCell="L246" sqref="L246"/>
    </sheetView>
  </sheetViews>
  <sheetFormatPr defaultColWidth="9.140625" defaultRowHeight="15"/>
  <cols>
    <col min="1" max="1" width="5.140625" style="192" bestFit="1" customWidth="1"/>
    <col min="2" max="2" width="8" style="192" bestFit="1" customWidth="1"/>
    <col min="3" max="3" width="6.140625" style="192" bestFit="1" customWidth="1"/>
    <col min="4" max="4" width="9.140625" style="192"/>
    <col min="5" max="5" width="8.42578125" style="192" bestFit="1" customWidth="1"/>
    <col min="6" max="6" width="6" style="192" bestFit="1" customWidth="1"/>
    <col min="7" max="7" width="12.7109375" style="192" bestFit="1" customWidth="1"/>
    <col min="8" max="8" width="8.85546875" style="192" bestFit="1" customWidth="1"/>
    <col min="9" max="9" width="12" style="192" bestFit="1" customWidth="1"/>
    <col min="10" max="10" width="8.7109375" style="192" bestFit="1" customWidth="1"/>
    <col min="11" max="11" width="8.42578125" style="192" bestFit="1" customWidth="1"/>
    <col min="12" max="12" width="11.85546875" style="192" bestFit="1" customWidth="1"/>
    <col min="13" max="13" width="7" style="192" bestFit="1" customWidth="1"/>
    <col min="14" max="14" width="5.85546875" style="192" bestFit="1" customWidth="1"/>
    <col min="15" max="15" width="8.140625" style="192" bestFit="1" customWidth="1"/>
    <col min="16" max="16" width="12.7109375" style="192" bestFit="1" customWidth="1"/>
    <col min="17" max="17" width="7.42578125" style="192" bestFit="1" customWidth="1"/>
    <col min="18" max="18" width="24.42578125" style="192" bestFit="1" customWidth="1"/>
    <col min="19" max="19" width="10.140625" style="192" bestFit="1" customWidth="1"/>
    <col min="20" max="20" width="8.28515625" style="192" bestFit="1" customWidth="1"/>
    <col min="21" max="21" width="10" style="192" bestFit="1" customWidth="1"/>
    <col min="22" max="22" width="8.28515625" style="192" bestFit="1" customWidth="1"/>
    <col min="23" max="23" width="8.140625" style="192" bestFit="1" customWidth="1"/>
    <col min="24" max="24" width="37.5703125" style="192" bestFit="1" customWidth="1"/>
    <col min="25" max="16384" width="9.140625" style="192"/>
  </cols>
  <sheetData>
    <row r="1" spans="1:24" ht="30.75" thickBot="1">
      <c r="A1" s="191" t="s">
        <v>913</v>
      </c>
      <c r="B1" s="191" t="s">
        <v>914</v>
      </c>
      <c r="C1" s="191" t="s">
        <v>915</v>
      </c>
      <c r="D1" s="191" t="s">
        <v>857</v>
      </c>
      <c r="E1" s="191" t="s">
        <v>916</v>
      </c>
      <c r="F1" s="191" t="s">
        <v>917</v>
      </c>
      <c r="G1" s="191" t="s">
        <v>918</v>
      </c>
      <c r="H1" s="191" t="s">
        <v>919</v>
      </c>
      <c r="I1" s="191" t="s">
        <v>878</v>
      </c>
      <c r="J1" s="191" t="s">
        <v>920</v>
      </c>
      <c r="K1" s="191" t="s">
        <v>921</v>
      </c>
      <c r="L1" s="191" t="s">
        <v>922</v>
      </c>
      <c r="M1" s="191" t="s">
        <v>923</v>
      </c>
      <c r="N1" s="191" t="s">
        <v>924</v>
      </c>
      <c r="O1" s="191" t="s">
        <v>925</v>
      </c>
      <c r="P1" s="191" t="s">
        <v>926</v>
      </c>
      <c r="Q1" s="191" t="s">
        <v>927</v>
      </c>
      <c r="R1" s="191" t="s">
        <v>928</v>
      </c>
      <c r="S1" s="191" t="s">
        <v>929</v>
      </c>
      <c r="T1" s="191" t="s">
        <v>930</v>
      </c>
      <c r="U1" s="191" t="s">
        <v>931</v>
      </c>
      <c r="V1" s="191" t="s">
        <v>932</v>
      </c>
      <c r="W1" s="191" t="s">
        <v>933</v>
      </c>
      <c r="X1" s="191" t="s">
        <v>934</v>
      </c>
    </row>
    <row r="2" spans="1:24">
      <c r="A2" s="193" t="s">
        <v>935</v>
      </c>
      <c r="B2" s="194">
        <v>1</v>
      </c>
      <c r="C2" s="194">
        <v>2025</v>
      </c>
      <c r="D2" s="193" t="s">
        <v>936</v>
      </c>
      <c r="E2" s="193"/>
      <c r="F2" s="193" t="s">
        <v>937</v>
      </c>
      <c r="G2" s="195">
        <v>350.16</v>
      </c>
      <c r="H2" s="193"/>
      <c r="I2" s="193" t="s">
        <v>820</v>
      </c>
      <c r="J2" s="193"/>
      <c r="K2" s="193" t="s">
        <v>938</v>
      </c>
      <c r="L2" s="193" t="s">
        <v>939</v>
      </c>
      <c r="M2" s="193" t="s">
        <v>940</v>
      </c>
      <c r="N2" s="193" t="s">
        <v>941</v>
      </c>
      <c r="O2" s="193"/>
      <c r="P2" s="193" t="s">
        <v>942</v>
      </c>
      <c r="Q2" s="193" t="s">
        <v>943</v>
      </c>
      <c r="R2" s="193" t="s">
        <v>944</v>
      </c>
      <c r="S2" s="196" t="s">
        <v>945</v>
      </c>
      <c r="T2" s="193" t="s">
        <v>946</v>
      </c>
      <c r="U2" s="193" t="s">
        <v>947</v>
      </c>
      <c r="V2" s="193"/>
      <c r="W2" s="193"/>
      <c r="X2" s="193" t="s">
        <v>948</v>
      </c>
    </row>
    <row r="3" spans="1:24">
      <c r="A3" s="193" t="s">
        <v>935</v>
      </c>
      <c r="B3" s="194">
        <v>1</v>
      </c>
      <c r="C3" s="194">
        <v>2025</v>
      </c>
      <c r="D3" s="193" t="s">
        <v>936</v>
      </c>
      <c r="E3" s="193"/>
      <c r="F3" s="193" t="s">
        <v>937</v>
      </c>
      <c r="G3" s="195">
        <v>1.71</v>
      </c>
      <c r="H3" s="193"/>
      <c r="I3" s="193" t="s">
        <v>820</v>
      </c>
      <c r="J3" s="193"/>
      <c r="K3" s="193" t="s">
        <v>938</v>
      </c>
      <c r="L3" s="193" t="s">
        <v>939</v>
      </c>
      <c r="M3" s="193" t="s">
        <v>949</v>
      </c>
      <c r="N3" s="193" t="s">
        <v>941</v>
      </c>
      <c r="O3" s="193"/>
      <c r="P3" s="193" t="s">
        <v>950</v>
      </c>
      <c r="Q3" s="193" t="s">
        <v>943</v>
      </c>
      <c r="R3" s="193" t="s">
        <v>951</v>
      </c>
      <c r="S3" s="196" t="s">
        <v>945</v>
      </c>
      <c r="T3" s="193" t="s">
        <v>952</v>
      </c>
      <c r="U3" s="193" t="s">
        <v>947</v>
      </c>
      <c r="V3" s="193"/>
      <c r="W3" s="193"/>
      <c r="X3" s="193" t="s">
        <v>953</v>
      </c>
    </row>
    <row r="4" spans="1:24">
      <c r="A4" s="193" t="s">
        <v>935</v>
      </c>
      <c r="B4" s="194">
        <v>1</v>
      </c>
      <c r="C4" s="194">
        <v>2025</v>
      </c>
      <c r="D4" s="193" t="s">
        <v>936</v>
      </c>
      <c r="E4" s="193"/>
      <c r="F4" s="193" t="s">
        <v>937</v>
      </c>
      <c r="G4" s="195">
        <v>3.42</v>
      </c>
      <c r="H4" s="193"/>
      <c r="I4" s="193" t="s">
        <v>820</v>
      </c>
      <c r="J4" s="193"/>
      <c r="K4" s="193" t="s">
        <v>938</v>
      </c>
      <c r="L4" s="193" t="s">
        <v>939</v>
      </c>
      <c r="M4" s="193" t="s">
        <v>954</v>
      </c>
      <c r="N4" s="193" t="s">
        <v>941</v>
      </c>
      <c r="O4" s="193"/>
      <c r="P4" s="193" t="s">
        <v>950</v>
      </c>
      <c r="Q4" s="193" t="s">
        <v>943</v>
      </c>
      <c r="R4" s="193" t="s">
        <v>951</v>
      </c>
      <c r="S4" s="196" t="s">
        <v>945</v>
      </c>
      <c r="T4" s="193" t="s">
        <v>952</v>
      </c>
      <c r="U4" s="193" t="s">
        <v>947</v>
      </c>
      <c r="V4" s="193"/>
      <c r="W4" s="193"/>
      <c r="X4" s="193" t="s">
        <v>953</v>
      </c>
    </row>
    <row r="5" spans="1:24">
      <c r="A5" s="193" t="s">
        <v>935</v>
      </c>
      <c r="B5" s="194">
        <v>1</v>
      </c>
      <c r="C5" s="194">
        <v>2025</v>
      </c>
      <c r="D5" s="193" t="s">
        <v>936</v>
      </c>
      <c r="E5" s="193"/>
      <c r="F5" s="193" t="s">
        <v>937</v>
      </c>
      <c r="G5" s="195">
        <v>5.29</v>
      </c>
      <c r="H5" s="193"/>
      <c r="I5" s="193" t="s">
        <v>820</v>
      </c>
      <c r="J5" s="193"/>
      <c r="K5" s="193" t="s">
        <v>938</v>
      </c>
      <c r="L5" s="193" t="s">
        <v>939</v>
      </c>
      <c r="M5" s="193" t="s">
        <v>955</v>
      </c>
      <c r="N5" s="193" t="s">
        <v>941</v>
      </c>
      <c r="O5" s="193"/>
      <c r="P5" s="193" t="s">
        <v>950</v>
      </c>
      <c r="Q5" s="193" t="s">
        <v>943</v>
      </c>
      <c r="R5" s="193" t="s">
        <v>951</v>
      </c>
      <c r="S5" s="196" t="s">
        <v>945</v>
      </c>
      <c r="T5" s="193" t="s">
        <v>952</v>
      </c>
      <c r="U5" s="193" t="s">
        <v>947</v>
      </c>
      <c r="V5" s="193"/>
      <c r="W5" s="193"/>
      <c r="X5" s="193" t="s">
        <v>953</v>
      </c>
    </row>
    <row r="6" spans="1:24">
      <c r="A6" s="193" t="s">
        <v>935</v>
      </c>
      <c r="B6" s="194">
        <v>1</v>
      </c>
      <c r="C6" s="194">
        <v>2025</v>
      </c>
      <c r="D6" s="193" t="s">
        <v>936</v>
      </c>
      <c r="E6" s="193"/>
      <c r="F6" s="193" t="s">
        <v>937</v>
      </c>
      <c r="G6" s="195">
        <v>82.48</v>
      </c>
      <c r="H6" s="193"/>
      <c r="I6" s="193" t="s">
        <v>820</v>
      </c>
      <c r="J6" s="193"/>
      <c r="K6" s="193" t="s">
        <v>938</v>
      </c>
      <c r="L6" s="193" t="s">
        <v>939</v>
      </c>
      <c r="M6" s="193" t="s">
        <v>956</v>
      </c>
      <c r="N6" s="193" t="s">
        <v>941</v>
      </c>
      <c r="O6" s="193"/>
      <c r="P6" s="193" t="s">
        <v>950</v>
      </c>
      <c r="Q6" s="193" t="s">
        <v>943</v>
      </c>
      <c r="R6" s="193" t="s">
        <v>951</v>
      </c>
      <c r="S6" s="196" t="s">
        <v>945</v>
      </c>
      <c r="T6" s="193" t="s">
        <v>952</v>
      </c>
      <c r="U6" s="193" t="s">
        <v>947</v>
      </c>
      <c r="V6" s="193"/>
      <c r="W6" s="193"/>
      <c r="X6" s="193" t="s">
        <v>953</v>
      </c>
    </row>
    <row r="7" spans="1:24">
      <c r="A7" s="193" t="s">
        <v>935</v>
      </c>
      <c r="B7" s="194">
        <v>1</v>
      </c>
      <c r="C7" s="194">
        <v>2025</v>
      </c>
      <c r="D7" s="193" t="s">
        <v>936</v>
      </c>
      <c r="E7" s="193"/>
      <c r="F7" s="193" t="s">
        <v>937</v>
      </c>
      <c r="G7" s="195">
        <v>0.6</v>
      </c>
      <c r="H7" s="193"/>
      <c r="I7" s="193" t="s">
        <v>820</v>
      </c>
      <c r="J7" s="193"/>
      <c r="K7" s="193" t="s">
        <v>938</v>
      </c>
      <c r="L7" s="193" t="s">
        <v>939</v>
      </c>
      <c r="M7" s="193" t="s">
        <v>957</v>
      </c>
      <c r="N7" s="193" t="s">
        <v>941</v>
      </c>
      <c r="O7" s="193"/>
      <c r="P7" s="193" t="s">
        <v>950</v>
      </c>
      <c r="Q7" s="193" t="s">
        <v>943</v>
      </c>
      <c r="R7" s="193" t="s">
        <v>951</v>
      </c>
      <c r="S7" s="196" t="s">
        <v>945</v>
      </c>
      <c r="T7" s="193" t="s">
        <v>952</v>
      </c>
      <c r="U7" s="193" t="s">
        <v>947</v>
      </c>
      <c r="V7" s="193"/>
      <c r="W7" s="193"/>
      <c r="X7" s="193" t="s">
        <v>953</v>
      </c>
    </row>
    <row r="8" spans="1:24">
      <c r="A8" s="193" t="s">
        <v>935</v>
      </c>
      <c r="B8" s="194">
        <v>1</v>
      </c>
      <c r="C8" s="194">
        <v>2025</v>
      </c>
      <c r="D8" s="193" t="s">
        <v>936</v>
      </c>
      <c r="E8" s="193"/>
      <c r="F8" s="193" t="s">
        <v>937</v>
      </c>
      <c r="G8" s="195">
        <v>159.5</v>
      </c>
      <c r="H8" s="193"/>
      <c r="I8" s="193" t="s">
        <v>820</v>
      </c>
      <c r="J8" s="193"/>
      <c r="K8" s="193" t="s">
        <v>938</v>
      </c>
      <c r="L8" s="193" t="s">
        <v>939</v>
      </c>
      <c r="M8" s="193" t="s">
        <v>958</v>
      </c>
      <c r="N8" s="193" t="s">
        <v>941</v>
      </c>
      <c r="O8" s="193"/>
      <c r="P8" s="193" t="s">
        <v>950</v>
      </c>
      <c r="Q8" s="193" t="s">
        <v>943</v>
      </c>
      <c r="R8" s="193" t="s">
        <v>951</v>
      </c>
      <c r="S8" s="196" t="s">
        <v>945</v>
      </c>
      <c r="T8" s="193" t="s">
        <v>952</v>
      </c>
      <c r="U8" s="193" t="s">
        <v>947</v>
      </c>
      <c r="V8" s="193"/>
      <c r="W8" s="193"/>
      <c r="X8" s="193" t="s">
        <v>953</v>
      </c>
    </row>
    <row r="9" spans="1:24">
      <c r="A9" s="193" t="s">
        <v>935</v>
      </c>
      <c r="B9" s="194">
        <v>1</v>
      </c>
      <c r="C9" s="194">
        <v>2025</v>
      </c>
      <c r="D9" s="193" t="s">
        <v>936</v>
      </c>
      <c r="E9" s="193"/>
      <c r="F9" s="193" t="s">
        <v>937</v>
      </c>
      <c r="G9" s="195">
        <v>3.59</v>
      </c>
      <c r="H9" s="193" t="s">
        <v>959</v>
      </c>
      <c r="I9" s="193" t="s">
        <v>820</v>
      </c>
      <c r="J9" s="193"/>
      <c r="K9" s="193" t="s">
        <v>938</v>
      </c>
      <c r="L9" s="193" t="s">
        <v>939</v>
      </c>
      <c r="M9" s="193" t="s">
        <v>960</v>
      </c>
      <c r="N9" s="193" t="s">
        <v>941</v>
      </c>
      <c r="O9" s="193"/>
      <c r="P9" s="193" t="s">
        <v>961</v>
      </c>
      <c r="Q9" s="193" t="s">
        <v>943</v>
      </c>
      <c r="R9" s="193" t="s">
        <v>962</v>
      </c>
      <c r="S9" s="196" t="s">
        <v>963</v>
      </c>
      <c r="T9" s="193" t="s">
        <v>964</v>
      </c>
      <c r="U9" s="193" t="s">
        <v>947</v>
      </c>
      <c r="V9" s="193"/>
      <c r="W9" s="193"/>
      <c r="X9" s="193" t="s">
        <v>965</v>
      </c>
    </row>
    <row r="10" spans="1:24">
      <c r="A10" s="193" t="s">
        <v>935</v>
      </c>
      <c r="B10" s="194">
        <v>1</v>
      </c>
      <c r="C10" s="194">
        <v>2025</v>
      </c>
      <c r="D10" s="193" t="s">
        <v>936</v>
      </c>
      <c r="E10" s="193"/>
      <c r="F10" s="193" t="s">
        <v>937</v>
      </c>
      <c r="G10" s="195">
        <v>7.66</v>
      </c>
      <c r="H10" s="193"/>
      <c r="I10" s="193" t="s">
        <v>820</v>
      </c>
      <c r="J10" s="193"/>
      <c r="K10" s="193" t="s">
        <v>938</v>
      </c>
      <c r="L10" s="193" t="s">
        <v>939</v>
      </c>
      <c r="M10" s="193" t="s">
        <v>966</v>
      </c>
      <c r="N10" s="193" t="s">
        <v>941</v>
      </c>
      <c r="O10" s="193"/>
      <c r="P10" s="193" t="s">
        <v>967</v>
      </c>
      <c r="Q10" s="193" t="s">
        <v>943</v>
      </c>
      <c r="R10" s="193" t="s">
        <v>968</v>
      </c>
      <c r="S10" s="196" t="s">
        <v>963</v>
      </c>
      <c r="T10" s="193" t="s">
        <v>969</v>
      </c>
      <c r="U10" s="193" t="s">
        <v>947</v>
      </c>
      <c r="V10" s="193"/>
      <c r="W10" s="193"/>
      <c r="X10" s="193" t="s">
        <v>970</v>
      </c>
    </row>
    <row r="11" spans="1:24">
      <c r="A11" s="193" t="s">
        <v>935</v>
      </c>
      <c r="B11" s="194">
        <v>1</v>
      </c>
      <c r="C11" s="194">
        <v>2025</v>
      </c>
      <c r="D11" s="193" t="s">
        <v>936</v>
      </c>
      <c r="E11" s="193"/>
      <c r="F11" s="193" t="s">
        <v>937</v>
      </c>
      <c r="G11" s="195">
        <v>70470.899999999994</v>
      </c>
      <c r="H11" s="193"/>
      <c r="I11" s="193" t="s">
        <v>820</v>
      </c>
      <c r="J11" s="193"/>
      <c r="K11" s="193" t="s">
        <v>938</v>
      </c>
      <c r="L11" s="193" t="s">
        <v>939</v>
      </c>
      <c r="M11" s="193" t="s">
        <v>971</v>
      </c>
      <c r="N11" s="193" t="s">
        <v>941</v>
      </c>
      <c r="O11" s="193"/>
      <c r="P11" s="193" t="s">
        <v>972</v>
      </c>
      <c r="Q11" s="193" t="s">
        <v>943</v>
      </c>
      <c r="R11" s="193" t="s">
        <v>973</v>
      </c>
      <c r="S11" s="196" t="s">
        <v>963</v>
      </c>
      <c r="T11" s="193" t="s">
        <v>974</v>
      </c>
      <c r="U11" s="193" t="s">
        <v>947</v>
      </c>
      <c r="V11" s="193" t="s">
        <v>975</v>
      </c>
      <c r="W11" s="193"/>
      <c r="X11" s="193" t="s">
        <v>976</v>
      </c>
    </row>
    <row r="12" spans="1:24">
      <c r="A12" s="193" t="s">
        <v>935</v>
      </c>
      <c r="B12" s="194">
        <v>1</v>
      </c>
      <c r="C12" s="194">
        <v>2025</v>
      </c>
      <c r="D12" s="193" t="s">
        <v>936</v>
      </c>
      <c r="E12" s="193"/>
      <c r="F12" s="193" t="s">
        <v>937</v>
      </c>
      <c r="G12" s="195">
        <v>11000.92</v>
      </c>
      <c r="H12" s="193"/>
      <c r="I12" s="193" t="s">
        <v>820</v>
      </c>
      <c r="J12" s="193"/>
      <c r="K12" s="193" t="s">
        <v>938</v>
      </c>
      <c r="L12" s="193" t="s">
        <v>939</v>
      </c>
      <c r="M12" s="193" t="s">
        <v>971</v>
      </c>
      <c r="N12" s="193" t="s">
        <v>941</v>
      </c>
      <c r="O12" s="193"/>
      <c r="P12" s="193" t="s">
        <v>972</v>
      </c>
      <c r="Q12" s="193" t="s">
        <v>943</v>
      </c>
      <c r="R12" s="193" t="s">
        <v>973</v>
      </c>
      <c r="S12" s="196" t="s">
        <v>963</v>
      </c>
      <c r="T12" s="193" t="s">
        <v>974</v>
      </c>
      <c r="U12" s="193" t="s">
        <v>947</v>
      </c>
      <c r="V12" s="193" t="s">
        <v>975</v>
      </c>
      <c r="W12" s="193"/>
      <c r="X12" s="193" t="s">
        <v>977</v>
      </c>
    </row>
    <row r="13" spans="1:24">
      <c r="A13" s="193" t="s">
        <v>935</v>
      </c>
      <c r="B13" s="194">
        <v>1</v>
      </c>
      <c r="C13" s="194">
        <v>2025</v>
      </c>
      <c r="D13" s="193" t="s">
        <v>936</v>
      </c>
      <c r="E13" s="193"/>
      <c r="F13" s="193" t="s">
        <v>978</v>
      </c>
      <c r="G13" s="195">
        <v>68711.710000000006</v>
      </c>
      <c r="H13" s="193"/>
      <c r="I13" s="193" t="s">
        <v>820</v>
      </c>
      <c r="J13" s="193"/>
      <c r="K13" s="193" t="s">
        <v>938</v>
      </c>
      <c r="L13" s="193" t="s">
        <v>939</v>
      </c>
      <c r="M13" s="193" t="s">
        <v>971</v>
      </c>
      <c r="N13" s="193" t="s">
        <v>941</v>
      </c>
      <c r="O13" s="193"/>
      <c r="P13" s="193" t="s">
        <v>972</v>
      </c>
      <c r="Q13" s="193" t="s">
        <v>943</v>
      </c>
      <c r="R13" s="193" t="s">
        <v>973</v>
      </c>
      <c r="S13" s="196" t="s">
        <v>963</v>
      </c>
      <c r="T13" s="193" t="s">
        <v>974</v>
      </c>
      <c r="U13" s="193" t="s">
        <v>947</v>
      </c>
      <c r="V13" s="193" t="s">
        <v>975</v>
      </c>
      <c r="W13" s="193"/>
      <c r="X13" s="193" t="s">
        <v>979</v>
      </c>
    </row>
    <row r="14" spans="1:24">
      <c r="A14" s="193" t="s">
        <v>935</v>
      </c>
      <c r="B14" s="194">
        <v>1</v>
      </c>
      <c r="C14" s="194">
        <v>2025</v>
      </c>
      <c r="D14" s="193" t="s">
        <v>936</v>
      </c>
      <c r="E14" s="193"/>
      <c r="F14" s="193" t="s">
        <v>937</v>
      </c>
      <c r="G14" s="195">
        <v>565365.26</v>
      </c>
      <c r="H14" s="193"/>
      <c r="I14" s="193" t="s">
        <v>820</v>
      </c>
      <c r="J14" s="193"/>
      <c r="K14" s="193" t="s">
        <v>938</v>
      </c>
      <c r="L14" s="193" t="s">
        <v>939</v>
      </c>
      <c r="M14" s="193" t="s">
        <v>971</v>
      </c>
      <c r="N14" s="193" t="s">
        <v>941</v>
      </c>
      <c r="O14" s="193"/>
      <c r="P14" s="193" t="s">
        <v>972</v>
      </c>
      <c r="Q14" s="193" t="s">
        <v>943</v>
      </c>
      <c r="R14" s="193" t="s">
        <v>973</v>
      </c>
      <c r="S14" s="196" t="s">
        <v>963</v>
      </c>
      <c r="T14" s="193" t="s">
        <v>974</v>
      </c>
      <c r="U14" s="193" t="s">
        <v>947</v>
      </c>
      <c r="V14" s="193" t="s">
        <v>975</v>
      </c>
      <c r="W14" s="193"/>
      <c r="X14" s="193" t="s">
        <v>980</v>
      </c>
    </row>
    <row r="15" spans="1:24">
      <c r="A15" s="193" t="s">
        <v>935</v>
      </c>
      <c r="B15" s="194">
        <v>1</v>
      </c>
      <c r="C15" s="194">
        <v>2025</v>
      </c>
      <c r="D15" s="193" t="s">
        <v>936</v>
      </c>
      <c r="E15" s="193"/>
      <c r="F15" s="193" t="s">
        <v>937</v>
      </c>
      <c r="G15" s="195">
        <v>68425.5</v>
      </c>
      <c r="H15" s="193"/>
      <c r="I15" s="193" t="s">
        <v>820</v>
      </c>
      <c r="J15" s="193"/>
      <c r="K15" s="193" t="s">
        <v>938</v>
      </c>
      <c r="L15" s="193" t="s">
        <v>939</v>
      </c>
      <c r="M15" s="193" t="s">
        <v>971</v>
      </c>
      <c r="N15" s="193" t="s">
        <v>941</v>
      </c>
      <c r="O15" s="193"/>
      <c r="P15" s="193" t="s">
        <v>972</v>
      </c>
      <c r="Q15" s="193" t="s">
        <v>943</v>
      </c>
      <c r="R15" s="193" t="s">
        <v>973</v>
      </c>
      <c r="S15" s="196" t="s">
        <v>963</v>
      </c>
      <c r="T15" s="193" t="s">
        <v>974</v>
      </c>
      <c r="U15" s="193" t="s">
        <v>947</v>
      </c>
      <c r="V15" s="193" t="s">
        <v>975</v>
      </c>
      <c r="W15" s="193"/>
      <c r="X15" s="193" t="s">
        <v>981</v>
      </c>
    </row>
    <row r="16" spans="1:24">
      <c r="A16" s="193" t="s">
        <v>935</v>
      </c>
      <c r="B16" s="194">
        <v>1</v>
      </c>
      <c r="C16" s="194">
        <v>2025</v>
      </c>
      <c r="D16" s="193" t="s">
        <v>936</v>
      </c>
      <c r="E16" s="193"/>
      <c r="F16" s="193" t="s">
        <v>937</v>
      </c>
      <c r="G16" s="195">
        <v>4917.74</v>
      </c>
      <c r="H16" s="193"/>
      <c r="I16" s="193" t="s">
        <v>820</v>
      </c>
      <c r="J16" s="193"/>
      <c r="K16" s="193" t="s">
        <v>938</v>
      </c>
      <c r="L16" s="193" t="s">
        <v>939</v>
      </c>
      <c r="M16" s="193" t="s">
        <v>971</v>
      </c>
      <c r="N16" s="193" t="s">
        <v>941</v>
      </c>
      <c r="O16" s="193"/>
      <c r="P16" s="193" t="s">
        <v>972</v>
      </c>
      <c r="Q16" s="193" t="s">
        <v>943</v>
      </c>
      <c r="R16" s="193" t="s">
        <v>973</v>
      </c>
      <c r="S16" s="196" t="s">
        <v>963</v>
      </c>
      <c r="T16" s="193" t="s">
        <v>974</v>
      </c>
      <c r="U16" s="193" t="s">
        <v>947</v>
      </c>
      <c r="V16" s="193" t="s">
        <v>975</v>
      </c>
      <c r="W16" s="193"/>
      <c r="X16" s="193" t="s">
        <v>982</v>
      </c>
    </row>
    <row r="17" spans="1:24">
      <c r="A17" s="193" t="s">
        <v>935</v>
      </c>
      <c r="B17" s="194">
        <v>1</v>
      </c>
      <c r="C17" s="194">
        <v>2025</v>
      </c>
      <c r="D17" s="193" t="s">
        <v>936</v>
      </c>
      <c r="E17" s="193"/>
      <c r="F17" s="193" t="s">
        <v>937</v>
      </c>
      <c r="G17" s="195">
        <v>4.63</v>
      </c>
      <c r="H17" s="193" t="s">
        <v>959</v>
      </c>
      <c r="I17" s="193" t="s">
        <v>820</v>
      </c>
      <c r="J17" s="193"/>
      <c r="K17" s="193" t="s">
        <v>938</v>
      </c>
      <c r="L17" s="193" t="s">
        <v>939</v>
      </c>
      <c r="M17" s="193" t="s">
        <v>983</v>
      </c>
      <c r="N17" s="193" t="s">
        <v>941</v>
      </c>
      <c r="O17" s="193"/>
      <c r="P17" s="193" t="s">
        <v>984</v>
      </c>
      <c r="Q17" s="193" t="s">
        <v>943</v>
      </c>
      <c r="R17" s="193" t="s">
        <v>985</v>
      </c>
      <c r="S17" s="196" t="s">
        <v>963</v>
      </c>
      <c r="T17" s="193" t="s">
        <v>986</v>
      </c>
      <c r="U17" s="193" t="s">
        <v>947</v>
      </c>
      <c r="V17" s="193"/>
      <c r="W17" s="193"/>
      <c r="X17" s="193" t="s">
        <v>987</v>
      </c>
    </row>
    <row r="18" spans="1:24">
      <c r="A18" s="193" t="s">
        <v>935</v>
      </c>
      <c r="B18" s="194">
        <v>2</v>
      </c>
      <c r="C18" s="194">
        <v>2025</v>
      </c>
      <c r="D18" s="193" t="s">
        <v>936</v>
      </c>
      <c r="E18" s="193"/>
      <c r="F18" s="193" t="s">
        <v>978</v>
      </c>
      <c r="G18" s="195">
        <v>-68711.710000000006</v>
      </c>
      <c r="H18" s="193"/>
      <c r="I18" s="193" t="s">
        <v>820</v>
      </c>
      <c r="J18" s="193"/>
      <c r="K18" s="193" t="s">
        <v>938</v>
      </c>
      <c r="L18" s="193" t="s">
        <v>939</v>
      </c>
      <c r="M18" s="193" t="s">
        <v>988</v>
      </c>
      <c r="N18" s="193" t="s">
        <v>941</v>
      </c>
      <c r="O18" s="193"/>
      <c r="P18" s="193" t="s">
        <v>989</v>
      </c>
      <c r="Q18" s="193" t="s">
        <v>943</v>
      </c>
      <c r="R18" s="193" t="s">
        <v>973</v>
      </c>
      <c r="S18" s="196" t="s">
        <v>990</v>
      </c>
      <c r="T18" s="193" t="s">
        <v>974</v>
      </c>
      <c r="U18" s="193" t="s">
        <v>947</v>
      </c>
      <c r="V18" s="193" t="s">
        <v>975</v>
      </c>
      <c r="W18" s="193"/>
      <c r="X18" s="193" t="s">
        <v>979</v>
      </c>
    </row>
    <row r="19" spans="1:24">
      <c r="A19" s="193" t="s">
        <v>935</v>
      </c>
      <c r="B19" s="194">
        <v>2</v>
      </c>
      <c r="C19" s="194">
        <v>2025</v>
      </c>
      <c r="D19" s="193" t="s">
        <v>936</v>
      </c>
      <c r="E19" s="193"/>
      <c r="F19" s="193" t="s">
        <v>937</v>
      </c>
      <c r="G19" s="195">
        <v>-70470.899999999994</v>
      </c>
      <c r="H19" s="193"/>
      <c r="I19" s="193" t="s">
        <v>820</v>
      </c>
      <c r="J19" s="193"/>
      <c r="K19" s="193" t="s">
        <v>938</v>
      </c>
      <c r="L19" s="193" t="s">
        <v>939</v>
      </c>
      <c r="M19" s="193" t="s">
        <v>988</v>
      </c>
      <c r="N19" s="193" t="s">
        <v>941</v>
      </c>
      <c r="O19" s="193"/>
      <c r="P19" s="193" t="s">
        <v>989</v>
      </c>
      <c r="Q19" s="193" t="s">
        <v>943</v>
      </c>
      <c r="R19" s="193" t="s">
        <v>973</v>
      </c>
      <c r="S19" s="196" t="s">
        <v>990</v>
      </c>
      <c r="T19" s="193" t="s">
        <v>974</v>
      </c>
      <c r="U19" s="193" t="s">
        <v>947</v>
      </c>
      <c r="V19" s="193" t="s">
        <v>975</v>
      </c>
      <c r="W19" s="193"/>
      <c r="X19" s="193" t="s">
        <v>976</v>
      </c>
    </row>
    <row r="20" spans="1:24">
      <c r="A20" s="193" t="s">
        <v>935</v>
      </c>
      <c r="B20" s="194">
        <v>2</v>
      </c>
      <c r="C20" s="194">
        <v>2025</v>
      </c>
      <c r="D20" s="193" t="s">
        <v>936</v>
      </c>
      <c r="E20" s="193"/>
      <c r="F20" s="193" t="s">
        <v>937</v>
      </c>
      <c r="G20" s="195">
        <v>-4917.74</v>
      </c>
      <c r="H20" s="193"/>
      <c r="I20" s="193" t="s">
        <v>820</v>
      </c>
      <c r="J20" s="193"/>
      <c r="K20" s="193" t="s">
        <v>938</v>
      </c>
      <c r="L20" s="193" t="s">
        <v>939</v>
      </c>
      <c r="M20" s="193" t="s">
        <v>988</v>
      </c>
      <c r="N20" s="193" t="s">
        <v>941</v>
      </c>
      <c r="O20" s="193"/>
      <c r="P20" s="193" t="s">
        <v>989</v>
      </c>
      <c r="Q20" s="193" t="s">
        <v>943</v>
      </c>
      <c r="R20" s="193" t="s">
        <v>973</v>
      </c>
      <c r="S20" s="196" t="s">
        <v>990</v>
      </c>
      <c r="T20" s="193" t="s">
        <v>974</v>
      </c>
      <c r="U20" s="193" t="s">
        <v>947</v>
      </c>
      <c r="V20" s="193" t="s">
        <v>975</v>
      </c>
      <c r="W20" s="193"/>
      <c r="X20" s="193" t="s">
        <v>982</v>
      </c>
    </row>
    <row r="21" spans="1:24">
      <c r="A21" s="193" t="s">
        <v>935</v>
      </c>
      <c r="B21" s="194">
        <v>2</v>
      </c>
      <c r="C21" s="194">
        <v>2025</v>
      </c>
      <c r="D21" s="193" t="s">
        <v>936</v>
      </c>
      <c r="E21" s="193"/>
      <c r="F21" s="193" t="s">
        <v>937</v>
      </c>
      <c r="G21" s="195">
        <v>-68425.5</v>
      </c>
      <c r="H21" s="193"/>
      <c r="I21" s="193" t="s">
        <v>820</v>
      </c>
      <c r="J21" s="193"/>
      <c r="K21" s="193" t="s">
        <v>938</v>
      </c>
      <c r="L21" s="193" t="s">
        <v>939</v>
      </c>
      <c r="M21" s="193" t="s">
        <v>988</v>
      </c>
      <c r="N21" s="193" t="s">
        <v>941</v>
      </c>
      <c r="O21" s="193"/>
      <c r="P21" s="193" t="s">
        <v>989</v>
      </c>
      <c r="Q21" s="193" t="s">
        <v>943</v>
      </c>
      <c r="R21" s="193" t="s">
        <v>973</v>
      </c>
      <c r="S21" s="196" t="s">
        <v>990</v>
      </c>
      <c r="T21" s="193" t="s">
        <v>974</v>
      </c>
      <c r="U21" s="193" t="s">
        <v>947</v>
      </c>
      <c r="V21" s="193" t="s">
        <v>975</v>
      </c>
      <c r="W21" s="193"/>
      <c r="X21" s="193" t="s">
        <v>981</v>
      </c>
    </row>
    <row r="22" spans="1:24">
      <c r="A22" s="193" t="s">
        <v>935</v>
      </c>
      <c r="B22" s="194">
        <v>2</v>
      </c>
      <c r="C22" s="194">
        <v>2025</v>
      </c>
      <c r="D22" s="193" t="s">
        <v>936</v>
      </c>
      <c r="E22" s="193"/>
      <c r="F22" s="193" t="s">
        <v>937</v>
      </c>
      <c r="G22" s="195">
        <v>-11000.92</v>
      </c>
      <c r="H22" s="193"/>
      <c r="I22" s="193" t="s">
        <v>820</v>
      </c>
      <c r="J22" s="193"/>
      <c r="K22" s="193" t="s">
        <v>938</v>
      </c>
      <c r="L22" s="193" t="s">
        <v>939</v>
      </c>
      <c r="M22" s="193" t="s">
        <v>988</v>
      </c>
      <c r="N22" s="193" t="s">
        <v>941</v>
      </c>
      <c r="O22" s="193"/>
      <c r="P22" s="193" t="s">
        <v>989</v>
      </c>
      <c r="Q22" s="193" t="s">
        <v>943</v>
      </c>
      <c r="R22" s="193" t="s">
        <v>973</v>
      </c>
      <c r="S22" s="196" t="s">
        <v>990</v>
      </c>
      <c r="T22" s="193" t="s">
        <v>974</v>
      </c>
      <c r="U22" s="193" t="s">
        <v>947</v>
      </c>
      <c r="V22" s="193" t="s">
        <v>975</v>
      </c>
      <c r="W22" s="193"/>
      <c r="X22" s="193" t="s">
        <v>977</v>
      </c>
    </row>
    <row r="23" spans="1:24">
      <c r="A23" s="193" t="s">
        <v>935</v>
      </c>
      <c r="B23" s="194">
        <v>2</v>
      </c>
      <c r="C23" s="194">
        <v>2025</v>
      </c>
      <c r="D23" s="193" t="s">
        <v>936</v>
      </c>
      <c r="E23" s="193"/>
      <c r="F23" s="193" t="s">
        <v>937</v>
      </c>
      <c r="G23" s="195">
        <v>-565365.26</v>
      </c>
      <c r="H23" s="193"/>
      <c r="I23" s="193" t="s">
        <v>820</v>
      </c>
      <c r="J23" s="193"/>
      <c r="K23" s="193" t="s">
        <v>938</v>
      </c>
      <c r="L23" s="193" t="s">
        <v>939</v>
      </c>
      <c r="M23" s="193" t="s">
        <v>988</v>
      </c>
      <c r="N23" s="193" t="s">
        <v>941</v>
      </c>
      <c r="O23" s="193"/>
      <c r="P23" s="193" t="s">
        <v>989</v>
      </c>
      <c r="Q23" s="193" t="s">
        <v>943</v>
      </c>
      <c r="R23" s="193" t="s">
        <v>973</v>
      </c>
      <c r="S23" s="196" t="s">
        <v>990</v>
      </c>
      <c r="T23" s="193" t="s">
        <v>974</v>
      </c>
      <c r="U23" s="193" t="s">
        <v>947</v>
      </c>
      <c r="V23" s="193" t="s">
        <v>975</v>
      </c>
      <c r="W23" s="193"/>
      <c r="X23" s="193" t="s">
        <v>980</v>
      </c>
    </row>
    <row r="24" spans="1:24">
      <c r="A24" s="193" t="s">
        <v>935</v>
      </c>
      <c r="B24" s="194">
        <v>2</v>
      </c>
      <c r="C24" s="194">
        <v>2025</v>
      </c>
      <c r="D24" s="193" t="s">
        <v>936</v>
      </c>
      <c r="E24" s="193"/>
      <c r="F24" s="193" t="s">
        <v>937</v>
      </c>
      <c r="G24" s="195">
        <v>350.16</v>
      </c>
      <c r="H24" s="193"/>
      <c r="I24" s="193" t="s">
        <v>820</v>
      </c>
      <c r="J24" s="193"/>
      <c r="K24" s="193" t="s">
        <v>938</v>
      </c>
      <c r="L24" s="193" t="s">
        <v>939</v>
      </c>
      <c r="M24" s="193" t="s">
        <v>940</v>
      </c>
      <c r="N24" s="193" t="s">
        <v>941</v>
      </c>
      <c r="O24" s="193"/>
      <c r="P24" s="193" t="s">
        <v>991</v>
      </c>
      <c r="Q24" s="193" t="s">
        <v>943</v>
      </c>
      <c r="R24" s="193" t="s">
        <v>992</v>
      </c>
      <c r="S24" s="196" t="s">
        <v>993</v>
      </c>
      <c r="T24" s="193" t="s">
        <v>946</v>
      </c>
      <c r="U24" s="193" t="s">
        <v>947</v>
      </c>
      <c r="V24" s="193"/>
      <c r="W24" s="193"/>
      <c r="X24" s="193" t="s">
        <v>948</v>
      </c>
    </row>
    <row r="25" spans="1:24">
      <c r="A25" s="193" t="s">
        <v>935</v>
      </c>
      <c r="B25" s="194">
        <v>2</v>
      </c>
      <c r="C25" s="194">
        <v>2025</v>
      </c>
      <c r="D25" s="193" t="s">
        <v>936</v>
      </c>
      <c r="E25" s="193"/>
      <c r="F25" s="193" t="s">
        <v>994</v>
      </c>
      <c r="G25" s="195">
        <v>538.29</v>
      </c>
      <c r="H25" s="193"/>
      <c r="I25" s="193" t="s">
        <v>820</v>
      </c>
      <c r="J25" s="193"/>
      <c r="K25" s="193" t="s">
        <v>938</v>
      </c>
      <c r="L25" s="193" t="s">
        <v>939</v>
      </c>
      <c r="M25" s="193" t="s">
        <v>940</v>
      </c>
      <c r="N25" s="193" t="s">
        <v>941</v>
      </c>
      <c r="O25" s="193"/>
      <c r="P25" s="193" t="s">
        <v>991</v>
      </c>
      <c r="Q25" s="193" t="s">
        <v>943</v>
      </c>
      <c r="R25" s="193" t="s">
        <v>992</v>
      </c>
      <c r="S25" s="196" t="s">
        <v>993</v>
      </c>
      <c r="T25" s="193" t="s">
        <v>946</v>
      </c>
      <c r="U25" s="193" t="s">
        <v>947</v>
      </c>
      <c r="V25" s="193"/>
      <c r="W25" s="193"/>
      <c r="X25" s="193" t="s">
        <v>948</v>
      </c>
    </row>
    <row r="26" spans="1:24">
      <c r="A26" s="193" t="s">
        <v>935</v>
      </c>
      <c r="B26" s="194">
        <v>2</v>
      </c>
      <c r="C26" s="194">
        <v>2025</v>
      </c>
      <c r="D26" s="193" t="s">
        <v>936</v>
      </c>
      <c r="E26" s="193"/>
      <c r="F26" s="193" t="s">
        <v>937</v>
      </c>
      <c r="G26" s="195">
        <v>2.6</v>
      </c>
      <c r="H26" s="193"/>
      <c r="I26" s="193" t="s">
        <v>820</v>
      </c>
      <c r="J26" s="193"/>
      <c r="K26" s="193" t="s">
        <v>938</v>
      </c>
      <c r="L26" s="193" t="s">
        <v>939</v>
      </c>
      <c r="M26" s="193" t="s">
        <v>954</v>
      </c>
      <c r="N26" s="193" t="s">
        <v>941</v>
      </c>
      <c r="O26" s="193"/>
      <c r="P26" s="193" t="s">
        <v>995</v>
      </c>
      <c r="Q26" s="193" t="s">
        <v>943</v>
      </c>
      <c r="R26" s="193" t="s">
        <v>996</v>
      </c>
      <c r="S26" s="196" t="s">
        <v>993</v>
      </c>
      <c r="T26" s="193" t="s">
        <v>952</v>
      </c>
      <c r="U26" s="193" t="s">
        <v>947</v>
      </c>
      <c r="V26" s="193"/>
      <c r="W26" s="193"/>
      <c r="X26" s="193" t="s">
        <v>953</v>
      </c>
    </row>
    <row r="27" spans="1:24">
      <c r="A27" s="193" t="s">
        <v>935</v>
      </c>
      <c r="B27" s="194">
        <v>2</v>
      </c>
      <c r="C27" s="194">
        <v>2025</v>
      </c>
      <c r="D27" s="193" t="s">
        <v>936</v>
      </c>
      <c r="E27" s="193"/>
      <c r="F27" s="193" t="s">
        <v>937</v>
      </c>
      <c r="G27" s="195">
        <v>-1.39</v>
      </c>
      <c r="H27" s="193"/>
      <c r="I27" s="193" t="s">
        <v>820</v>
      </c>
      <c r="J27" s="193"/>
      <c r="K27" s="193" t="s">
        <v>938</v>
      </c>
      <c r="L27" s="193" t="s">
        <v>939</v>
      </c>
      <c r="M27" s="193" t="s">
        <v>955</v>
      </c>
      <c r="N27" s="193" t="s">
        <v>941</v>
      </c>
      <c r="O27" s="193"/>
      <c r="P27" s="193" t="s">
        <v>995</v>
      </c>
      <c r="Q27" s="193" t="s">
        <v>943</v>
      </c>
      <c r="R27" s="193" t="s">
        <v>996</v>
      </c>
      <c r="S27" s="196" t="s">
        <v>993</v>
      </c>
      <c r="T27" s="193" t="s">
        <v>952</v>
      </c>
      <c r="U27" s="193" t="s">
        <v>947</v>
      </c>
      <c r="V27" s="193"/>
      <c r="W27" s="193"/>
      <c r="X27" s="193" t="s">
        <v>953</v>
      </c>
    </row>
    <row r="28" spans="1:24">
      <c r="A28" s="193" t="s">
        <v>935</v>
      </c>
      <c r="B28" s="194">
        <v>2</v>
      </c>
      <c r="C28" s="194">
        <v>2025</v>
      </c>
      <c r="D28" s="193" t="s">
        <v>936</v>
      </c>
      <c r="E28" s="193"/>
      <c r="F28" s="193" t="s">
        <v>937</v>
      </c>
      <c r="G28" s="195">
        <v>77.430000000000007</v>
      </c>
      <c r="H28" s="193"/>
      <c r="I28" s="193" t="s">
        <v>820</v>
      </c>
      <c r="J28" s="193"/>
      <c r="K28" s="193" t="s">
        <v>938</v>
      </c>
      <c r="L28" s="193" t="s">
        <v>939</v>
      </c>
      <c r="M28" s="193" t="s">
        <v>956</v>
      </c>
      <c r="N28" s="193" t="s">
        <v>941</v>
      </c>
      <c r="O28" s="193"/>
      <c r="P28" s="193" t="s">
        <v>995</v>
      </c>
      <c r="Q28" s="193" t="s">
        <v>943</v>
      </c>
      <c r="R28" s="193" t="s">
        <v>996</v>
      </c>
      <c r="S28" s="196" t="s">
        <v>993</v>
      </c>
      <c r="T28" s="193" t="s">
        <v>952</v>
      </c>
      <c r="U28" s="193" t="s">
        <v>947</v>
      </c>
      <c r="V28" s="193"/>
      <c r="W28" s="193"/>
      <c r="X28" s="193" t="s">
        <v>953</v>
      </c>
    </row>
    <row r="29" spans="1:24">
      <c r="A29" s="193" t="s">
        <v>935</v>
      </c>
      <c r="B29" s="194">
        <v>2</v>
      </c>
      <c r="C29" s="194">
        <v>2025</v>
      </c>
      <c r="D29" s="193" t="s">
        <v>936</v>
      </c>
      <c r="E29" s="193"/>
      <c r="F29" s="193" t="s">
        <v>937</v>
      </c>
      <c r="G29" s="195">
        <v>-0.16</v>
      </c>
      <c r="H29" s="193"/>
      <c r="I29" s="193" t="s">
        <v>820</v>
      </c>
      <c r="J29" s="193"/>
      <c r="K29" s="193" t="s">
        <v>938</v>
      </c>
      <c r="L29" s="193" t="s">
        <v>939</v>
      </c>
      <c r="M29" s="193" t="s">
        <v>957</v>
      </c>
      <c r="N29" s="193" t="s">
        <v>941</v>
      </c>
      <c r="O29" s="193"/>
      <c r="P29" s="193" t="s">
        <v>995</v>
      </c>
      <c r="Q29" s="193" t="s">
        <v>943</v>
      </c>
      <c r="R29" s="193" t="s">
        <v>996</v>
      </c>
      <c r="S29" s="196" t="s">
        <v>993</v>
      </c>
      <c r="T29" s="193" t="s">
        <v>952</v>
      </c>
      <c r="U29" s="193" t="s">
        <v>947</v>
      </c>
      <c r="V29" s="193"/>
      <c r="W29" s="193"/>
      <c r="X29" s="193" t="s">
        <v>953</v>
      </c>
    </row>
    <row r="30" spans="1:24">
      <c r="A30" s="193" t="s">
        <v>935</v>
      </c>
      <c r="B30" s="194">
        <v>2</v>
      </c>
      <c r="C30" s="194">
        <v>2025</v>
      </c>
      <c r="D30" s="193" t="s">
        <v>936</v>
      </c>
      <c r="E30" s="193"/>
      <c r="F30" s="193" t="s">
        <v>937</v>
      </c>
      <c r="G30" s="195">
        <v>157.66</v>
      </c>
      <c r="H30" s="193"/>
      <c r="I30" s="193" t="s">
        <v>820</v>
      </c>
      <c r="J30" s="193"/>
      <c r="K30" s="193" t="s">
        <v>938</v>
      </c>
      <c r="L30" s="193" t="s">
        <v>939</v>
      </c>
      <c r="M30" s="193" t="s">
        <v>958</v>
      </c>
      <c r="N30" s="193" t="s">
        <v>941</v>
      </c>
      <c r="O30" s="193"/>
      <c r="P30" s="193" t="s">
        <v>995</v>
      </c>
      <c r="Q30" s="193" t="s">
        <v>943</v>
      </c>
      <c r="R30" s="193" t="s">
        <v>996</v>
      </c>
      <c r="S30" s="196" t="s">
        <v>993</v>
      </c>
      <c r="T30" s="193" t="s">
        <v>952</v>
      </c>
      <c r="U30" s="193" t="s">
        <v>947</v>
      </c>
      <c r="V30" s="193"/>
      <c r="W30" s="193"/>
      <c r="X30" s="193" t="s">
        <v>953</v>
      </c>
    </row>
    <row r="31" spans="1:24">
      <c r="A31" s="193" t="s">
        <v>935</v>
      </c>
      <c r="B31" s="194">
        <v>2</v>
      </c>
      <c r="C31" s="194">
        <v>2025</v>
      </c>
      <c r="D31" s="193" t="s">
        <v>936</v>
      </c>
      <c r="E31" s="193"/>
      <c r="F31" s="193" t="s">
        <v>994</v>
      </c>
      <c r="G31" s="195">
        <v>-0.24</v>
      </c>
      <c r="H31" s="193"/>
      <c r="I31" s="193" t="s">
        <v>820</v>
      </c>
      <c r="J31" s="193"/>
      <c r="K31" s="193" t="s">
        <v>938</v>
      </c>
      <c r="L31" s="193" t="s">
        <v>939</v>
      </c>
      <c r="M31" s="193" t="s">
        <v>957</v>
      </c>
      <c r="N31" s="193" t="s">
        <v>941</v>
      </c>
      <c r="O31" s="193"/>
      <c r="P31" s="193" t="s">
        <v>995</v>
      </c>
      <c r="Q31" s="193" t="s">
        <v>943</v>
      </c>
      <c r="R31" s="193" t="s">
        <v>996</v>
      </c>
      <c r="S31" s="196" t="s">
        <v>993</v>
      </c>
      <c r="T31" s="193" t="s">
        <v>952</v>
      </c>
      <c r="U31" s="193" t="s">
        <v>947</v>
      </c>
      <c r="V31" s="193"/>
      <c r="W31" s="193"/>
      <c r="X31" s="193" t="s">
        <v>953</v>
      </c>
    </row>
    <row r="32" spans="1:24">
      <c r="A32" s="193" t="s">
        <v>935</v>
      </c>
      <c r="B32" s="194">
        <v>2</v>
      </c>
      <c r="C32" s="194">
        <v>2025</v>
      </c>
      <c r="D32" s="193" t="s">
        <v>936</v>
      </c>
      <c r="E32" s="193"/>
      <c r="F32" s="193" t="s">
        <v>994</v>
      </c>
      <c r="G32" s="195">
        <v>242.35</v>
      </c>
      <c r="H32" s="193"/>
      <c r="I32" s="193" t="s">
        <v>820</v>
      </c>
      <c r="J32" s="193"/>
      <c r="K32" s="193" t="s">
        <v>938</v>
      </c>
      <c r="L32" s="193" t="s">
        <v>939</v>
      </c>
      <c r="M32" s="193" t="s">
        <v>958</v>
      </c>
      <c r="N32" s="193" t="s">
        <v>941</v>
      </c>
      <c r="O32" s="193"/>
      <c r="P32" s="193" t="s">
        <v>995</v>
      </c>
      <c r="Q32" s="193" t="s">
        <v>943</v>
      </c>
      <c r="R32" s="193" t="s">
        <v>996</v>
      </c>
      <c r="S32" s="196" t="s">
        <v>993</v>
      </c>
      <c r="T32" s="193" t="s">
        <v>952</v>
      </c>
      <c r="U32" s="193" t="s">
        <v>947</v>
      </c>
      <c r="V32" s="193"/>
      <c r="W32" s="193"/>
      <c r="X32" s="193" t="s">
        <v>953</v>
      </c>
    </row>
    <row r="33" spans="1:24">
      <c r="A33" s="193" t="s">
        <v>935</v>
      </c>
      <c r="B33" s="194">
        <v>2</v>
      </c>
      <c r="C33" s="194">
        <v>2025</v>
      </c>
      <c r="D33" s="193" t="s">
        <v>936</v>
      </c>
      <c r="E33" s="193"/>
      <c r="F33" s="193" t="s">
        <v>994</v>
      </c>
      <c r="G33" s="195">
        <v>-2.14</v>
      </c>
      <c r="H33" s="193"/>
      <c r="I33" s="193" t="s">
        <v>820</v>
      </c>
      <c r="J33" s="193"/>
      <c r="K33" s="193" t="s">
        <v>938</v>
      </c>
      <c r="L33" s="193" t="s">
        <v>939</v>
      </c>
      <c r="M33" s="193" t="s">
        <v>955</v>
      </c>
      <c r="N33" s="193" t="s">
        <v>941</v>
      </c>
      <c r="O33" s="193"/>
      <c r="P33" s="193" t="s">
        <v>995</v>
      </c>
      <c r="Q33" s="193" t="s">
        <v>943</v>
      </c>
      <c r="R33" s="193" t="s">
        <v>996</v>
      </c>
      <c r="S33" s="196" t="s">
        <v>993</v>
      </c>
      <c r="T33" s="193" t="s">
        <v>952</v>
      </c>
      <c r="U33" s="193" t="s">
        <v>947</v>
      </c>
      <c r="V33" s="193"/>
      <c r="W33" s="193"/>
      <c r="X33" s="193" t="s">
        <v>953</v>
      </c>
    </row>
    <row r="34" spans="1:24">
      <c r="A34" s="193" t="s">
        <v>935</v>
      </c>
      <c r="B34" s="194">
        <v>2</v>
      </c>
      <c r="C34" s="194">
        <v>2025</v>
      </c>
      <c r="D34" s="193" t="s">
        <v>936</v>
      </c>
      <c r="E34" s="193"/>
      <c r="F34" s="193" t="s">
        <v>994</v>
      </c>
      <c r="G34" s="195">
        <v>119.01</v>
      </c>
      <c r="H34" s="193"/>
      <c r="I34" s="193" t="s">
        <v>820</v>
      </c>
      <c r="J34" s="193"/>
      <c r="K34" s="193" t="s">
        <v>938</v>
      </c>
      <c r="L34" s="193" t="s">
        <v>939</v>
      </c>
      <c r="M34" s="193" t="s">
        <v>956</v>
      </c>
      <c r="N34" s="193" t="s">
        <v>941</v>
      </c>
      <c r="O34" s="193"/>
      <c r="P34" s="193" t="s">
        <v>995</v>
      </c>
      <c r="Q34" s="193" t="s">
        <v>943</v>
      </c>
      <c r="R34" s="193" t="s">
        <v>996</v>
      </c>
      <c r="S34" s="196" t="s">
        <v>993</v>
      </c>
      <c r="T34" s="193" t="s">
        <v>952</v>
      </c>
      <c r="U34" s="193" t="s">
        <v>947</v>
      </c>
      <c r="V34" s="193"/>
      <c r="W34" s="193"/>
      <c r="X34" s="193" t="s">
        <v>953</v>
      </c>
    </row>
    <row r="35" spans="1:24">
      <c r="A35" s="193" t="s">
        <v>935</v>
      </c>
      <c r="B35" s="194">
        <v>2</v>
      </c>
      <c r="C35" s="194">
        <v>2025</v>
      </c>
      <c r="D35" s="193" t="s">
        <v>936</v>
      </c>
      <c r="E35" s="193"/>
      <c r="F35" s="193" t="s">
        <v>994</v>
      </c>
      <c r="G35" s="195">
        <v>4</v>
      </c>
      <c r="H35" s="193"/>
      <c r="I35" s="193" t="s">
        <v>820</v>
      </c>
      <c r="J35" s="193"/>
      <c r="K35" s="193" t="s">
        <v>938</v>
      </c>
      <c r="L35" s="193" t="s">
        <v>939</v>
      </c>
      <c r="M35" s="193" t="s">
        <v>954</v>
      </c>
      <c r="N35" s="193" t="s">
        <v>941</v>
      </c>
      <c r="O35" s="193"/>
      <c r="P35" s="193" t="s">
        <v>995</v>
      </c>
      <c r="Q35" s="193" t="s">
        <v>943</v>
      </c>
      <c r="R35" s="193" t="s">
        <v>996</v>
      </c>
      <c r="S35" s="196" t="s">
        <v>993</v>
      </c>
      <c r="T35" s="193" t="s">
        <v>952</v>
      </c>
      <c r="U35" s="193" t="s">
        <v>947</v>
      </c>
      <c r="V35" s="193"/>
      <c r="W35" s="193"/>
      <c r="X35" s="193" t="s">
        <v>953</v>
      </c>
    </row>
    <row r="36" spans="1:24">
      <c r="A36" s="193" t="s">
        <v>935</v>
      </c>
      <c r="B36" s="194">
        <v>2</v>
      </c>
      <c r="C36" s="194">
        <v>2025</v>
      </c>
      <c r="D36" s="193" t="s">
        <v>936</v>
      </c>
      <c r="E36" s="193"/>
      <c r="F36" s="193" t="s">
        <v>937</v>
      </c>
      <c r="G36" s="195">
        <v>599.05999999999995</v>
      </c>
      <c r="H36" s="193"/>
      <c r="I36" s="193" t="s">
        <v>820</v>
      </c>
      <c r="J36" s="193"/>
      <c r="K36" s="193" t="s">
        <v>938</v>
      </c>
      <c r="L36" s="193" t="s">
        <v>939</v>
      </c>
      <c r="M36" s="193" t="s">
        <v>997</v>
      </c>
      <c r="N36" s="193" t="s">
        <v>941</v>
      </c>
      <c r="O36" s="193"/>
      <c r="P36" s="193" t="s">
        <v>998</v>
      </c>
      <c r="Q36" s="193" t="s">
        <v>943</v>
      </c>
      <c r="R36" s="193" t="s">
        <v>999</v>
      </c>
      <c r="S36" s="196" t="s">
        <v>1000</v>
      </c>
      <c r="T36" s="193" t="s">
        <v>1001</v>
      </c>
      <c r="U36" s="193" t="s">
        <v>947</v>
      </c>
      <c r="V36" s="193"/>
      <c r="W36" s="193"/>
      <c r="X36" s="193" t="s">
        <v>1002</v>
      </c>
    </row>
    <row r="37" spans="1:24">
      <c r="A37" s="193" t="s">
        <v>935</v>
      </c>
      <c r="B37" s="194">
        <v>2</v>
      </c>
      <c r="C37" s="194">
        <v>2025</v>
      </c>
      <c r="D37" s="193" t="s">
        <v>936</v>
      </c>
      <c r="E37" s="193"/>
      <c r="F37" s="193" t="s">
        <v>937</v>
      </c>
      <c r="G37" s="195">
        <v>0</v>
      </c>
      <c r="H37" s="193"/>
      <c r="I37" s="193" t="s">
        <v>820</v>
      </c>
      <c r="J37" s="193"/>
      <c r="K37" s="193" t="s">
        <v>938</v>
      </c>
      <c r="L37" s="193" t="s">
        <v>939</v>
      </c>
      <c r="M37" s="193" t="s">
        <v>997</v>
      </c>
      <c r="N37" s="193" t="s">
        <v>941</v>
      </c>
      <c r="O37" s="193"/>
      <c r="P37" s="193" t="s">
        <v>1003</v>
      </c>
      <c r="Q37" s="193" t="s">
        <v>943</v>
      </c>
      <c r="R37" s="193" t="s">
        <v>1004</v>
      </c>
      <c r="S37" s="196" t="s">
        <v>1000</v>
      </c>
      <c r="T37" s="193" t="s">
        <v>1005</v>
      </c>
      <c r="U37" s="193" t="s">
        <v>947</v>
      </c>
      <c r="V37" s="193"/>
      <c r="W37" s="193"/>
      <c r="X37" s="193" t="s">
        <v>1006</v>
      </c>
    </row>
    <row r="38" spans="1:24">
      <c r="A38" s="193" t="s">
        <v>935</v>
      </c>
      <c r="B38" s="194">
        <v>2</v>
      </c>
      <c r="C38" s="194">
        <v>2025</v>
      </c>
      <c r="D38" s="193" t="s">
        <v>936</v>
      </c>
      <c r="E38" s="193"/>
      <c r="F38" s="193" t="s">
        <v>937</v>
      </c>
      <c r="G38" s="195">
        <v>9857.26</v>
      </c>
      <c r="H38" s="193"/>
      <c r="I38" s="193" t="s">
        <v>820</v>
      </c>
      <c r="J38" s="193"/>
      <c r="K38" s="193" t="s">
        <v>938</v>
      </c>
      <c r="L38" s="193" t="s">
        <v>939</v>
      </c>
      <c r="M38" s="193" t="s">
        <v>997</v>
      </c>
      <c r="N38" s="193" t="s">
        <v>941</v>
      </c>
      <c r="O38" s="193"/>
      <c r="P38" s="193" t="s">
        <v>1007</v>
      </c>
      <c r="Q38" s="193" t="s">
        <v>943</v>
      </c>
      <c r="R38" s="193" t="s">
        <v>1008</v>
      </c>
      <c r="S38" s="196" t="s">
        <v>1009</v>
      </c>
      <c r="T38" s="193" t="s">
        <v>1001</v>
      </c>
      <c r="U38" s="193" t="s">
        <v>947</v>
      </c>
      <c r="V38" s="193"/>
      <c r="W38" s="193"/>
      <c r="X38" s="193" t="s">
        <v>1002</v>
      </c>
    </row>
    <row r="39" spans="1:24">
      <c r="A39" s="193" t="s">
        <v>935</v>
      </c>
      <c r="B39" s="194">
        <v>2</v>
      </c>
      <c r="C39" s="194">
        <v>2025</v>
      </c>
      <c r="D39" s="193" t="s">
        <v>936</v>
      </c>
      <c r="E39" s="193"/>
      <c r="F39" s="193" t="s">
        <v>937</v>
      </c>
      <c r="G39" s="195">
        <v>0</v>
      </c>
      <c r="H39" s="193"/>
      <c r="I39" s="193" t="s">
        <v>820</v>
      </c>
      <c r="J39" s="193"/>
      <c r="K39" s="193" t="s">
        <v>938</v>
      </c>
      <c r="L39" s="193" t="s">
        <v>939</v>
      </c>
      <c r="M39" s="193" t="s">
        <v>997</v>
      </c>
      <c r="N39" s="193" t="s">
        <v>941</v>
      </c>
      <c r="O39" s="193"/>
      <c r="P39" s="193" t="s">
        <v>1010</v>
      </c>
      <c r="Q39" s="193" t="s">
        <v>943</v>
      </c>
      <c r="R39" s="193" t="s">
        <v>1011</v>
      </c>
      <c r="S39" s="196" t="s">
        <v>1009</v>
      </c>
      <c r="T39" s="193" t="s">
        <v>1005</v>
      </c>
      <c r="U39" s="193" t="s">
        <v>947</v>
      </c>
      <c r="V39" s="193"/>
      <c r="W39" s="193"/>
      <c r="X39" s="193" t="s">
        <v>1006</v>
      </c>
    </row>
    <row r="40" spans="1:24">
      <c r="A40" s="193" t="s">
        <v>935</v>
      </c>
      <c r="B40" s="194">
        <v>2</v>
      </c>
      <c r="C40" s="194">
        <v>2025</v>
      </c>
      <c r="D40" s="193" t="s">
        <v>936</v>
      </c>
      <c r="E40" s="193"/>
      <c r="F40" s="193" t="s">
        <v>937</v>
      </c>
      <c r="G40" s="195">
        <v>10892</v>
      </c>
      <c r="H40" s="193"/>
      <c r="I40" s="193" t="s">
        <v>820</v>
      </c>
      <c r="J40" s="193"/>
      <c r="K40" s="193" t="s">
        <v>938</v>
      </c>
      <c r="L40" s="193" t="s">
        <v>939</v>
      </c>
      <c r="M40" s="193" t="s">
        <v>997</v>
      </c>
      <c r="N40" s="193" t="s">
        <v>941</v>
      </c>
      <c r="O40" s="193"/>
      <c r="P40" s="193" t="s">
        <v>1012</v>
      </c>
      <c r="Q40" s="193" t="s">
        <v>943</v>
      </c>
      <c r="R40" s="193" t="s">
        <v>1013</v>
      </c>
      <c r="S40" s="196" t="s">
        <v>1014</v>
      </c>
      <c r="T40" s="193" t="s">
        <v>1001</v>
      </c>
      <c r="U40" s="193" t="s">
        <v>947</v>
      </c>
      <c r="V40" s="193"/>
      <c r="W40" s="193"/>
      <c r="X40" s="193" t="s">
        <v>1002</v>
      </c>
    </row>
    <row r="41" spans="1:24">
      <c r="A41" s="193" t="s">
        <v>935</v>
      </c>
      <c r="B41" s="194">
        <v>2</v>
      </c>
      <c r="C41" s="194">
        <v>2025</v>
      </c>
      <c r="D41" s="193" t="s">
        <v>936</v>
      </c>
      <c r="E41" s="193"/>
      <c r="F41" s="193" t="s">
        <v>937</v>
      </c>
      <c r="G41" s="195">
        <v>0</v>
      </c>
      <c r="H41" s="193"/>
      <c r="I41" s="193" t="s">
        <v>820</v>
      </c>
      <c r="J41" s="193"/>
      <c r="K41" s="193" t="s">
        <v>938</v>
      </c>
      <c r="L41" s="193" t="s">
        <v>939</v>
      </c>
      <c r="M41" s="193" t="s">
        <v>997</v>
      </c>
      <c r="N41" s="193" t="s">
        <v>941</v>
      </c>
      <c r="O41" s="193"/>
      <c r="P41" s="193" t="s">
        <v>1015</v>
      </c>
      <c r="Q41" s="193" t="s">
        <v>943</v>
      </c>
      <c r="R41" s="193" t="s">
        <v>1016</v>
      </c>
      <c r="S41" s="196" t="s">
        <v>1014</v>
      </c>
      <c r="T41" s="193" t="s">
        <v>1005</v>
      </c>
      <c r="U41" s="193" t="s">
        <v>947</v>
      </c>
      <c r="V41" s="193"/>
      <c r="W41" s="193"/>
      <c r="X41" s="193" t="s">
        <v>1006</v>
      </c>
    </row>
    <row r="42" spans="1:24">
      <c r="A42" s="193" t="s">
        <v>935</v>
      </c>
      <c r="B42" s="194">
        <v>2</v>
      </c>
      <c r="C42" s="194">
        <v>2025</v>
      </c>
      <c r="D42" s="193" t="s">
        <v>936</v>
      </c>
      <c r="E42" s="193"/>
      <c r="F42" s="193" t="s">
        <v>1017</v>
      </c>
      <c r="G42" s="195">
        <v>189.42</v>
      </c>
      <c r="H42" s="193"/>
      <c r="I42" s="193" t="s">
        <v>820</v>
      </c>
      <c r="J42" s="193"/>
      <c r="K42" s="193" t="s">
        <v>938</v>
      </c>
      <c r="L42" s="193" t="s">
        <v>939</v>
      </c>
      <c r="M42" s="193" t="s">
        <v>940</v>
      </c>
      <c r="N42" s="193" t="s">
        <v>941</v>
      </c>
      <c r="O42" s="193"/>
      <c r="P42" s="193" t="s">
        <v>1018</v>
      </c>
      <c r="Q42" s="193" t="s">
        <v>943</v>
      </c>
      <c r="R42" s="193" t="s">
        <v>1019</v>
      </c>
      <c r="S42" s="196" t="s">
        <v>1020</v>
      </c>
      <c r="T42" s="193" t="s">
        <v>946</v>
      </c>
      <c r="U42" s="193" t="s">
        <v>947</v>
      </c>
      <c r="V42" s="193"/>
      <c r="W42" s="193"/>
      <c r="X42" s="193" t="s">
        <v>948</v>
      </c>
    </row>
    <row r="43" spans="1:24">
      <c r="A43" s="193" t="s">
        <v>935</v>
      </c>
      <c r="B43" s="194">
        <v>2</v>
      </c>
      <c r="C43" s="194">
        <v>2025</v>
      </c>
      <c r="D43" s="193" t="s">
        <v>936</v>
      </c>
      <c r="E43" s="193"/>
      <c r="F43" s="193" t="s">
        <v>937</v>
      </c>
      <c r="G43" s="195">
        <v>350.16</v>
      </c>
      <c r="H43" s="193"/>
      <c r="I43" s="193" t="s">
        <v>820</v>
      </c>
      <c r="J43" s="193"/>
      <c r="K43" s="193" t="s">
        <v>938</v>
      </c>
      <c r="L43" s="193" t="s">
        <v>939</v>
      </c>
      <c r="M43" s="193" t="s">
        <v>940</v>
      </c>
      <c r="N43" s="193" t="s">
        <v>941</v>
      </c>
      <c r="O43" s="193"/>
      <c r="P43" s="193" t="s">
        <v>1018</v>
      </c>
      <c r="Q43" s="193" t="s">
        <v>943</v>
      </c>
      <c r="R43" s="193" t="s">
        <v>1019</v>
      </c>
      <c r="S43" s="196" t="s">
        <v>1020</v>
      </c>
      <c r="T43" s="193" t="s">
        <v>946</v>
      </c>
      <c r="U43" s="193" t="s">
        <v>947</v>
      </c>
      <c r="V43" s="193"/>
      <c r="W43" s="193"/>
      <c r="X43" s="193" t="s">
        <v>948</v>
      </c>
    </row>
    <row r="44" spans="1:24">
      <c r="A44" s="193" t="s">
        <v>935</v>
      </c>
      <c r="B44" s="194">
        <v>2</v>
      </c>
      <c r="C44" s="194">
        <v>2025</v>
      </c>
      <c r="D44" s="193" t="s">
        <v>936</v>
      </c>
      <c r="E44" s="193"/>
      <c r="F44" s="193" t="s">
        <v>937</v>
      </c>
      <c r="G44" s="195">
        <v>165160.21</v>
      </c>
      <c r="H44" s="193"/>
      <c r="I44" s="193" t="s">
        <v>820</v>
      </c>
      <c r="J44" s="193"/>
      <c r="K44" s="193" t="s">
        <v>938</v>
      </c>
      <c r="L44" s="193" t="s">
        <v>939</v>
      </c>
      <c r="M44" s="193" t="s">
        <v>997</v>
      </c>
      <c r="N44" s="193" t="s">
        <v>941</v>
      </c>
      <c r="O44" s="193"/>
      <c r="P44" s="193" t="s">
        <v>1021</v>
      </c>
      <c r="Q44" s="193" t="s">
        <v>943</v>
      </c>
      <c r="R44" s="193" t="s">
        <v>1022</v>
      </c>
      <c r="S44" s="196" t="s">
        <v>1023</v>
      </c>
      <c r="T44" s="193" t="s">
        <v>1001</v>
      </c>
      <c r="U44" s="193" t="s">
        <v>947</v>
      </c>
      <c r="V44" s="193"/>
      <c r="W44" s="193"/>
      <c r="X44" s="193" t="s">
        <v>1002</v>
      </c>
    </row>
    <row r="45" spans="1:24">
      <c r="A45" s="193" t="s">
        <v>935</v>
      </c>
      <c r="B45" s="194">
        <v>2</v>
      </c>
      <c r="C45" s="194">
        <v>2025</v>
      </c>
      <c r="D45" s="193" t="s">
        <v>936</v>
      </c>
      <c r="E45" s="193"/>
      <c r="F45" s="193" t="s">
        <v>937</v>
      </c>
      <c r="G45" s="195">
        <v>0</v>
      </c>
      <c r="H45" s="193"/>
      <c r="I45" s="193" t="s">
        <v>820</v>
      </c>
      <c r="J45" s="193"/>
      <c r="K45" s="193" t="s">
        <v>938</v>
      </c>
      <c r="L45" s="193" t="s">
        <v>939</v>
      </c>
      <c r="M45" s="193" t="s">
        <v>997</v>
      </c>
      <c r="N45" s="193" t="s">
        <v>941</v>
      </c>
      <c r="O45" s="193"/>
      <c r="P45" s="193" t="s">
        <v>1024</v>
      </c>
      <c r="Q45" s="193" t="s">
        <v>943</v>
      </c>
      <c r="R45" s="193" t="s">
        <v>1025</v>
      </c>
      <c r="S45" s="196" t="s">
        <v>1023</v>
      </c>
      <c r="T45" s="193" t="s">
        <v>1005</v>
      </c>
      <c r="U45" s="193" t="s">
        <v>947</v>
      </c>
      <c r="V45" s="193"/>
      <c r="W45" s="193"/>
      <c r="X45" s="193" t="s">
        <v>1006</v>
      </c>
    </row>
    <row r="46" spans="1:24">
      <c r="A46" s="193" t="s">
        <v>935</v>
      </c>
      <c r="B46" s="194">
        <v>2</v>
      </c>
      <c r="C46" s="194">
        <v>2025</v>
      </c>
      <c r="D46" s="193" t="s">
        <v>936</v>
      </c>
      <c r="E46" s="193"/>
      <c r="F46" s="193" t="s">
        <v>937</v>
      </c>
      <c r="G46" s="195">
        <v>33267.199999999997</v>
      </c>
      <c r="H46" s="193"/>
      <c r="I46" s="193" t="s">
        <v>820</v>
      </c>
      <c r="J46" s="193"/>
      <c r="K46" s="193" t="s">
        <v>938</v>
      </c>
      <c r="L46" s="193" t="s">
        <v>939</v>
      </c>
      <c r="M46" s="193" t="s">
        <v>997</v>
      </c>
      <c r="N46" s="193" t="s">
        <v>941</v>
      </c>
      <c r="O46" s="193"/>
      <c r="P46" s="193" t="s">
        <v>1026</v>
      </c>
      <c r="Q46" s="193" t="s">
        <v>943</v>
      </c>
      <c r="R46" s="193" t="s">
        <v>1027</v>
      </c>
      <c r="S46" s="196" t="s">
        <v>1020</v>
      </c>
      <c r="T46" s="193" t="s">
        <v>1001</v>
      </c>
      <c r="U46" s="193" t="s">
        <v>947</v>
      </c>
      <c r="V46" s="193"/>
      <c r="W46" s="193"/>
      <c r="X46" s="193" t="s">
        <v>1002</v>
      </c>
    </row>
    <row r="47" spans="1:24">
      <c r="A47" s="193" t="s">
        <v>935</v>
      </c>
      <c r="B47" s="194">
        <v>2</v>
      </c>
      <c r="C47" s="194">
        <v>2025</v>
      </c>
      <c r="D47" s="193" t="s">
        <v>936</v>
      </c>
      <c r="E47" s="193"/>
      <c r="F47" s="193" t="s">
        <v>937</v>
      </c>
      <c r="G47" s="195">
        <v>70.39</v>
      </c>
      <c r="H47" s="193"/>
      <c r="I47" s="193" t="s">
        <v>820</v>
      </c>
      <c r="J47" s="193"/>
      <c r="K47" s="193" t="s">
        <v>938</v>
      </c>
      <c r="L47" s="193" t="s">
        <v>939</v>
      </c>
      <c r="M47" s="193" t="s">
        <v>955</v>
      </c>
      <c r="N47" s="193" t="s">
        <v>941</v>
      </c>
      <c r="O47" s="193"/>
      <c r="P47" s="193" t="s">
        <v>1028</v>
      </c>
      <c r="Q47" s="193" t="s">
        <v>943</v>
      </c>
      <c r="R47" s="193" t="s">
        <v>1029</v>
      </c>
      <c r="S47" s="196" t="s">
        <v>1020</v>
      </c>
      <c r="T47" s="193" t="s">
        <v>952</v>
      </c>
      <c r="U47" s="193" t="s">
        <v>947</v>
      </c>
      <c r="V47" s="193"/>
      <c r="W47" s="193"/>
      <c r="X47" s="193" t="s">
        <v>953</v>
      </c>
    </row>
    <row r="48" spans="1:24">
      <c r="A48" s="193" t="s">
        <v>935</v>
      </c>
      <c r="B48" s="194">
        <v>2</v>
      </c>
      <c r="C48" s="194">
        <v>2025</v>
      </c>
      <c r="D48" s="193" t="s">
        <v>936</v>
      </c>
      <c r="E48" s="193"/>
      <c r="F48" s="193" t="s">
        <v>937</v>
      </c>
      <c r="G48" s="195">
        <v>155.44</v>
      </c>
      <c r="H48" s="193"/>
      <c r="I48" s="193" t="s">
        <v>820</v>
      </c>
      <c r="J48" s="193"/>
      <c r="K48" s="193" t="s">
        <v>938</v>
      </c>
      <c r="L48" s="193" t="s">
        <v>939</v>
      </c>
      <c r="M48" s="193" t="s">
        <v>958</v>
      </c>
      <c r="N48" s="193" t="s">
        <v>941</v>
      </c>
      <c r="O48" s="193"/>
      <c r="P48" s="193" t="s">
        <v>1028</v>
      </c>
      <c r="Q48" s="193" t="s">
        <v>943</v>
      </c>
      <c r="R48" s="193" t="s">
        <v>1029</v>
      </c>
      <c r="S48" s="196" t="s">
        <v>1020</v>
      </c>
      <c r="T48" s="193" t="s">
        <v>952</v>
      </c>
      <c r="U48" s="193" t="s">
        <v>947</v>
      </c>
      <c r="V48" s="193"/>
      <c r="W48" s="193"/>
      <c r="X48" s="193" t="s">
        <v>953</v>
      </c>
    </row>
    <row r="49" spans="1:24">
      <c r="A49" s="193" t="s">
        <v>935</v>
      </c>
      <c r="B49" s="194">
        <v>2</v>
      </c>
      <c r="C49" s="194">
        <v>2025</v>
      </c>
      <c r="D49" s="193" t="s">
        <v>936</v>
      </c>
      <c r="E49" s="193"/>
      <c r="F49" s="193" t="s">
        <v>1017</v>
      </c>
      <c r="G49" s="195">
        <v>1.42</v>
      </c>
      <c r="H49" s="193"/>
      <c r="I49" s="193" t="s">
        <v>820</v>
      </c>
      <c r="J49" s="193"/>
      <c r="K49" s="193" t="s">
        <v>938</v>
      </c>
      <c r="L49" s="193" t="s">
        <v>939</v>
      </c>
      <c r="M49" s="193" t="s">
        <v>954</v>
      </c>
      <c r="N49" s="193" t="s">
        <v>941</v>
      </c>
      <c r="O49" s="193"/>
      <c r="P49" s="193" t="s">
        <v>1028</v>
      </c>
      <c r="Q49" s="193" t="s">
        <v>943</v>
      </c>
      <c r="R49" s="193" t="s">
        <v>1029</v>
      </c>
      <c r="S49" s="196" t="s">
        <v>1020</v>
      </c>
      <c r="T49" s="193" t="s">
        <v>952</v>
      </c>
      <c r="U49" s="193" t="s">
        <v>947</v>
      </c>
      <c r="V49" s="193"/>
      <c r="W49" s="193"/>
      <c r="X49" s="193" t="s">
        <v>953</v>
      </c>
    </row>
    <row r="50" spans="1:24">
      <c r="A50" s="193" t="s">
        <v>935</v>
      </c>
      <c r="B50" s="194">
        <v>2</v>
      </c>
      <c r="C50" s="194">
        <v>2025</v>
      </c>
      <c r="D50" s="193" t="s">
        <v>936</v>
      </c>
      <c r="E50" s="193"/>
      <c r="F50" s="193" t="s">
        <v>1017</v>
      </c>
      <c r="G50" s="195">
        <v>38.08</v>
      </c>
      <c r="H50" s="193"/>
      <c r="I50" s="193" t="s">
        <v>820</v>
      </c>
      <c r="J50" s="193"/>
      <c r="K50" s="193" t="s">
        <v>938</v>
      </c>
      <c r="L50" s="193" t="s">
        <v>939</v>
      </c>
      <c r="M50" s="193" t="s">
        <v>955</v>
      </c>
      <c r="N50" s="193" t="s">
        <v>941</v>
      </c>
      <c r="O50" s="193"/>
      <c r="P50" s="193" t="s">
        <v>1028</v>
      </c>
      <c r="Q50" s="193" t="s">
        <v>943</v>
      </c>
      <c r="R50" s="193" t="s">
        <v>1029</v>
      </c>
      <c r="S50" s="196" t="s">
        <v>1020</v>
      </c>
      <c r="T50" s="193" t="s">
        <v>952</v>
      </c>
      <c r="U50" s="193" t="s">
        <v>947</v>
      </c>
      <c r="V50" s="193"/>
      <c r="W50" s="193"/>
      <c r="X50" s="193" t="s">
        <v>953</v>
      </c>
    </row>
    <row r="51" spans="1:24">
      <c r="A51" s="193" t="s">
        <v>935</v>
      </c>
      <c r="B51" s="194">
        <v>2</v>
      </c>
      <c r="C51" s="194">
        <v>2025</v>
      </c>
      <c r="D51" s="193" t="s">
        <v>936</v>
      </c>
      <c r="E51" s="193"/>
      <c r="F51" s="193" t="s">
        <v>1017</v>
      </c>
      <c r="G51" s="195">
        <v>38.619999999999997</v>
      </c>
      <c r="H51" s="193"/>
      <c r="I51" s="193" t="s">
        <v>820</v>
      </c>
      <c r="J51" s="193"/>
      <c r="K51" s="193" t="s">
        <v>938</v>
      </c>
      <c r="L51" s="193" t="s">
        <v>939</v>
      </c>
      <c r="M51" s="193" t="s">
        <v>956</v>
      </c>
      <c r="N51" s="193" t="s">
        <v>941</v>
      </c>
      <c r="O51" s="193"/>
      <c r="P51" s="193" t="s">
        <v>1028</v>
      </c>
      <c r="Q51" s="193" t="s">
        <v>943</v>
      </c>
      <c r="R51" s="193" t="s">
        <v>1029</v>
      </c>
      <c r="S51" s="196" t="s">
        <v>1020</v>
      </c>
      <c r="T51" s="193" t="s">
        <v>952</v>
      </c>
      <c r="U51" s="193" t="s">
        <v>947</v>
      </c>
      <c r="V51" s="193"/>
      <c r="W51" s="193"/>
      <c r="X51" s="193" t="s">
        <v>953</v>
      </c>
    </row>
    <row r="52" spans="1:24">
      <c r="A52" s="193" t="s">
        <v>935</v>
      </c>
      <c r="B52" s="194">
        <v>2</v>
      </c>
      <c r="C52" s="194">
        <v>2025</v>
      </c>
      <c r="D52" s="193" t="s">
        <v>936</v>
      </c>
      <c r="E52" s="193"/>
      <c r="F52" s="193" t="s">
        <v>1017</v>
      </c>
      <c r="G52" s="195">
        <v>4.3099999999999996</v>
      </c>
      <c r="H52" s="193"/>
      <c r="I52" s="193" t="s">
        <v>820</v>
      </c>
      <c r="J52" s="193"/>
      <c r="K52" s="193" t="s">
        <v>938</v>
      </c>
      <c r="L52" s="193" t="s">
        <v>939</v>
      </c>
      <c r="M52" s="193" t="s">
        <v>957</v>
      </c>
      <c r="N52" s="193" t="s">
        <v>941</v>
      </c>
      <c r="O52" s="193"/>
      <c r="P52" s="193" t="s">
        <v>1028</v>
      </c>
      <c r="Q52" s="193" t="s">
        <v>943</v>
      </c>
      <c r="R52" s="193" t="s">
        <v>1029</v>
      </c>
      <c r="S52" s="196" t="s">
        <v>1020</v>
      </c>
      <c r="T52" s="193" t="s">
        <v>952</v>
      </c>
      <c r="U52" s="193" t="s">
        <v>947</v>
      </c>
      <c r="V52" s="193"/>
      <c r="W52" s="193"/>
      <c r="X52" s="193" t="s">
        <v>953</v>
      </c>
    </row>
    <row r="53" spans="1:24">
      <c r="A53" s="193" t="s">
        <v>935</v>
      </c>
      <c r="B53" s="194">
        <v>2</v>
      </c>
      <c r="C53" s="194">
        <v>2025</v>
      </c>
      <c r="D53" s="193" t="s">
        <v>936</v>
      </c>
      <c r="E53" s="193"/>
      <c r="F53" s="193" t="s">
        <v>1017</v>
      </c>
      <c r="G53" s="195">
        <v>84.06</v>
      </c>
      <c r="H53" s="193"/>
      <c r="I53" s="193" t="s">
        <v>820</v>
      </c>
      <c r="J53" s="193"/>
      <c r="K53" s="193" t="s">
        <v>938</v>
      </c>
      <c r="L53" s="193" t="s">
        <v>939</v>
      </c>
      <c r="M53" s="193" t="s">
        <v>958</v>
      </c>
      <c r="N53" s="193" t="s">
        <v>941</v>
      </c>
      <c r="O53" s="193"/>
      <c r="P53" s="193" t="s">
        <v>1028</v>
      </c>
      <c r="Q53" s="193" t="s">
        <v>943</v>
      </c>
      <c r="R53" s="193" t="s">
        <v>1029</v>
      </c>
      <c r="S53" s="196" t="s">
        <v>1020</v>
      </c>
      <c r="T53" s="193" t="s">
        <v>952</v>
      </c>
      <c r="U53" s="193" t="s">
        <v>947</v>
      </c>
      <c r="V53" s="193"/>
      <c r="W53" s="193"/>
      <c r="X53" s="193" t="s">
        <v>953</v>
      </c>
    </row>
    <row r="54" spans="1:24">
      <c r="A54" s="193" t="s">
        <v>935</v>
      </c>
      <c r="B54" s="194">
        <v>2</v>
      </c>
      <c r="C54" s="194">
        <v>2025</v>
      </c>
      <c r="D54" s="193" t="s">
        <v>936</v>
      </c>
      <c r="E54" s="193"/>
      <c r="F54" s="193" t="s">
        <v>937</v>
      </c>
      <c r="G54" s="195">
        <v>7.96</v>
      </c>
      <c r="H54" s="193"/>
      <c r="I54" s="193" t="s">
        <v>820</v>
      </c>
      <c r="J54" s="193"/>
      <c r="K54" s="193" t="s">
        <v>938</v>
      </c>
      <c r="L54" s="193" t="s">
        <v>939</v>
      </c>
      <c r="M54" s="193" t="s">
        <v>957</v>
      </c>
      <c r="N54" s="193" t="s">
        <v>941</v>
      </c>
      <c r="O54" s="193"/>
      <c r="P54" s="193" t="s">
        <v>1028</v>
      </c>
      <c r="Q54" s="193" t="s">
        <v>943</v>
      </c>
      <c r="R54" s="193" t="s">
        <v>1029</v>
      </c>
      <c r="S54" s="196" t="s">
        <v>1020</v>
      </c>
      <c r="T54" s="193" t="s">
        <v>952</v>
      </c>
      <c r="U54" s="193" t="s">
        <v>947</v>
      </c>
      <c r="V54" s="193"/>
      <c r="W54" s="193"/>
      <c r="X54" s="193" t="s">
        <v>953</v>
      </c>
    </row>
    <row r="55" spans="1:24">
      <c r="A55" s="193" t="s">
        <v>935</v>
      </c>
      <c r="B55" s="194">
        <v>2</v>
      </c>
      <c r="C55" s="194">
        <v>2025</v>
      </c>
      <c r="D55" s="193" t="s">
        <v>936</v>
      </c>
      <c r="E55" s="193"/>
      <c r="F55" s="193" t="s">
        <v>937</v>
      </c>
      <c r="G55" s="195">
        <v>1.99</v>
      </c>
      <c r="H55" s="193"/>
      <c r="I55" s="193" t="s">
        <v>820</v>
      </c>
      <c r="J55" s="193"/>
      <c r="K55" s="193" t="s">
        <v>938</v>
      </c>
      <c r="L55" s="193" t="s">
        <v>939</v>
      </c>
      <c r="M55" s="193" t="s">
        <v>949</v>
      </c>
      <c r="N55" s="193" t="s">
        <v>941</v>
      </c>
      <c r="O55" s="193"/>
      <c r="P55" s="193" t="s">
        <v>1028</v>
      </c>
      <c r="Q55" s="193" t="s">
        <v>943</v>
      </c>
      <c r="R55" s="193" t="s">
        <v>1029</v>
      </c>
      <c r="S55" s="196" t="s">
        <v>1020</v>
      </c>
      <c r="T55" s="193" t="s">
        <v>952</v>
      </c>
      <c r="U55" s="193" t="s">
        <v>947</v>
      </c>
      <c r="V55" s="193"/>
      <c r="W55" s="193"/>
      <c r="X55" s="193" t="s">
        <v>953</v>
      </c>
    </row>
    <row r="56" spans="1:24">
      <c r="A56" s="193" t="s">
        <v>935</v>
      </c>
      <c r="B56" s="194">
        <v>2</v>
      </c>
      <c r="C56" s="194">
        <v>2025</v>
      </c>
      <c r="D56" s="193" t="s">
        <v>936</v>
      </c>
      <c r="E56" s="193"/>
      <c r="F56" s="193" t="s">
        <v>937</v>
      </c>
      <c r="G56" s="195">
        <v>2.63</v>
      </c>
      <c r="H56" s="193"/>
      <c r="I56" s="193" t="s">
        <v>820</v>
      </c>
      <c r="J56" s="193"/>
      <c r="K56" s="193" t="s">
        <v>938</v>
      </c>
      <c r="L56" s="193" t="s">
        <v>939</v>
      </c>
      <c r="M56" s="193" t="s">
        <v>954</v>
      </c>
      <c r="N56" s="193" t="s">
        <v>941</v>
      </c>
      <c r="O56" s="193"/>
      <c r="P56" s="193" t="s">
        <v>1028</v>
      </c>
      <c r="Q56" s="193" t="s">
        <v>943</v>
      </c>
      <c r="R56" s="193" t="s">
        <v>1029</v>
      </c>
      <c r="S56" s="196" t="s">
        <v>1020</v>
      </c>
      <c r="T56" s="193" t="s">
        <v>952</v>
      </c>
      <c r="U56" s="193" t="s">
        <v>947</v>
      </c>
      <c r="V56" s="193"/>
      <c r="W56" s="193"/>
      <c r="X56" s="193" t="s">
        <v>953</v>
      </c>
    </row>
    <row r="57" spans="1:24">
      <c r="A57" s="193" t="s">
        <v>935</v>
      </c>
      <c r="B57" s="194">
        <v>2</v>
      </c>
      <c r="C57" s="194">
        <v>2025</v>
      </c>
      <c r="D57" s="193" t="s">
        <v>936</v>
      </c>
      <c r="E57" s="193"/>
      <c r="F57" s="193" t="s">
        <v>937</v>
      </c>
      <c r="G57" s="195">
        <v>71.41</v>
      </c>
      <c r="H57" s="193"/>
      <c r="I57" s="193" t="s">
        <v>820</v>
      </c>
      <c r="J57" s="193"/>
      <c r="K57" s="193" t="s">
        <v>938</v>
      </c>
      <c r="L57" s="193" t="s">
        <v>939</v>
      </c>
      <c r="M57" s="193" t="s">
        <v>956</v>
      </c>
      <c r="N57" s="193" t="s">
        <v>941</v>
      </c>
      <c r="O57" s="193"/>
      <c r="P57" s="193" t="s">
        <v>1028</v>
      </c>
      <c r="Q57" s="193" t="s">
        <v>943</v>
      </c>
      <c r="R57" s="193" t="s">
        <v>1029</v>
      </c>
      <c r="S57" s="196" t="s">
        <v>1020</v>
      </c>
      <c r="T57" s="193" t="s">
        <v>952</v>
      </c>
      <c r="U57" s="193" t="s">
        <v>947</v>
      </c>
      <c r="V57" s="193"/>
      <c r="W57" s="193"/>
      <c r="X57" s="193" t="s">
        <v>953</v>
      </c>
    </row>
    <row r="58" spans="1:24">
      <c r="A58" s="193" t="s">
        <v>935</v>
      </c>
      <c r="B58" s="194">
        <v>2</v>
      </c>
      <c r="C58" s="194">
        <v>2025</v>
      </c>
      <c r="D58" s="193" t="s">
        <v>936</v>
      </c>
      <c r="E58" s="193"/>
      <c r="F58" s="193" t="s">
        <v>937</v>
      </c>
      <c r="G58" s="195">
        <v>2178.4</v>
      </c>
      <c r="H58" s="193"/>
      <c r="I58" s="193" t="s">
        <v>820</v>
      </c>
      <c r="J58" s="193"/>
      <c r="K58" s="193" t="s">
        <v>938</v>
      </c>
      <c r="L58" s="193" t="s">
        <v>939</v>
      </c>
      <c r="M58" s="193" t="s">
        <v>997</v>
      </c>
      <c r="N58" s="193" t="s">
        <v>941</v>
      </c>
      <c r="O58" s="193"/>
      <c r="P58" s="193" t="s">
        <v>1030</v>
      </c>
      <c r="Q58" s="193" t="s">
        <v>943</v>
      </c>
      <c r="R58" s="193" t="s">
        <v>1031</v>
      </c>
      <c r="S58" s="196" t="s">
        <v>1032</v>
      </c>
      <c r="T58" s="193" t="s">
        <v>1001</v>
      </c>
      <c r="U58" s="193" t="s">
        <v>947</v>
      </c>
      <c r="V58" s="193"/>
      <c r="W58" s="193"/>
      <c r="X58" s="193" t="s">
        <v>1002</v>
      </c>
    </row>
    <row r="59" spans="1:24">
      <c r="A59" s="193" t="s">
        <v>935</v>
      </c>
      <c r="B59" s="194">
        <v>2</v>
      </c>
      <c r="C59" s="194">
        <v>2025</v>
      </c>
      <c r="D59" s="193" t="s">
        <v>936</v>
      </c>
      <c r="E59" s="193"/>
      <c r="F59" s="193" t="s">
        <v>937</v>
      </c>
      <c r="G59" s="195">
        <v>0</v>
      </c>
      <c r="H59" s="193"/>
      <c r="I59" s="193" t="s">
        <v>820</v>
      </c>
      <c r="J59" s="193"/>
      <c r="K59" s="193" t="s">
        <v>938</v>
      </c>
      <c r="L59" s="193" t="s">
        <v>939</v>
      </c>
      <c r="M59" s="193" t="s">
        <v>997</v>
      </c>
      <c r="N59" s="193" t="s">
        <v>941</v>
      </c>
      <c r="O59" s="193"/>
      <c r="P59" s="193" t="s">
        <v>1033</v>
      </c>
      <c r="Q59" s="193" t="s">
        <v>943</v>
      </c>
      <c r="R59" s="193" t="s">
        <v>1034</v>
      </c>
      <c r="S59" s="196" t="s">
        <v>1032</v>
      </c>
      <c r="T59" s="193" t="s">
        <v>1005</v>
      </c>
      <c r="U59" s="193" t="s">
        <v>947</v>
      </c>
      <c r="V59" s="193"/>
      <c r="W59" s="193"/>
      <c r="X59" s="193" t="s">
        <v>1006</v>
      </c>
    </row>
    <row r="60" spans="1:24">
      <c r="A60" s="193" t="s">
        <v>935</v>
      </c>
      <c r="B60" s="194">
        <v>2</v>
      </c>
      <c r="C60" s="194">
        <v>2025</v>
      </c>
      <c r="D60" s="193" t="s">
        <v>936</v>
      </c>
      <c r="E60" s="193"/>
      <c r="F60" s="193" t="s">
        <v>937</v>
      </c>
      <c r="G60" s="195">
        <v>19</v>
      </c>
      <c r="H60" s="193" t="s">
        <v>959</v>
      </c>
      <c r="I60" s="193" t="s">
        <v>820</v>
      </c>
      <c r="J60" s="193"/>
      <c r="K60" s="193" t="s">
        <v>938</v>
      </c>
      <c r="L60" s="193" t="s">
        <v>939</v>
      </c>
      <c r="M60" s="193" t="s">
        <v>960</v>
      </c>
      <c r="N60" s="193" t="s">
        <v>941</v>
      </c>
      <c r="O60" s="193"/>
      <c r="P60" s="193" t="s">
        <v>1035</v>
      </c>
      <c r="Q60" s="193" t="s">
        <v>943</v>
      </c>
      <c r="R60" s="193" t="s">
        <v>1036</v>
      </c>
      <c r="S60" s="196" t="s">
        <v>1037</v>
      </c>
      <c r="T60" s="193" t="s">
        <v>964</v>
      </c>
      <c r="U60" s="193" t="s">
        <v>947</v>
      </c>
      <c r="V60" s="193"/>
      <c r="W60" s="193"/>
      <c r="X60" s="193" t="s">
        <v>965</v>
      </c>
    </row>
    <row r="61" spans="1:24">
      <c r="A61" s="193" t="s">
        <v>935</v>
      </c>
      <c r="B61" s="194">
        <v>2</v>
      </c>
      <c r="C61" s="194">
        <v>2025</v>
      </c>
      <c r="D61" s="193" t="s">
        <v>936</v>
      </c>
      <c r="E61" s="193"/>
      <c r="F61" s="193" t="s">
        <v>1017</v>
      </c>
      <c r="G61" s="195">
        <v>79.11</v>
      </c>
      <c r="H61" s="193" t="s">
        <v>959</v>
      </c>
      <c r="I61" s="193" t="s">
        <v>820</v>
      </c>
      <c r="J61" s="193"/>
      <c r="K61" s="193" t="s">
        <v>938</v>
      </c>
      <c r="L61" s="193" t="s">
        <v>939</v>
      </c>
      <c r="M61" s="193" t="s">
        <v>960</v>
      </c>
      <c r="N61" s="193" t="s">
        <v>941</v>
      </c>
      <c r="O61" s="193"/>
      <c r="P61" s="193" t="s">
        <v>1035</v>
      </c>
      <c r="Q61" s="193" t="s">
        <v>943</v>
      </c>
      <c r="R61" s="193" t="s">
        <v>1036</v>
      </c>
      <c r="S61" s="196" t="s">
        <v>1037</v>
      </c>
      <c r="T61" s="193" t="s">
        <v>964</v>
      </c>
      <c r="U61" s="193" t="s">
        <v>947</v>
      </c>
      <c r="V61" s="193"/>
      <c r="W61" s="193"/>
      <c r="X61" s="193" t="s">
        <v>965</v>
      </c>
    </row>
    <row r="62" spans="1:24">
      <c r="A62" s="193" t="s">
        <v>935</v>
      </c>
      <c r="B62" s="194">
        <v>2</v>
      </c>
      <c r="C62" s="194">
        <v>2025</v>
      </c>
      <c r="D62" s="193" t="s">
        <v>936</v>
      </c>
      <c r="E62" s="193"/>
      <c r="F62" s="193" t="s">
        <v>994</v>
      </c>
      <c r="G62" s="195">
        <v>17.39</v>
      </c>
      <c r="H62" s="193" t="s">
        <v>959</v>
      </c>
      <c r="I62" s="193" t="s">
        <v>820</v>
      </c>
      <c r="J62" s="193"/>
      <c r="K62" s="193" t="s">
        <v>938</v>
      </c>
      <c r="L62" s="193" t="s">
        <v>939</v>
      </c>
      <c r="M62" s="193" t="s">
        <v>960</v>
      </c>
      <c r="N62" s="193" t="s">
        <v>941</v>
      </c>
      <c r="O62" s="193"/>
      <c r="P62" s="193" t="s">
        <v>1035</v>
      </c>
      <c r="Q62" s="193" t="s">
        <v>943</v>
      </c>
      <c r="R62" s="193" t="s">
        <v>1036</v>
      </c>
      <c r="S62" s="196" t="s">
        <v>1037</v>
      </c>
      <c r="T62" s="193" t="s">
        <v>964</v>
      </c>
      <c r="U62" s="193" t="s">
        <v>947</v>
      </c>
      <c r="V62" s="193"/>
      <c r="W62" s="193"/>
      <c r="X62" s="193" t="s">
        <v>965</v>
      </c>
    </row>
    <row r="63" spans="1:24">
      <c r="A63" s="193" t="s">
        <v>935</v>
      </c>
      <c r="B63" s="194">
        <v>2</v>
      </c>
      <c r="C63" s="194">
        <v>2025</v>
      </c>
      <c r="D63" s="193" t="s">
        <v>936</v>
      </c>
      <c r="E63" s="193"/>
      <c r="F63" s="193" t="s">
        <v>994</v>
      </c>
      <c r="G63" s="195">
        <v>1.59</v>
      </c>
      <c r="H63" s="193"/>
      <c r="I63" s="193" t="s">
        <v>820</v>
      </c>
      <c r="J63" s="193"/>
      <c r="K63" s="193" t="s">
        <v>938</v>
      </c>
      <c r="L63" s="193" t="s">
        <v>939</v>
      </c>
      <c r="M63" s="193" t="s">
        <v>966</v>
      </c>
      <c r="N63" s="193" t="s">
        <v>941</v>
      </c>
      <c r="O63" s="193"/>
      <c r="P63" s="193" t="s">
        <v>1038</v>
      </c>
      <c r="Q63" s="193" t="s">
        <v>943</v>
      </c>
      <c r="R63" s="193" t="s">
        <v>1039</v>
      </c>
      <c r="S63" s="196" t="s">
        <v>1037</v>
      </c>
      <c r="T63" s="193" t="s">
        <v>969</v>
      </c>
      <c r="U63" s="193" t="s">
        <v>947</v>
      </c>
      <c r="V63" s="193"/>
      <c r="W63" s="193"/>
      <c r="X63" s="193" t="s">
        <v>970</v>
      </c>
    </row>
    <row r="64" spans="1:24">
      <c r="A64" s="193" t="s">
        <v>935</v>
      </c>
      <c r="B64" s="194">
        <v>2</v>
      </c>
      <c r="C64" s="194">
        <v>2025</v>
      </c>
      <c r="D64" s="193" t="s">
        <v>936</v>
      </c>
      <c r="E64" s="193"/>
      <c r="F64" s="193" t="s">
        <v>1017</v>
      </c>
      <c r="G64" s="195">
        <v>7.14</v>
      </c>
      <c r="H64" s="193"/>
      <c r="I64" s="193" t="s">
        <v>820</v>
      </c>
      <c r="J64" s="193"/>
      <c r="K64" s="193" t="s">
        <v>938</v>
      </c>
      <c r="L64" s="193" t="s">
        <v>939</v>
      </c>
      <c r="M64" s="193" t="s">
        <v>966</v>
      </c>
      <c r="N64" s="193" t="s">
        <v>941</v>
      </c>
      <c r="O64" s="193"/>
      <c r="P64" s="193" t="s">
        <v>1038</v>
      </c>
      <c r="Q64" s="193" t="s">
        <v>943</v>
      </c>
      <c r="R64" s="193" t="s">
        <v>1039</v>
      </c>
      <c r="S64" s="196" t="s">
        <v>1037</v>
      </c>
      <c r="T64" s="193" t="s">
        <v>969</v>
      </c>
      <c r="U64" s="193" t="s">
        <v>947</v>
      </c>
      <c r="V64" s="193"/>
      <c r="W64" s="193"/>
      <c r="X64" s="193" t="s">
        <v>970</v>
      </c>
    </row>
    <row r="65" spans="1:24">
      <c r="A65" s="193" t="s">
        <v>935</v>
      </c>
      <c r="B65" s="194">
        <v>2</v>
      </c>
      <c r="C65" s="194">
        <v>2025</v>
      </c>
      <c r="D65" s="193" t="s">
        <v>936</v>
      </c>
      <c r="E65" s="193"/>
      <c r="F65" s="193" t="s">
        <v>937</v>
      </c>
      <c r="G65" s="195">
        <v>6.08</v>
      </c>
      <c r="H65" s="193"/>
      <c r="I65" s="193" t="s">
        <v>820</v>
      </c>
      <c r="J65" s="193"/>
      <c r="K65" s="193" t="s">
        <v>938</v>
      </c>
      <c r="L65" s="193" t="s">
        <v>939</v>
      </c>
      <c r="M65" s="193" t="s">
        <v>966</v>
      </c>
      <c r="N65" s="193" t="s">
        <v>941</v>
      </c>
      <c r="O65" s="193"/>
      <c r="P65" s="193" t="s">
        <v>1038</v>
      </c>
      <c r="Q65" s="193" t="s">
        <v>943</v>
      </c>
      <c r="R65" s="193" t="s">
        <v>1039</v>
      </c>
      <c r="S65" s="196" t="s">
        <v>1037</v>
      </c>
      <c r="T65" s="193" t="s">
        <v>969</v>
      </c>
      <c r="U65" s="193" t="s">
        <v>947</v>
      </c>
      <c r="V65" s="193"/>
      <c r="W65" s="193"/>
      <c r="X65" s="193" t="s">
        <v>970</v>
      </c>
    </row>
    <row r="66" spans="1:24">
      <c r="A66" s="193" t="s">
        <v>935</v>
      </c>
      <c r="B66" s="194">
        <v>2</v>
      </c>
      <c r="C66" s="194">
        <v>2025</v>
      </c>
      <c r="D66" s="193" t="s">
        <v>936</v>
      </c>
      <c r="E66" s="193"/>
      <c r="F66" s="193" t="s">
        <v>937</v>
      </c>
      <c r="G66" s="195">
        <v>3267.6</v>
      </c>
      <c r="H66" s="193"/>
      <c r="I66" s="193" t="s">
        <v>820</v>
      </c>
      <c r="J66" s="193"/>
      <c r="K66" s="193" t="s">
        <v>938</v>
      </c>
      <c r="L66" s="193" t="s">
        <v>939</v>
      </c>
      <c r="M66" s="193" t="s">
        <v>971</v>
      </c>
      <c r="N66" s="193" t="s">
        <v>941</v>
      </c>
      <c r="O66" s="193"/>
      <c r="P66" s="193" t="s">
        <v>1040</v>
      </c>
      <c r="Q66" s="193" t="s">
        <v>943</v>
      </c>
      <c r="R66" s="193" t="s">
        <v>1041</v>
      </c>
      <c r="S66" s="196" t="s">
        <v>1037</v>
      </c>
      <c r="T66" s="193" t="s">
        <v>974</v>
      </c>
      <c r="U66" s="193" t="s">
        <v>947</v>
      </c>
      <c r="V66" s="193" t="s">
        <v>975</v>
      </c>
      <c r="W66" s="193"/>
      <c r="X66" s="193" t="s">
        <v>977</v>
      </c>
    </row>
    <row r="67" spans="1:24">
      <c r="A67" s="193" t="s">
        <v>935</v>
      </c>
      <c r="B67" s="194">
        <v>2</v>
      </c>
      <c r="C67" s="194">
        <v>2025</v>
      </c>
      <c r="D67" s="193" t="s">
        <v>936</v>
      </c>
      <c r="E67" s="193"/>
      <c r="F67" s="193" t="s">
        <v>937</v>
      </c>
      <c r="G67" s="195">
        <v>601250</v>
      </c>
      <c r="H67" s="193"/>
      <c r="I67" s="193" t="s">
        <v>820</v>
      </c>
      <c r="J67" s="193"/>
      <c r="K67" s="193" t="s">
        <v>938</v>
      </c>
      <c r="L67" s="193" t="s">
        <v>939</v>
      </c>
      <c r="M67" s="193" t="s">
        <v>971</v>
      </c>
      <c r="N67" s="193" t="s">
        <v>941</v>
      </c>
      <c r="O67" s="193"/>
      <c r="P67" s="193" t="s">
        <v>1040</v>
      </c>
      <c r="Q67" s="193" t="s">
        <v>943</v>
      </c>
      <c r="R67" s="193" t="s">
        <v>1041</v>
      </c>
      <c r="S67" s="196" t="s">
        <v>1037</v>
      </c>
      <c r="T67" s="193" t="s">
        <v>974</v>
      </c>
      <c r="U67" s="193" t="s">
        <v>947</v>
      </c>
      <c r="V67" s="193" t="s">
        <v>975</v>
      </c>
      <c r="W67" s="193"/>
      <c r="X67" s="193" t="s">
        <v>980</v>
      </c>
    </row>
    <row r="68" spans="1:24">
      <c r="A68" s="193" t="s">
        <v>935</v>
      </c>
      <c r="B68" s="194">
        <v>2</v>
      </c>
      <c r="C68" s="194">
        <v>2025</v>
      </c>
      <c r="D68" s="193" t="s">
        <v>936</v>
      </c>
      <c r="E68" s="193"/>
      <c r="F68" s="193" t="s">
        <v>937</v>
      </c>
      <c r="G68" s="195">
        <v>91905.8</v>
      </c>
      <c r="H68" s="193"/>
      <c r="I68" s="193" t="s">
        <v>820</v>
      </c>
      <c r="J68" s="193"/>
      <c r="K68" s="193" t="s">
        <v>938</v>
      </c>
      <c r="L68" s="193" t="s">
        <v>939</v>
      </c>
      <c r="M68" s="193" t="s">
        <v>971</v>
      </c>
      <c r="N68" s="193" t="s">
        <v>941</v>
      </c>
      <c r="O68" s="193"/>
      <c r="P68" s="193" t="s">
        <v>1040</v>
      </c>
      <c r="Q68" s="193" t="s">
        <v>943</v>
      </c>
      <c r="R68" s="193" t="s">
        <v>1041</v>
      </c>
      <c r="S68" s="196" t="s">
        <v>1037</v>
      </c>
      <c r="T68" s="193" t="s">
        <v>974</v>
      </c>
      <c r="U68" s="193" t="s">
        <v>947</v>
      </c>
      <c r="V68" s="193" t="s">
        <v>975</v>
      </c>
      <c r="W68" s="193"/>
      <c r="X68" s="193" t="s">
        <v>976</v>
      </c>
    </row>
    <row r="69" spans="1:24">
      <c r="A69" s="193" t="s">
        <v>935</v>
      </c>
      <c r="B69" s="194">
        <v>2</v>
      </c>
      <c r="C69" s="194">
        <v>2025</v>
      </c>
      <c r="D69" s="193" t="s">
        <v>936</v>
      </c>
      <c r="E69" s="193"/>
      <c r="F69" s="193" t="s">
        <v>937</v>
      </c>
      <c r="G69" s="195">
        <v>2995.3</v>
      </c>
      <c r="H69" s="193"/>
      <c r="I69" s="193" t="s">
        <v>820</v>
      </c>
      <c r="J69" s="193"/>
      <c r="K69" s="193" t="s">
        <v>938</v>
      </c>
      <c r="L69" s="193" t="s">
        <v>939</v>
      </c>
      <c r="M69" s="193" t="s">
        <v>971</v>
      </c>
      <c r="N69" s="193" t="s">
        <v>941</v>
      </c>
      <c r="O69" s="193"/>
      <c r="P69" s="193" t="s">
        <v>1040</v>
      </c>
      <c r="Q69" s="193" t="s">
        <v>943</v>
      </c>
      <c r="R69" s="193" t="s">
        <v>1041</v>
      </c>
      <c r="S69" s="196" t="s">
        <v>1037</v>
      </c>
      <c r="T69" s="193" t="s">
        <v>974</v>
      </c>
      <c r="U69" s="193" t="s">
        <v>947</v>
      </c>
      <c r="V69" s="193" t="s">
        <v>975</v>
      </c>
      <c r="W69" s="193"/>
      <c r="X69" s="193" t="s">
        <v>982</v>
      </c>
    </row>
    <row r="70" spans="1:24">
      <c r="A70" s="193" t="s">
        <v>935</v>
      </c>
      <c r="B70" s="194">
        <v>2</v>
      </c>
      <c r="C70" s="194">
        <v>2025</v>
      </c>
      <c r="D70" s="193" t="s">
        <v>936</v>
      </c>
      <c r="E70" s="193"/>
      <c r="F70" s="193" t="s">
        <v>937</v>
      </c>
      <c r="G70" s="195">
        <v>28.46</v>
      </c>
      <c r="H70" s="193" t="s">
        <v>959</v>
      </c>
      <c r="I70" s="193" t="s">
        <v>820</v>
      </c>
      <c r="J70" s="193"/>
      <c r="K70" s="193" t="s">
        <v>938</v>
      </c>
      <c r="L70" s="193" t="s">
        <v>939</v>
      </c>
      <c r="M70" s="193" t="s">
        <v>983</v>
      </c>
      <c r="N70" s="193" t="s">
        <v>941</v>
      </c>
      <c r="O70" s="193"/>
      <c r="P70" s="193" t="s">
        <v>1042</v>
      </c>
      <c r="Q70" s="193" t="s">
        <v>943</v>
      </c>
      <c r="R70" s="193" t="s">
        <v>1043</v>
      </c>
      <c r="S70" s="196" t="s">
        <v>1037</v>
      </c>
      <c r="T70" s="193" t="s">
        <v>986</v>
      </c>
      <c r="U70" s="193" t="s">
        <v>947</v>
      </c>
      <c r="V70" s="193"/>
      <c r="W70" s="193"/>
      <c r="X70" s="193" t="s">
        <v>987</v>
      </c>
    </row>
    <row r="71" spans="1:24">
      <c r="A71" s="193" t="s">
        <v>935</v>
      </c>
      <c r="B71" s="194">
        <v>2</v>
      </c>
      <c r="C71" s="194">
        <v>2025</v>
      </c>
      <c r="D71" s="193" t="s">
        <v>936</v>
      </c>
      <c r="E71" s="193"/>
      <c r="F71" s="193" t="s">
        <v>994</v>
      </c>
      <c r="G71" s="195">
        <v>21.88</v>
      </c>
      <c r="H71" s="193" t="s">
        <v>959</v>
      </c>
      <c r="I71" s="193" t="s">
        <v>820</v>
      </c>
      <c r="J71" s="193"/>
      <c r="K71" s="193" t="s">
        <v>938</v>
      </c>
      <c r="L71" s="193" t="s">
        <v>939</v>
      </c>
      <c r="M71" s="193" t="s">
        <v>983</v>
      </c>
      <c r="N71" s="193" t="s">
        <v>941</v>
      </c>
      <c r="O71" s="193"/>
      <c r="P71" s="193" t="s">
        <v>1042</v>
      </c>
      <c r="Q71" s="193" t="s">
        <v>943</v>
      </c>
      <c r="R71" s="193" t="s">
        <v>1043</v>
      </c>
      <c r="S71" s="196" t="s">
        <v>1037</v>
      </c>
      <c r="T71" s="193" t="s">
        <v>986</v>
      </c>
      <c r="U71" s="193" t="s">
        <v>947</v>
      </c>
      <c r="V71" s="193"/>
      <c r="W71" s="193"/>
      <c r="X71" s="193" t="s">
        <v>987</v>
      </c>
    </row>
    <row r="72" spans="1:24">
      <c r="A72" s="193" t="s">
        <v>935</v>
      </c>
      <c r="B72" s="194">
        <v>2</v>
      </c>
      <c r="C72" s="194">
        <v>2025</v>
      </c>
      <c r="D72" s="193" t="s">
        <v>936</v>
      </c>
      <c r="E72" s="193"/>
      <c r="F72" s="193" t="s">
        <v>1017</v>
      </c>
      <c r="G72" s="195">
        <v>7.7</v>
      </c>
      <c r="H72" s="193" t="s">
        <v>959</v>
      </c>
      <c r="I72" s="193" t="s">
        <v>820</v>
      </c>
      <c r="J72" s="193"/>
      <c r="K72" s="193" t="s">
        <v>938</v>
      </c>
      <c r="L72" s="193" t="s">
        <v>939</v>
      </c>
      <c r="M72" s="193" t="s">
        <v>983</v>
      </c>
      <c r="N72" s="193" t="s">
        <v>941</v>
      </c>
      <c r="O72" s="193"/>
      <c r="P72" s="193" t="s">
        <v>1042</v>
      </c>
      <c r="Q72" s="193" t="s">
        <v>943</v>
      </c>
      <c r="R72" s="193" t="s">
        <v>1043</v>
      </c>
      <c r="S72" s="196" t="s">
        <v>1037</v>
      </c>
      <c r="T72" s="193" t="s">
        <v>986</v>
      </c>
      <c r="U72" s="193" t="s">
        <v>947</v>
      </c>
      <c r="V72" s="193"/>
      <c r="W72" s="193"/>
      <c r="X72" s="193" t="s">
        <v>987</v>
      </c>
    </row>
    <row r="73" spans="1:24">
      <c r="A73" s="193" t="s">
        <v>935</v>
      </c>
      <c r="B73" s="194">
        <v>3</v>
      </c>
      <c r="C73" s="194">
        <v>2025</v>
      </c>
      <c r="D73" s="193" t="s">
        <v>936</v>
      </c>
      <c r="E73" s="193"/>
      <c r="F73" s="193" t="s">
        <v>937</v>
      </c>
      <c r="G73" s="195">
        <v>-3267.6</v>
      </c>
      <c r="H73" s="193"/>
      <c r="I73" s="193" t="s">
        <v>820</v>
      </c>
      <c r="J73" s="193"/>
      <c r="K73" s="193" t="s">
        <v>938</v>
      </c>
      <c r="L73" s="193" t="s">
        <v>939</v>
      </c>
      <c r="M73" s="193" t="s">
        <v>988</v>
      </c>
      <c r="N73" s="193" t="s">
        <v>941</v>
      </c>
      <c r="O73" s="193"/>
      <c r="P73" s="193" t="s">
        <v>1044</v>
      </c>
      <c r="Q73" s="193" t="s">
        <v>943</v>
      </c>
      <c r="R73" s="193" t="s">
        <v>1041</v>
      </c>
      <c r="S73" s="196" t="s">
        <v>1045</v>
      </c>
      <c r="T73" s="193" t="s">
        <v>974</v>
      </c>
      <c r="U73" s="193" t="s">
        <v>947</v>
      </c>
      <c r="V73" s="193" t="s">
        <v>975</v>
      </c>
      <c r="W73" s="193"/>
      <c r="X73" s="193" t="s">
        <v>977</v>
      </c>
    </row>
    <row r="74" spans="1:24">
      <c r="A74" s="193" t="s">
        <v>935</v>
      </c>
      <c r="B74" s="194">
        <v>3</v>
      </c>
      <c r="C74" s="194">
        <v>2025</v>
      </c>
      <c r="D74" s="193" t="s">
        <v>936</v>
      </c>
      <c r="E74" s="193"/>
      <c r="F74" s="193" t="s">
        <v>937</v>
      </c>
      <c r="G74" s="195">
        <v>-601250</v>
      </c>
      <c r="H74" s="193"/>
      <c r="I74" s="193" t="s">
        <v>820</v>
      </c>
      <c r="J74" s="193"/>
      <c r="K74" s="193" t="s">
        <v>938</v>
      </c>
      <c r="L74" s="193" t="s">
        <v>939</v>
      </c>
      <c r="M74" s="193" t="s">
        <v>988</v>
      </c>
      <c r="N74" s="193" t="s">
        <v>941</v>
      </c>
      <c r="O74" s="193"/>
      <c r="P74" s="193" t="s">
        <v>1044</v>
      </c>
      <c r="Q74" s="193" t="s">
        <v>943</v>
      </c>
      <c r="R74" s="193" t="s">
        <v>1041</v>
      </c>
      <c r="S74" s="196" t="s">
        <v>1045</v>
      </c>
      <c r="T74" s="193" t="s">
        <v>974</v>
      </c>
      <c r="U74" s="193" t="s">
        <v>947</v>
      </c>
      <c r="V74" s="193" t="s">
        <v>975</v>
      </c>
      <c r="W74" s="193"/>
      <c r="X74" s="193" t="s">
        <v>980</v>
      </c>
    </row>
    <row r="75" spans="1:24">
      <c r="A75" s="193" t="s">
        <v>935</v>
      </c>
      <c r="B75" s="194">
        <v>3</v>
      </c>
      <c r="C75" s="194">
        <v>2025</v>
      </c>
      <c r="D75" s="193" t="s">
        <v>936</v>
      </c>
      <c r="E75" s="193"/>
      <c r="F75" s="193" t="s">
        <v>937</v>
      </c>
      <c r="G75" s="195">
        <v>-91905.8</v>
      </c>
      <c r="H75" s="193"/>
      <c r="I75" s="193" t="s">
        <v>820</v>
      </c>
      <c r="J75" s="193"/>
      <c r="K75" s="193" t="s">
        <v>938</v>
      </c>
      <c r="L75" s="193" t="s">
        <v>939</v>
      </c>
      <c r="M75" s="193" t="s">
        <v>988</v>
      </c>
      <c r="N75" s="193" t="s">
        <v>941</v>
      </c>
      <c r="O75" s="193"/>
      <c r="P75" s="193" t="s">
        <v>1044</v>
      </c>
      <c r="Q75" s="193" t="s">
        <v>943</v>
      </c>
      <c r="R75" s="193" t="s">
        <v>1041</v>
      </c>
      <c r="S75" s="196" t="s">
        <v>1045</v>
      </c>
      <c r="T75" s="193" t="s">
        <v>974</v>
      </c>
      <c r="U75" s="193" t="s">
        <v>947</v>
      </c>
      <c r="V75" s="193" t="s">
        <v>975</v>
      </c>
      <c r="W75" s="193"/>
      <c r="X75" s="193" t="s">
        <v>976</v>
      </c>
    </row>
    <row r="76" spans="1:24">
      <c r="A76" s="193" t="s">
        <v>935</v>
      </c>
      <c r="B76" s="194">
        <v>3</v>
      </c>
      <c r="C76" s="194">
        <v>2025</v>
      </c>
      <c r="D76" s="193" t="s">
        <v>936</v>
      </c>
      <c r="E76" s="193"/>
      <c r="F76" s="193" t="s">
        <v>937</v>
      </c>
      <c r="G76" s="195">
        <v>-2995.3</v>
      </c>
      <c r="H76" s="193"/>
      <c r="I76" s="193" t="s">
        <v>820</v>
      </c>
      <c r="J76" s="193"/>
      <c r="K76" s="193" t="s">
        <v>938</v>
      </c>
      <c r="L76" s="193" t="s">
        <v>939</v>
      </c>
      <c r="M76" s="193" t="s">
        <v>988</v>
      </c>
      <c r="N76" s="193" t="s">
        <v>941</v>
      </c>
      <c r="O76" s="193"/>
      <c r="P76" s="193" t="s">
        <v>1044</v>
      </c>
      <c r="Q76" s="193" t="s">
        <v>943</v>
      </c>
      <c r="R76" s="193" t="s">
        <v>1041</v>
      </c>
      <c r="S76" s="196" t="s">
        <v>1045</v>
      </c>
      <c r="T76" s="193" t="s">
        <v>974</v>
      </c>
      <c r="U76" s="193" t="s">
        <v>947</v>
      </c>
      <c r="V76" s="193" t="s">
        <v>975</v>
      </c>
      <c r="W76" s="193"/>
      <c r="X76" s="193" t="s">
        <v>982</v>
      </c>
    </row>
    <row r="77" spans="1:24">
      <c r="A77" s="193" t="s">
        <v>935</v>
      </c>
      <c r="B77" s="194">
        <v>3</v>
      </c>
      <c r="C77" s="194">
        <v>2025</v>
      </c>
      <c r="D77" s="193" t="s">
        <v>936</v>
      </c>
      <c r="E77" s="193"/>
      <c r="F77" s="193" t="s">
        <v>937</v>
      </c>
      <c r="G77" s="195">
        <v>350.16</v>
      </c>
      <c r="H77" s="193"/>
      <c r="I77" s="193" t="s">
        <v>820</v>
      </c>
      <c r="J77" s="193"/>
      <c r="K77" s="193" t="s">
        <v>938</v>
      </c>
      <c r="L77" s="193" t="s">
        <v>939</v>
      </c>
      <c r="M77" s="193" t="s">
        <v>940</v>
      </c>
      <c r="N77" s="193" t="s">
        <v>941</v>
      </c>
      <c r="O77" s="193"/>
      <c r="P77" s="193" t="s">
        <v>1046</v>
      </c>
      <c r="Q77" s="193" t="s">
        <v>943</v>
      </c>
      <c r="R77" s="193" t="s">
        <v>1047</v>
      </c>
      <c r="S77" s="196" t="s">
        <v>1048</v>
      </c>
      <c r="T77" s="193" t="s">
        <v>946</v>
      </c>
      <c r="U77" s="193" t="s">
        <v>947</v>
      </c>
      <c r="V77" s="193"/>
      <c r="W77" s="193"/>
      <c r="X77" s="193" t="s">
        <v>948</v>
      </c>
    </row>
    <row r="78" spans="1:24">
      <c r="A78" s="193" t="s">
        <v>935</v>
      </c>
      <c r="B78" s="194">
        <v>3</v>
      </c>
      <c r="C78" s="194">
        <v>2025</v>
      </c>
      <c r="D78" s="193" t="s">
        <v>936</v>
      </c>
      <c r="E78" s="193"/>
      <c r="F78" s="193" t="s">
        <v>1049</v>
      </c>
      <c r="G78" s="195">
        <v>339.94</v>
      </c>
      <c r="H78" s="193"/>
      <c r="I78" s="193" t="s">
        <v>820</v>
      </c>
      <c r="J78" s="193"/>
      <c r="K78" s="193" t="s">
        <v>938</v>
      </c>
      <c r="L78" s="193" t="s">
        <v>939</v>
      </c>
      <c r="M78" s="193" t="s">
        <v>940</v>
      </c>
      <c r="N78" s="193" t="s">
        <v>941</v>
      </c>
      <c r="O78" s="193"/>
      <c r="P78" s="193" t="s">
        <v>1046</v>
      </c>
      <c r="Q78" s="193" t="s">
        <v>943</v>
      </c>
      <c r="R78" s="193" t="s">
        <v>1047</v>
      </c>
      <c r="S78" s="196" t="s">
        <v>1048</v>
      </c>
      <c r="T78" s="193" t="s">
        <v>946</v>
      </c>
      <c r="U78" s="193" t="s">
        <v>947</v>
      </c>
      <c r="V78" s="193"/>
      <c r="W78" s="193"/>
      <c r="X78" s="193" t="s">
        <v>948</v>
      </c>
    </row>
    <row r="79" spans="1:24">
      <c r="A79" s="193" t="s">
        <v>935</v>
      </c>
      <c r="B79" s="194">
        <v>3</v>
      </c>
      <c r="C79" s="194">
        <v>2025</v>
      </c>
      <c r="D79" s="193" t="s">
        <v>936</v>
      </c>
      <c r="E79" s="193"/>
      <c r="F79" s="193" t="s">
        <v>937</v>
      </c>
      <c r="G79" s="195">
        <v>23613.3</v>
      </c>
      <c r="H79" s="193"/>
      <c r="I79" s="193" t="s">
        <v>820</v>
      </c>
      <c r="J79" s="193"/>
      <c r="K79" s="193" t="s">
        <v>938</v>
      </c>
      <c r="L79" s="193" t="s">
        <v>939</v>
      </c>
      <c r="M79" s="193" t="s">
        <v>997</v>
      </c>
      <c r="N79" s="193" t="s">
        <v>941</v>
      </c>
      <c r="O79" s="193"/>
      <c r="P79" s="193" t="s">
        <v>1050</v>
      </c>
      <c r="Q79" s="193" t="s">
        <v>943</v>
      </c>
      <c r="R79" s="193" t="s">
        <v>1051</v>
      </c>
      <c r="S79" s="196" t="s">
        <v>1048</v>
      </c>
      <c r="T79" s="193" t="s">
        <v>1001</v>
      </c>
      <c r="U79" s="193" t="s">
        <v>947</v>
      </c>
      <c r="V79" s="193"/>
      <c r="W79" s="193"/>
      <c r="X79" s="193" t="s">
        <v>1002</v>
      </c>
    </row>
    <row r="80" spans="1:24">
      <c r="A80" s="193" t="s">
        <v>935</v>
      </c>
      <c r="B80" s="194">
        <v>3</v>
      </c>
      <c r="C80" s="194">
        <v>2025</v>
      </c>
      <c r="D80" s="193" t="s">
        <v>936</v>
      </c>
      <c r="E80" s="193"/>
      <c r="F80" s="193" t="s">
        <v>937</v>
      </c>
      <c r="G80" s="195">
        <v>0</v>
      </c>
      <c r="H80" s="193"/>
      <c r="I80" s="193" t="s">
        <v>820</v>
      </c>
      <c r="J80" s="193"/>
      <c r="K80" s="193" t="s">
        <v>938</v>
      </c>
      <c r="L80" s="193" t="s">
        <v>939</v>
      </c>
      <c r="M80" s="193" t="s">
        <v>997</v>
      </c>
      <c r="N80" s="193" t="s">
        <v>941</v>
      </c>
      <c r="O80" s="193"/>
      <c r="P80" s="193" t="s">
        <v>1052</v>
      </c>
      <c r="Q80" s="193" t="s">
        <v>943</v>
      </c>
      <c r="R80" s="193" t="s">
        <v>1053</v>
      </c>
      <c r="S80" s="196" t="s">
        <v>1048</v>
      </c>
      <c r="T80" s="193" t="s">
        <v>1005</v>
      </c>
      <c r="U80" s="193" t="s">
        <v>947</v>
      </c>
      <c r="V80" s="193"/>
      <c r="W80" s="193"/>
      <c r="X80" s="193" t="s">
        <v>1006</v>
      </c>
    </row>
    <row r="81" spans="1:24">
      <c r="A81" s="193" t="s">
        <v>935</v>
      </c>
      <c r="B81" s="194">
        <v>3</v>
      </c>
      <c r="C81" s="194">
        <v>2025</v>
      </c>
      <c r="D81" s="193" t="s">
        <v>936</v>
      </c>
      <c r="E81" s="193"/>
      <c r="F81" s="193" t="s">
        <v>937</v>
      </c>
      <c r="G81" s="195">
        <v>1861.55</v>
      </c>
      <c r="H81" s="193"/>
      <c r="I81" s="193" t="s">
        <v>820</v>
      </c>
      <c r="J81" s="193"/>
      <c r="K81" s="193" t="s">
        <v>938</v>
      </c>
      <c r="L81" s="193" t="s">
        <v>939</v>
      </c>
      <c r="M81" s="193" t="s">
        <v>997</v>
      </c>
      <c r="N81" s="193" t="s">
        <v>941</v>
      </c>
      <c r="O81" s="193"/>
      <c r="P81" s="193" t="s">
        <v>1054</v>
      </c>
      <c r="Q81" s="193" t="s">
        <v>943</v>
      </c>
      <c r="R81" s="193" t="s">
        <v>1055</v>
      </c>
      <c r="S81" s="196" t="s">
        <v>1056</v>
      </c>
      <c r="T81" s="193" t="s">
        <v>1001</v>
      </c>
      <c r="U81" s="193" t="s">
        <v>947</v>
      </c>
      <c r="V81" s="193"/>
      <c r="W81" s="193"/>
      <c r="X81" s="193" t="s">
        <v>1002</v>
      </c>
    </row>
    <row r="82" spans="1:24">
      <c r="A82" s="193" t="s">
        <v>935</v>
      </c>
      <c r="B82" s="194">
        <v>3</v>
      </c>
      <c r="C82" s="194">
        <v>2025</v>
      </c>
      <c r="D82" s="193" t="s">
        <v>936</v>
      </c>
      <c r="E82" s="193"/>
      <c r="F82" s="193" t="s">
        <v>937</v>
      </c>
      <c r="G82" s="195">
        <v>0</v>
      </c>
      <c r="H82" s="193"/>
      <c r="I82" s="193" t="s">
        <v>820</v>
      </c>
      <c r="J82" s="193"/>
      <c r="K82" s="193" t="s">
        <v>938</v>
      </c>
      <c r="L82" s="193" t="s">
        <v>939</v>
      </c>
      <c r="M82" s="193" t="s">
        <v>997</v>
      </c>
      <c r="N82" s="193" t="s">
        <v>941</v>
      </c>
      <c r="O82" s="193"/>
      <c r="P82" s="193" t="s">
        <v>1057</v>
      </c>
      <c r="Q82" s="193" t="s">
        <v>943</v>
      </c>
      <c r="R82" s="193" t="s">
        <v>1058</v>
      </c>
      <c r="S82" s="196" t="s">
        <v>1056</v>
      </c>
      <c r="T82" s="193" t="s">
        <v>1005</v>
      </c>
      <c r="U82" s="193" t="s">
        <v>947</v>
      </c>
      <c r="V82" s="193"/>
      <c r="W82" s="193"/>
      <c r="X82" s="193" t="s">
        <v>1006</v>
      </c>
    </row>
    <row r="83" spans="1:24">
      <c r="A83" s="193" t="s">
        <v>935</v>
      </c>
      <c r="B83" s="194">
        <v>3</v>
      </c>
      <c r="C83" s="194">
        <v>2025</v>
      </c>
      <c r="D83" s="193" t="s">
        <v>936</v>
      </c>
      <c r="E83" s="193"/>
      <c r="F83" s="193" t="s">
        <v>937</v>
      </c>
      <c r="G83" s="195">
        <v>1.78</v>
      </c>
      <c r="H83" s="193"/>
      <c r="I83" s="193" t="s">
        <v>820</v>
      </c>
      <c r="J83" s="193"/>
      <c r="K83" s="193" t="s">
        <v>938</v>
      </c>
      <c r="L83" s="193" t="s">
        <v>939</v>
      </c>
      <c r="M83" s="193" t="s">
        <v>954</v>
      </c>
      <c r="N83" s="193" t="s">
        <v>941</v>
      </c>
      <c r="O83" s="193"/>
      <c r="P83" s="193" t="s">
        <v>1059</v>
      </c>
      <c r="Q83" s="193" t="s">
        <v>943</v>
      </c>
      <c r="R83" s="193" t="s">
        <v>1060</v>
      </c>
      <c r="S83" s="196" t="s">
        <v>1048</v>
      </c>
      <c r="T83" s="193" t="s">
        <v>952</v>
      </c>
      <c r="U83" s="193" t="s">
        <v>947</v>
      </c>
      <c r="V83" s="193"/>
      <c r="W83" s="193"/>
      <c r="X83" s="193" t="s">
        <v>953</v>
      </c>
    </row>
    <row r="84" spans="1:24">
      <c r="A84" s="193" t="s">
        <v>935</v>
      </c>
      <c r="B84" s="194">
        <v>3</v>
      </c>
      <c r="C84" s="194">
        <v>2025</v>
      </c>
      <c r="D84" s="193" t="s">
        <v>936</v>
      </c>
      <c r="E84" s="193"/>
      <c r="F84" s="193" t="s">
        <v>937</v>
      </c>
      <c r="G84" s="195">
        <v>11.94</v>
      </c>
      <c r="H84" s="193"/>
      <c r="I84" s="193" t="s">
        <v>820</v>
      </c>
      <c r="J84" s="193"/>
      <c r="K84" s="193" t="s">
        <v>938</v>
      </c>
      <c r="L84" s="193" t="s">
        <v>939</v>
      </c>
      <c r="M84" s="193" t="s">
        <v>955</v>
      </c>
      <c r="N84" s="193" t="s">
        <v>941</v>
      </c>
      <c r="O84" s="193"/>
      <c r="P84" s="193" t="s">
        <v>1059</v>
      </c>
      <c r="Q84" s="193" t="s">
        <v>943</v>
      </c>
      <c r="R84" s="193" t="s">
        <v>1060</v>
      </c>
      <c r="S84" s="196" t="s">
        <v>1048</v>
      </c>
      <c r="T84" s="193" t="s">
        <v>952</v>
      </c>
      <c r="U84" s="193" t="s">
        <v>947</v>
      </c>
      <c r="V84" s="193"/>
      <c r="W84" s="193"/>
      <c r="X84" s="193" t="s">
        <v>953</v>
      </c>
    </row>
    <row r="85" spans="1:24">
      <c r="A85" s="193" t="s">
        <v>935</v>
      </c>
      <c r="B85" s="194">
        <v>3</v>
      </c>
      <c r="C85" s="194">
        <v>2025</v>
      </c>
      <c r="D85" s="193" t="s">
        <v>936</v>
      </c>
      <c r="E85" s="193"/>
      <c r="F85" s="193" t="s">
        <v>937</v>
      </c>
      <c r="G85" s="195">
        <v>94.2</v>
      </c>
      <c r="H85" s="193"/>
      <c r="I85" s="193" t="s">
        <v>820</v>
      </c>
      <c r="J85" s="193"/>
      <c r="K85" s="193" t="s">
        <v>938</v>
      </c>
      <c r="L85" s="193" t="s">
        <v>939</v>
      </c>
      <c r="M85" s="193" t="s">
        <v>956</v>
      </c>
      <c r="N85" s="193" t="s">
        <v>941</v>
      </c>
      <c r="O85" s="193"/>
      <c r="P85" s="193" t="s">
        <v>1059</v>
      </c>
      <c r="Q85" s="193" t="s">
        <v>943</v>
      </c>
      <c r="R85" s="193" t="s">
        <v>1060</v>
      </c>
      <c r="S85" s="196" t="s">
        <v>1048</v>
      </c>
      <c r="T85" s="193" t="s">
        <v>952</v>
      </c>
      <c r="U85" s="193" t="s">
        <v>947</v>
      </c>
      <c r="V85" s="193"/>
      <c r="W85" s="193"/>
      <c r="X85" s="193" t="s">
        <v>953</v>
      </c>
    </row>
    <row r="86" spans="1:24">
      <c r="A86" s="193" t="s">
        <v>935</v>
      </c>
      <c r="B86" s="194">
        <v>3</v>
      </c>
      <c r="C86" s="194">
        <v>2025</v>
      </c>
      <c r="D86" s="193" t="s">
        <v>936</v>
      </c>
      <c r="E86" s="193"/>
      <c r="F86" s="193" t="s">
        <v>937</v>
      </c>
      <c r="G86" s="195">
        <v>1.35</v>
      </c>
      <c r="H86" s="193"/>
      <c r="I86" s="193" t="s">
        <v>820</v>
      </c>
      <c r="J86" s="193"/>
      <c r="K86" s="193" t="s">
        <v>938</v>
      </c>
      <c r="L86" s="193" t="s">
        <v>939</v>
      </c>
      <c r="M86" s="193" t="s">
        <v>957</v>
      </c>
      <c r="N86" s="193" t="s">
        <v>941</v>
      </c>
      <c r="O86" s="193"/>
      <c r="P86" s="193" t="s">
        <v>1059</v>
      </c>
      <c r="Q86" s="193" t="s">
        <v>943</v>
      </c>
      <c r="R86" s="193" t="s">
        <v>1060</v>
      </c>
      <c r="S86" s="196" t="s">
        <v>1048</v>
      </c>
      <c r="T86" s="193" t="s">
        <v>952</v>
      </c>
      <c r="U86" s="193" t="s">
        <v>947</v>
      </c>
      <c r="V86" s="193"/>
      <c r="W86" s="193"/>
      <c r="X86" s="193" t="s">
        <v>953</v>
      </c>
    </row>
    <row r="87" spans="1:24">
      <c r="A87" s="193" t="s">
        <v>935</v>
      </c>
      <c r="B87" s="194">
        <v>3</v>
      </c>
      <c r="C87" s="194">
        <v>2025</v>
      </c>
      <c r="D87" s="193" t="s">
        <v>936</v>
      </c>
      <c r="E87" s="193"/>
      <c r="F87" s="193" t="s">
        <v>937</v>
      </c>
      <c r="G87" s="195">
        <v>163.85</v>
      </c>
      <c r="H87" s="193"/>
      <c r="I87" s="193" t="s">
        <v>820</v>
      </c>
      <c r="J87" s="193"/>
      <c r="K87" s="193" t="s">
        <v>938</v>
      </c>
      <c r="L87" s="193" t="s">
        <v>939</v>
      </c>
      <c r="M87" s="193" t="s">
        <v>958</v>
      </c>
      <c r="N87" s="193" t="s">
        <v>941</v>
      </c>
      <c r="O87" s="193"/>
      <c r="P87" s="193" t="s">
        <v>1059</v>
      </c>
      <c r="Q87" s="193" t="s">
        <v>943</v>
      </c>
      <c r="R87" s="193" t="s">
        <v>1060</v>
      </c>
      <c r="S87" s="196" t="s">
        <v>1048</v>
      </c>
      <c r="T87" s="193" t="s">
        <v>952</v>
      </c>
      <c r="U87" s="193" t="s">
        <v>947</v>
      </c>
      <c r="V87" s="193"/>
      <c r="W87" s="193"/>
      <c r="X87" s="193" t="s">
        <v>953</v>
      </c>
    </row>
    <row r="88" spans="1:24">
      <c r="A88" s="193" t="s">
        <v>935</v>
      </c>
      <c r="B88" s="194">
        <v>3</v>
      </c>
      <c r="C88" s="194">
        <v>2025</v>
      </c>
      <c r="D88" s="193" t="s">
        <v>936</v>
      </c>
      <c r="E88" s="193"/>
      <c r="F88" s="193" t="s">
        <v>1049</v>
      </c>
      <c r="G88" s="195">
        <v>1.31</v>
      </c>
      <c r="H88" s="193"/>
      <c r="I88" s="193" t="s">
        <v>820</v>
      </c>
      <c r="J88" s="193"/>
      <c r="K88" s="193" t="s">
        <v>938</v>
      </c>
      <c r="L88" s="193" t="s">
        <v>939</v>
      </c>
      <c r="M88" s="193" t="s">
        <v>957</v>
      </c>
      <c r="N88" s="193" t="s">
        <v>941</v>
      </c>
      <c r="O88" s="193"/>
      <c r="P88" s="193" t="s">
        <v>1059</v>
      </c>
      <c r="Q88" s="193" t="s">
        <v>943</v>
      </c>
      <c r="R88" s="193" t="s">
        <v>1060</v>
      </c>
      <c r="S88" s="196" t="s">
        <v>1048</v>
      </c>
      <c r="T88" s="193" t="s">
        <v>952</v>
      </c>
      <c r="U88" s="193" t="s">
        <v>947</v>
      </c>
      <c r="V88" s="193"/>
      <c r="W88" s="193"/>
      <c r="X88" s="193" t="s">
        <v>953</v>
      </c>
    </row>
    <row r="89" spans="1:24">
      <c r="A89" s="193" t="s">
        <v>935</v>
      </c>
      <c r="B89" s="194">
        <v>3</v>
      </c>
      <c r="C89" s="194">
        <v>2025</v>
      </c>
      <c r="D89" s="193" t="s">
        <v>936</v>
      </c>
      <c r="E89" s="193"/>
      <c r="F89" s="193" t="s">
        <v>1049</v>
      </c>
      <c r="G89" s="195">
        <v>159.06</v>
      </c>
      <c r="H89" s="193"/>
      <c r="I89" s="193" t="s">
        <v>820</v>
      </c>
      <c r="J89" s="193"/>
      <c r="K89" s="193" t="s">
        <v>938</v>
      </c>
      <c r="L89" s="193" t="s">
        <v>939</v>
      </c>
      <c r="M89" s="193" t="s">
        <v>958</v>
      </c>
      <c r="N89" s="193" t="s">
        <v>941</v>
      </c>
      <c r="O89" s="193"/>
      <c r="P89" s="193" t="s">
        <v>1059</v>
      </c>
      <c r="Q89" s="193" t="s">
        <v>943</v>
      </c>
      <c r="R89" s="193" t="s">
        <v>1060</v>
      </c>
      <c r="S89" s="196" t="s">
        <v>1048</v>
      </c>
      <c r="T89" s="193" t="s">
        <v>952</v>
      </c>
      <c r="U89" s="193" t="s">
        <v>947</v>
      </c>
      <c r="V89" s="193"/>
      <c r="W89" s="193"/>
      <c r="X89" s="193" t="s">
        <v>953</v>
      </c>
    </row>
    <row r="90" spans="1:24">
      <c r="A90" s="193" t="s">
        <v>935</v>
      </c>
      <c r="B90" s="194">
        <v>3</v>
      </c>
      <c r="C90" s="194">
        <v>2025</v>
      </c>
      <c r="D90" s="193" t="s">
        <v>936</v>
      </c>
      <c r="E90" s="193"/>
      <c r="F90" s="193" t="s">
        <v>1049</v>
      </c>
      <c r="G90" s="195">
        <v>91.44</v>
      </c>
      <c r="H90" s="193"/>
      <c r="I90" s="193" t="s">
        <v>820</v>
      </c>
      <c r="J90" s="193"/>
      <c r="K90" s="193" t="s">
        <v>938</v>
      </c>
      <c r="L90" s="193" t="s">
        <v>939</v>
      </c>
      <c r="M90" s="193" t="s">
        <v>956</v>
      </c>
      <c r="N90" s="193" t="s">
        <v>941</v>
      </c>
      <c r="O90" s="193"/>
      <c r="P90" s="193" t="s">
        <v>1059</v>
      </c>
      <c r="Q90" s="193" t="s">
        <v>943</v>
      </c>
      <c r="R90" s="193" t="s">
        <v>1060</v>
      </c>
      <c r="S90" s="196" t="s">
        <v>1048</v>
      </c>
      <c r="T90" s="193" t="s">
        <v>952</v>
      </c>
      <c r="U90" s="193" t="s">
        <v>947</v>
      </c>
      <c r="V90" s="193"/>
      <c r="W90" s="193"/>
      <c r="X90" s="193" t="s">
        <v>953</v>
      </c>
    </row>
    <row r="91" spans="1:24">
      <c r="A91" s="193" t="s">
        <v>935</v>
      </c>
      <c r="B91" s="194">
        <v>3</v>
      </c>
      <c r="C91" s="194">
        <v>2025</v>
      </c>
      <c r="D91" s="193" t="s">
        <v>936</v>
      </c>
      <c r="E91" s="193"/>
      <c r="F91" s="193" t="s">
        <v>1049</v>
      </c>
      <c r="G91" s="195">
        <v>11.59</v>
      </c>
      <c r="H91" s="193"/>
      <c r="I91" s="193" t="s">
        <v>820</v>
      </c>
      <c r="J91" s="193"/>
      <c r="K91" s="193" t="s">
        <v>938</v>
      </c>
      <c r="L91" s="193" t="s">
        <v>939</v>
      </c>
      <c r="M91" s="193" t="s">
        <v>955</v>
      </c>
      <c r="N91" s="193" t="s">
        <v>941</v>
      </c>
      <c r="O91" s="193"/>
      <c r="P91" s="193" t="s">
        <v>1059</v>
      </c>
      <c r="Q91" s="193" t="s">
        <v>943</v>
      </c>
      <c r="R91" s="193" t="s">
        <v>1060</v>
      </c>
      <c r="S91" s="196" t="s">
        <v>1048</v>
      </c>
      <c r="T91" s="193" t="s">
        <v>952</v>
      </c>
      <c r="U91" s="193" t="s">
        <v>947</v>
      </c>
      <c r="V91" s="193"/>
      <c r="W91" s="193"/>
      <c r="X91" s="193" t="s">
        <v>953</v>
      </c>
    </row>
    <row r="92" spans="1:24">
      <c r="A92" s="193" t="s">
        <v>935</v>
      </c>
      <c r="B92" s="194">
        <v>3</v>
      </c>
      <c r="C92" s="194">
        <v>2025</v>
      </c>
      <c r="D92" s="193" t="s">
        <v>936</v>
      </c>
      <c r="E92" s="193"/>
      <c r="F92" s="193" t="s">
        <v>1049</v>
      </c>
      <c r="G92" s="195">
        <v>1.73</v>
      </c>
      <c r="H92" s="193"/>
      <c r="I92" s="193" t="s">
        <v>820</v>
      </c>
      <c r="J92" s="193"/>
      <c r="K92" s="193" t="s">
        <v>938</v>
      </c>
      <c r="L92" s="193" t="s">
        <v>939</v>
      </c>
      <c r="M92" s="193" t="s">
        <v>954</v>
      </c>
      <c r="N92" s="193" t="s">
        <v>941</v>
      </c>
      <c r="O92" s="193"/>
      <c r="P92" s="193" t="s">
        <v>1059</v>
      </c>
      <c r="Q92" s="193" t="s">
        <v>943</v>
      </c>
      <c r="R92" s="193" t="s">
        <v>1060</v>
      </c>
      <c r="S92" s="196" t="s">
        <v>1048</v>
      </c>
      <c r="T92" s="193" t="s">
        <v>952</v>
      </c>
      <c r="U92" s="193" t="s">
        <v>947</v>
      </c>
      <c r="V92" s="193"/>
      <c r="W92" s="193"/>
      <c r="X92" s="193" t="s">
        <v>953</v>
      </c>
    </row>
    <row r="93" spans="1:24">
      <c r="A93" s="193" t="s">
        <v>935</v>
      </c>
      <c r="B93" s="194">
        <v>3</v>
      </c>
      <c r="C93" s="194">
        <v>2025</v>
      </c>
      <c r="D93" s="193" t="s">
        <v>936</v>
      </c>
      <c r="E93" s="193"/>
      <c r="F93" s="193" t="s">
        <v>937</v>
      </c>
      <c r="G93" s="195">
        <v>49564.4</v>
      </c>
      <c r="H93" s="193"/>
      <c r="I93" s="193" t="s">
        <v>820</v>
      </c>
      <c r="J93" s="193"/>
      <c r="K93" s="193" t="s">
        <v>938</v>
      </c>
      <c r="L93" s="193" t="s">
        <v>939</v>
      </c>
      <c r="M93" s="193" t="s">
        <v>997</v>
      </c>
      <c r="N93" s="193" t="s">
        <v>941</v>
      </c>
      <c r="O93" s="193"/>
      <c r="P93" s="193" t="s">
        <v>1061</v>
      </c>
      <c r="Q93" s="193" t="s">
        <v>943</v>
      </c>
      <c r="R93" s="193" t="s">
        <v>1062</v>
      </c>
      <c r="S93" s="196" t="s">
        <v>1063</v>
      </c>
      <c r="T93" s="193" t="s">
        <v>1001</v>
      </c>
      <c r="U93" s="193" t="s">
        <v>947</v>
      </c>
      <c r="V93" s="193"/>
      <c r="W93" s="193"/>
      <c r="X93" s="193" t="s">
        <v>1002</v>
      </c>
    </row>
    <row r="94" spans="1:24">
      <c r="A94" s="193" t="s">
        <v>935</v>
      </c>
      <c r="B94" s="194">
        <v>3</v>
      </c>
      <c r="C94" s="194">
        <v>2025</v>
      </c>
      <c r="D94" s="193" t="s">
        <v>936</v>
      </c>
      <c r="E94" s="193"/>
      <c r="F94" s="193" t="s">
        <v>937</v>
      </c>
      <c r="G94" s="195">
        <v>0</v>
      </c>
      <c r="H94" s="193"/>
      <c r="I94" s="193" t="s">
        <v>820</v>
      </c>
      <c r="J94" s="193"/>
      <c r="K94" s="193" t="s">
        <v>938</v>
      </c>
      <c r="L94" s="193" t="s">
        <v>939</v>
      </c>
      <c r="M94" s="193" t="s">
        <v>997</v>
      </c>
      <c r="N94" s="193" t="s">
        <v>941</v>
      </c>
      <c r="O94" s="193"/>
      <c r="P94" s="193" t="s">
        <v>1064</v>
      </c>
      <c r="Q94" s="193" t="s">
        <v>943</v>
      </c>
      <c r="R94" s="193" t="s">
        <v>1065</v>
      </c>
      <c r="S94" s="196" t="s">
        <v>1063</v>
      </c>
      <c r="T94" s="193" t="s">
        <v>1005</v>
      </c>
      <c r="U94" s="193" t="s">
        <v>947</v>
      </c>
      <c r="V94" s="193"/>
      <c r="W94" s="193"/>
      <c r="X94" s="193" t="s">
        <v>1006</v>
      </c>
    </row>
    <row r="95" spans="1:24">
      <c r="A95" s="193" t="s">
        <v>935</v>
      </c>
      <c r="B95" s="194">
        <v>3</v>
      </c>
      <c r="C95" s="194">
        <v>2025</v>
      </c>
      <c r="D95" s="193" t="s">
        <v>936</v>
      </c>
      <c r="E95" s="193"/>
      <c r="F95" s="193" t="s">
        <v>1049</v>
      </c>
      <c r="G95" s="195">
        <v>509.92</v>
      </c>
      <c r="H95" s="193"/>
      <c r="I95" s="193" t="s">
        <v>820</v>
      </c>
      <c r="J95" s="193"/>
      <c r="K95" s="193" t="s">
        <v>938</v>
      </c>
      <c r="L95" s="193" t="s">
        <v>939</v>
      </c>
      <c r="M95" s="193" t="s">
        <v>940</v>
      </c>
      <c r="N95" s="193" t="s">
        <v>941</v>
      </c>
      <c r="O95" s="193"/>
      <c r="P95" s="193" t="s">
        <v>1066</v>
      </c>
      <c r="Q95" s="193" t="s">
        <v>943</v>
      </c>
      <c r="R95" s="193" t="s">
        <v>1067</v>
      </c>
      <c r="S95" s="196" t="s">
        <v>1068</v>
      </c>
      <c r="T95" s="193" t="s">
        <v>946</v>
      </c>
      <c r="U95" s="193" t="s">
        <v>947</v>
      </c>
      <c r="V95" s="193"/>
      <c r="W95" s="193"/>
      <c r="X95" s="193" t="s">
        <v>948</v>
      </c>
    </row>
    <row r="96" spans="1:24">
      <c r="A96" s="193" t="s">
        <v>935</v>
      </c>
      <c r="B96" s="194">
        <v>3</v>
      </c>
      <c r="C96" s="194">
        <v>2025</v>
      </c>
      <c r="D96" s="193" t="s">
        <v>936</v>
      </c>
      <c r="E96" s="193"/>
      <c r="F96" s="193" t="s">
        <v>937</v>
      </c>
      <c r="G96" s="195">
        <v>350.15</v>
      </c>
      <c r="H96" s="193"/>
      <c r="I96" s="193" t="s">
        <v>820</v>
      </c>
      <c r="J96" s="193"/>
      <c r="K96" s="193" t="s">
        <v>938</v>
      </c>
      <c r="L96" s="193" t="s">
        <v>939</v>
      </c>
      <c r="M96" s="193" t="s">
        <v>940</v>
      </c>
      <c r="N96" s="193" t="s">
        <v>941</v>
      </c>
      <c r="O96" s="193"/>
      <c r="P96" s="193" t="s">
        <v>1066</v>
      </c>
      <c r="Q96" s="193" t="s">
        <v>943</v>
      </c>
      <c r="R96" s="193" t="s">
        <v>1067</v>
      </c>
      <c r="S96" s="196" t="s">
        <v>1068</v>
      </c>
      <c r="T96" s="193" t="s">
        <v>946</v>
      </c>
      <c r="U96" s="193" t="s">
        <v>947</v>
      </c>
      <c r="V96" s="193"/>
      <c r="W96" s="193"/>
      <c r="X96" s="193" t="s">
        <v>948</v>
      </c>
    </row>
    <row r="97" spans="1:24">
      <c r="A97" s="193" t="s">
        <v>935</v>
      </c>
      <c r="B97" s="194">
        <v>3</v>
      </c>
      <c r="C97" s="194">
        <v>2025</v>
      </c>
      <c r="D97" s="193" t="s">
        <v>936</v>
      </c>
      <c r="E97" s="193"/>
      <c r="F97" s="193" t="s">
        <v>1017</v>
      </c>
      <c r="G97" s="195">
        <v>162.38999999999999</v>
      </c>
      <c r="H97" s="193"/>
      <c r="I97" s="193" t="s">
        <v>820</v>
      </c>
      <c r="J97" s="193"/>
      <c r="K97" s="193" t="s">
        <v>938</v>
      </c>
      <c r="L97" s="193" t="s">
        <v>939</v>
      </c>
      <c r="M97" s="193" t="s">
        <v>940</v>
      </c>
      <c r="N97" s="193" t="s">
        <v>941</v>
      </c>
      <c r="O97" s="193"/>
      <c r="P97" s="193" t="s">
        <v>1066</v>
      </c>
      <c r="Q97" s="193" t="s">
        <v>943</v>
      </c>
      <c r="R97" s="193" t="s">
        <v>1067</v>
      </c>
      <c r="S97" s="196" t="s">
        <v>1068</v>
      </c>
      <c r="T97" s="193" t="s">
        <v>946</v>
      </c>
      <c r="U97" s="193" t="s">
        <v>947</v>
      </c>
      <c r="V97" s="193"/>
      <c r="W97" s="193"/>
      <c r="X97" s="193" t="s">
        <v>948</v>
      </c>
    </row>
    <row r="98" spans="1:24">
      <c r="A98" s="193" t="s">
        <v>935</v>
      </c>
      <c r="B98" s="194">
        <v>3</v>
      </c>
      <c r="C98" s="194">
        <v>2025</v>
      </c>
      <c r="D98" s="193" t="s">
        <v>936</v>
      </c>
      <c r="E98" s="193"/>
      <c r="F98" s="193" t="s">
        <v>937</v>
      </c>
      <c r="G98" s="195">
        <v>85960.17</v>
      </c>
      <c r="H98" s="193"/>
      <c r="I98" s="193" t="s">
        <v>820</v>
      </c>
      <c r="J98" s="193"/>
      <c r="K98" s="193" t="s">
        <v>938</v>
      </c>
      <c r="L98" s="193" t="s">
        <v>939</v>
      </c>
      <c r="M98" s="193" t="s">
        <v>997</v>
      </c>
      <c r="N98" s="193" t="s">
        <v>941</v>
      </c>
      <c r="O98" s="193"/>
      <c r="P98" s="193" t="s">
        <v>1069</v>
      </c>
      <c r="Q98" s="193" t="s">
        <v>943</v>
      </c>
      <c r="R98" s="193" t="s">
        <v>1070</v>
      </c>
      <c r="S98" s="196" t="s">
        <v>1068</v>
      </c>
      <c r="T98" s="193" t="s">
        <v>1001</v>
      </c>
      <c r="U98" s="193" t="s">
        <v>947</v>
      </c>
      <c r="V98" s="193"/>
      <c r="W98" s="193"/>
      <c r="X98" s="193" t="s">
        <v>1002</v>
      </c>
    </row>
    <row r="99" spans="1:24">
      <c r="A99" s="193" t="s">
        <v>935</v>
      </c>
      <c r="B99" s="194">
        <v>3</v>
      </c>
      <c r="C99" s="194">
        <v>2025</v>
      </c>
      <c r="D99" s="193" t="s">
        <v>936</v>
      </c>
      <c r="E99" s="193"/>
      <c r="F99" s="193" t="s">
        <v>937</v>
      </c>
      <c r="G99" s="195">
        <v>0</v>
      </c>
      <c r="H99" s="193"/>
      <c r="I99" s="193" t="s">
        <v>820</v>
      </c>
      <c r="J99" s="193"/>
      <c r="K99" s="193" t="s">
        <v>938</v>
      </c>
      <c r="L99" s="193" t="s">
        <v>939</v>
      </c>
      <c r="M99" s="193" t="s">
        <v>997</v>
      </c>
      <c r="N99" s="193" t="s">
        <v>941</v>
      </c>
      <c r="O99" s="193"/>
      <c r="P99" s="193" t="s">
        <v>1071</v>
      </c>
      <c r="Q99" s="193" t="s">
        <v>943</v>
      </c>
      <c r="R99" s="193" t="s">
        <v>1072</v>
      </c>
      <c r="S99" s="196" t="s">
        <v>1068</v>
      </c>
      <c r="T99" s="193" t="s">
        <v>1005</v>
      </c>
      <c r="U99" s="193" t="s">
        <v>947</v>
      </c>
      <c r="V99" s="193"/>
      <c r="W99" s="193"/>
      <c r="X99" s="193" t="s">
        <v>1006</v>
      </c>
    </row>
    <row r="100" spans="1:24">
      <c r="A100" s="193" t="s">
        <v>935</v>
      </c>
      <c r="B100" s="194">
        <v>3</v>
      </c>
      <c r="C100" s="194">
        <v>2025</v>
      </c>
      <c r="D100" s="193" t="s">
        <v>936</v>
      </c>
      <c r="E100" s="193"/>
      <c r="F100" s="193" t="s">
        <v>1049</v>
      </c>
      <c r="G100" s="195">
        <v>11.38</v>
      </c>
      <c r="H100" s="193"/>
      <c r="I100" s="193" t="s">
        <v>820</v>
      </c>
      <c r="J100" s="193"/>
      <c r="K100" s="193" t="s">
        <v>938</v>
      </c>
      <c r="L100" s="193" t="s">
        <v>939</v>
      </c>
      <c r="M100" s="193" t="s">
        <v>955</v>
      </c>
      <c r="N100" s="193" t="s">
        <v>941</v>
      </c>
      <c r="O100" s="193"/>
      <c r="P100" s="193" t="s">
        <v>1073</v>
      </c>
      <c r="Q100" s="193" t="s">
        <v>943</v>
      </c>
      <c r="R100" s="193" t="s">
        <v>1074</v>
      </c>
      <c r="S100" s="196" t="s">
        <v>1068</v>
      </c>
      <c r="T100" s="193" t="s">
        <v>952</v>
      </c>
      <c r="U100" s="193" t="s">
        <v>947</v>
      </c>
      <c r="V100" s="193"/>
      <c r="W100" s="193"/>
      <c r="X100" s="193" t="s">
        <v>953</v>
      </c>
    </row>
    <row r="101" spans="1:24">
      <c r="A101" s="193" t="s">
        <v>935</v>
      </c>
      <c r="B101" s="194">
        <v>3</v>
      </c>
      <c r="C101" s="194">
        <v>2025</v>
      </c>
      <c r="D101" s="193" t="s">
        <v>936</v>
      </c>
      <c r="E101" s="193"/>
      <c r="F101" s="193" t="s">
        <v>937</v>
      </c>
      <c r="G101" s="195">
        <v>3.57</v>
      </c>
      <c r="H101" s="193"/>
      <c r="I101" s="193" t="s">
        <v>820</v>
      </c>
      <c r="J101" s="193"/>
      <c r="K101" s="193" t="s">
        <v>938</v>
      </c>
      <c r="L101" s="193" t="s">
        <v>939</v>
      </c>
      <c r="M101" s="193" t="s">
        <v>949</v>
      </c>
      <c r="N101" s="193" t="s">
        <v>941</v>
      </c>
      <c r="O101" s="193"/>
      <c r="P101" s="193" t="s">
        <v>1073</v>
      </c>
      <c r="Q101" s="193" t="s">
        <v>943</v>
      </c>
      <c r="R101" s="193" t="s">
        <v>1074</v>
      </c>
      <c r="S101" s="196" t="s">
        <v>1068</v>
      </c>
      <c r="T101" s="193" t="s">
        <v>952</v>
      </c>
      <c r="U101" s="193" t="s">
        <v>947</v>
      </c>
      <c r="V101" s="193"/>
      <c r="W101" s="193"/>
      <c r="X101" s="193" t="s">
        <v>953</v>
      </c>
    </row>
    <row r="102" spans="1:24">
      <c r="A102" s="193" t="s">
        <v>935</v>
      </c>
      <c r="B102" s="194">
        <v>3</v>
      </c>
      <c r="C102" s="194">
        <v>2025</v>
      </c>
      <c r="D102" s="193" t="s">
        <v>936</v>
      </c>
      <c r="E102" s="193"/>
      <c r="F102" s="193" t="s">
        <v>937</v>
      </c>
      <c r="G102" s="195">
        <v>8.4</v>
      </c>
      <c r="H102" s="193"/>
      <c r="I102" s="193" t="s">
        <v>820</v>
      </c>
      <c r="J102" s="193"/>
      <c r="K102" s="193" t="s">
        <v>938</v>
      </c>
      <c r="L102" s="193" t="s">
        <v>939</v>
      </c>
      <c r="M102" s="193" t="s">
        <v>954</v>
      </c>
      <c r="N102" s="193" t="s">
        <v>941</v>
      </c>
      <c r="O102" s="193"/>
      <c r="P102" s="193" t="s">
        <v>1073</v>
      </c>
      <c r="Q102" s="193" t="s">
        <v>943</v>
      </c>
      <c r="R102" s="193" t="s">
        <v>1074</v>
      </c>
      <c r="S102" s="196" t="s">
        <v>1068</v>
      </c>
      <c r="T102" s="193" t="s">
        <v>952</v>
      </c>
      <c r="U102" s="193" t="s">
        <v>947</v>
      </c>
      <c r="V102" s="193"/>
      <c r="W102" s="193"/>
      <c r="X102" s="193" t="s">
        <v>953</v>
      </c>
    </row>
    <row r="103" spans="1:24">
      <c r="A103" s="193" t="s">
        <v>935</v>
      </c>
      <c r="B103" s="194">
        <v>3</v>
      </c>
      <c r="C103" s="194">
        <v>2025</v>
      </c>
      <c r="D103" s="193" t="s">
        <v>936</v>
      </c>
      <c r="E103" s="193"/>
      <c r="F103" s="193" t="s">
        <v>937</v>
      </c>
      <c r="G103" s="195">
        <v>7.82</v>
      </c>
      <c r="H103" s="193"/>
      <c r="I103" s="193" t="s">
        <v>820</v>
      </c>
      <c r="J103" s="193"/>
      <c r="K103" s="193" t="s">
        <v>938</v>
      </c>
      <c r="L103" s="193" t="s">
        <v>939</v>
      </c>
      <c r="M103" s="193" t="s">
        <v>955</v>
      </c>
      <c r="N103" s="193" t="s">
        <v>941</v>
      </c>
      <c r="O103" s="193"/>
      <c r="P103" s="193" t="s">
        <v>1073</v>
      </c>
      <c r="Q103" s="193" t="s">
        <v>943</v>
      </c>
      <c r="R103" s="193" t="s">
        <v>1074</v>
      </c>
      <c r="S103" s="196" t="s">
        <v>1068</v>
      </c>
      <c r="T103" s="193" t="s">
        <v>952</v>
      </c>
      <c r="U103" s="193" t="s">
        <v>947</v>
      </c>
      <c r="V103" s="193"/>
      <c r="W103" s="193"/>
      <c r="X103" s="193" t="s">
        <v>953</v>
      </c>
    </row>
    <row r="104" spans="1:24">
      <c r="A104" s="193" t="s">
        <v>935</v>
      </c>
      <c r="B104" s="194">
        <v>3</v>
      </c>
      <c r="C104" s="194">
        <v>2025</v>
      </c>
      <c r="D104" s="193" t="s">
        <v>936</v>
      </c>
      <c r="E104" s="193"/>
      <c r="F104" s="193" t="s">
        <v>1017</v>
      </c>
      <c r="G104" s="195">
        <v>3.89</v>
      </c>
      <c r="H104" s="193"/>
      <c r="I104" s="193" t="s">
        <v>820</v>
      </c>
      <c r="J104" s="193"/>
      <c r="K104" s="193" t="s">
        <v>938</v>
      </c>
      <c r="L104" s="193" t="s">
        <v>939</v>
      </c>
      <c r="M104" s="193" t="s">
        <v>954</v>
      </c>
      <c r="N104" s="193" t="s">
        <v>941</v>
      </c>
      <c r="O104" s="193"/>
      <c r="P104" s="193" t="s">
        <v>1073</v>
      </c>
      <c r="Q104" s="193" t="s">
        <v>943</v>
      </c>
      <c r="R104" s="193" t="s">
        <v>1074</v>
      </c>
      <c r="S104" s="196" t="s">
        <v>1068</v>
      </c>
      <c r="T104" s="193" t="s">
        <v>952</v>
      </c>
      <c r="U104" s="193" t="s">
        <v>947</v>
      </c>
      <c r="V104" s="193"/>
      <c r="W104" s="193"/>
      <c r="X104" s="193" t="s">
        <v>953</v>
      </c>
    </row>
    <row r="105" spans="1:24">
      <c r="A105" s="193" t="s">
        <v>935</v>
      </c>
      <c r="B105" s="194">
        <v>3</v>
      </c>
      <c r="C105" s="194">
        <v>2025</v>
      </c>
      <c r="D105" s="193" t="s">
        <v>936</v>
      </c>
      <c r="E105" s="193"/>
      <c r="F105" s="193" t="s">
        <v>1049</v>
      </c>
      <c r="G105" s="195">
        <v>12.23</v>
      </c>
      <c r="H105" s="193"/>
      <c r="I105" s="193" t="s">
        <v>820</v>
      </c>
      <c r="J105" s="193"/>
      <c r="K105" s="193" t="s">
        <v>938</v>
      </c>
      <c r="L105" s="193" t="s">
        <v>939</v>
      </c>
      <c r="M105" s="193" t="s">
        <v>954</v>
      </c>
      <c r="N105" s="193" t="s">
        <v>941</v>
      </c>
      <c r="O105" s="193"/>
      <c r="P105" s="193" t="s">
        <v>1073</v>
      </c>
      <c r="Q105" s="193" t="s">
        <v>943</v>
      </c>
      <c r="R105" s="193" t="s">
        <v>1074</v>
      </c>
      <c r="S105" s="196" t="s">
        <v>1068</v>
      </c>
      <c r="T105" s="193" t="s">
        <v>952</v>
      </c>
      <c r="U105" s="193" t="s">
        <v>947</v>
      </c>
      <c r="V105" s="193"/>
      <c r="W105" s="193"/>
      <c r="X105" s="193" t="s">
        <v>953</v>
      </c>
    </row>
    <row r="106" spans="1:24">
      <c r="A106" s="193" t="s">
        <v>935</v>
      </c>
      <c r="B106" s="194">
        <v>3</v>
      </c>
      <c r="C106" s="194">
        <v>2025</v>
      </c>
      <c r="D106" s="193" t="s">
        <v>936</v>
      </c>
      <c r="E106" s="193"/>
      <c r="F106" s="193" t="s">
        <v>1049</v>
      </c>
      <c r="G106" s="195">
        <v>1.29</v>
      </c>
      <c r="H106" s="193"/>
      <c r="I106" s="193" t="s">
        <v>820</v>
      </c>
      <c r="J106" s="193"/>
      <c r="K106" s="193" t="s">
        <v>938</v>
      </c>
      <c r="L106" s="193" t="s">
        <v>939</v>
      </c>
      <c r="M106" s="193" t="s">
        <v>957</v>
      </c>
      <c r="N106" s="193" t="s">
        <v>941</v>
      </c>
      <c r="O106" s="193"/>
      <c r="P106" s="193" t="s">
        <v>1073</v>
      </c>
      <c r="Q106" s="193" t="s">
        <v>943</v>
      </c>
      <c r="R106" s="193" t="s">
        <v>1074</v>
      </c>
      <c r="S106" s="196" t="s">
        <v>1068</v>
      </c>
      <c r="T106" s="193" t="s">
        <v>952</v>
      </c>
      <c r="U106" s="193" t="s">
        <v>947</v>
      </c>
      <c r="V106" s="193"/>
      <c r="W106" s="193"/>
      <c r="X106" s="193" t="s">
        <v>953</v>
      </c>
    </row>
    <row r="107" spans="1:24">
      <c r="A107" s="193" t="s">
        <v>935</v>
      </c>
      <c r="B107" s="194">
        <v>3</v>
      </c>
      <c r="C107" s="194">
        <v>2025</v>
      </c>
      <c r="D107" s="193" t="s">
        <v>936</v>
      </c>
      <c r="E107" s="193"/>
      <c r="F107" s="193" t="s">
        <v>937</v>
      </c>
      <c r="G107" s="195">
        <v>73.37</v>
      </c>
      <c r="H107" s="193"/>
      <c r="I107" s="193" t="s">
        <v>820</v>
      </c>
      <c r="J107" s="193"/>
      <c r="K107" s="193" t="s">
        <v>938</v>
      </c>
      <c r="L107" s="193" t="s">
        <v>939</v>
      </c>
      <c r="M107" s="193" t="s">
        <v>956</v>
      </c>
      <c r="N107" s="193" t="s">
        <v>941</v>
      </c>
      <c r="O107" s="193"/>
      <c r="P107" s="193" t="s">
        <v>1073</v>
      </c>
      <c r="Q107" s="193" t="s">
        <v>943</v>
      </c>
      <c r="R107" s="193" t="s">
        <v>1074</v>
      </c>
      <c r="S107" s="196" t="s">
        <v>1068</v>
      </c>
      <c r="T107" s="193" t="s">
        <v>952</v>
      </c>
      <c r="U107" s="193" t="s">
        <v>947</v>
      </c>
      <c r="V107" s="193"/>
      <c r="W107" s="193"/>
      <c r="X107" s="193" t="s">
        <v>953</v>
      </c>
    </row>
    <row r="108" spans="1:24">
      <c r="A108" s="193" t="s">
        <v>935</v>
      </c>
      <c r="B108" s="194">
        <v>3</v>
      </c>
      <c r="C108" s="194">
        <v>2025</v>
      </c>
      <c r="D108" s="193" t="s">
        <v>936</v>
      </c>
      <c r="E108" s="193"/>
      <c r="F108" s="193" t="s">
        <v>937</v>
      </c>
      <c r="G108" s="195">
        <v>0.88</v>
      </c>
      <c r="H108" s="193"/>
      <c r="I108" s="193" t="s">
        <v>820</v>
      </c>
      <c r="J108" s="193"/>
      <c r="K108" s="193" t="s">
        <v>938</v>
      </c>
      <c r="L108" s="193" t="s">
        <v>939</v>
      </c>
      <c r="M108" s="193" t="s">
        <v>957</v>
      </c>
      <c r="N108" s="193" t="s">
        <v>941</v>
      </c>
      <c r="O108" s="193"/>
      <c r="P108" s="193" t="s">
        <v>1073</v>
      </c>
      <c r="Q108" s="193" t="s">
        <v>943</v>
      </c>
      <c r="R108" s="193" t="s">
        <v>1074</v>
      </c>
      <c r="S108" s="196" t="s">
        <v>1068</v>
      </c>
      <c r="T108" s="193" t="s">
        <v>952</v>
      </c>
      <c r="U108" s="193" t="s">
        <v>947</v>
      </c>
      <c r="V108" s="193"/>
      <c r="W108" s="193"/>
      <c r="X108" s="193" t="s">
        <v>953</v>
      </c>
    </row>
    <row r="109" spans="1:24">
      <c r="A109" s="193" t="s">
        <v>935</v>
      </c>
      <c r="B109" s="194">
        <v>3</v>
      </c>
      <c r="C109" s="194">
        <v>2025</v>
      </c>
      <c r="D109" s="193" t="s">
        <v>936</v>
      </c>
      <c r="E109" s="193"/>
      <c r="F109" s="193" t="s">
        <v>937</v>
      </c>
      <c r="G109" s="195">
        <v>156.13999999999999</v>
      </c>
      <c r="H109" s="193"/>
      <c r="I109" s="193" t="s">
        <v>820</v>
      </c>
      <c r="J109" s="193"/>
      <c r="K109" s="193" t="s">
        <v>938</v>
      </c>
      <c r="L109" s="193" t="s">
        <v>939</v>
      </c>
      <c r="M109" s="193" t="s">
        <v>958</v>
      </c>
      <c r="N109" s="193" t="s">
        <v>941</v>
      </c>
      <c r="O109" s="193"/>
      <c r="P109" s="193" t="s">
        <v>1073</v>
      </c>
      <c r="Q109" s="193" t="s">
        <v>943</v>
      </c>
      <c r="R109" s="193" t="s">
        <v>1074</v>
      </c>
      <c r="S109" s="196" t="s">
        <v>1068</v>
      </c>
      <c r="T109" s="193" t="s">
        <v>952</v>
      </c>
      <c r="U109" s="193" t="s">
        <v>947</v>
      </c>
      <c r="V109" s="193"/>
      <c r="W109" s="193"/>
      <c r="X109" s="193" t="s">
        <v>953</v>
      </c>
    </row>
    <row r="110" spans="1:24">
      <c r="A110" s="193" t="s">
        <v>935</v>
      </c>
      <c r="B110" s="194">
        <v>3</v>
      </c>
      <c r="C110" s="194">
        <v>2025</v>
      </c>
      <c r="D110" s="193" t="s">
        <v>936</v>
      </c>
      <c r="E110" s="193"/>
      <c r="F110" s="193" t="s">
        <v>1049</v>
      </c>
      <c r="G110" s="195">
        <v>227.38</v>
      </c>
      <c r="H110" s="193"/>
      <c r="I110" s="193" t="s">
        <v>820</v>
      </c>
      <c r="J110" s="193"/>
      <c r="K110" s="193" t="s">
        <v>938</v>
      </c>
      <c r="L110" s="193" t="s">
        <v>939</v>
      </c>
      <c r="M110" s="193" t="s">
        <v>958</v>
      </c>
      <c r="N110" s="193" t="s">
        <v>941</v>
      </c>
      <c r="O110" s="193"/>
      <c r="P110" s="193" t="s">
        <v>1073</v>
      </c>
      <c r="Q110" s="193" t="s">
        <v>943</v>
      </c>
      <c r="R110" s="193" t="s">
        <v>1074</v>
      </c>
      <c r="S110" s="196" t="s">
        <v>1068</v>
      </c>
      <c r="T110" s="193" t="s">
        <v>952</v>
      </c>
      <c r="U110" s="193" t="s">
        <v>947</v>
      </c>
      <c r="V110" s="193"/>
      <c r="W110" s="193"/>
      <c r="X110" s="193" t="s">
        <v>953</v>
      </c>
    </row>
    <row r="111" spans="1:24">
      <c r="A111" s="193" t="s">
        <v>935</v>
      </c>
      <c r="B111" s="194">
        <v>3</v>
      </c>
      <c r="C111" s="194">
        <v>2025</v>
      </c>
      <c r="D111" s="193" t="s">
        <v>936</v>
      </c>
      <c r="E111" s="193"/>
      <c r="F111" s="193" t="s">
        <v>1049</v>
      </c>
      <c r="G111" s="195">
        <v>106.82</v>
      </c>
      <c r="H111" s="193"/>
      <c r="I111" s="193" t="s">
        <v>820</v>
      </c>
      <c r="J111" s="193"/>
      <c r="K111" s="193" t="s">
        <v>938</v>
      </c>
      <c r="L111" s="193" t="s">
        <v>939</v>
      </c>
      <c r="M111" s="193" t="s">
        <v>956</v>
      </c>
      <c r="N111" s="193" t="s">
        <v>941</v>
      </c>
      <c r="O111" s="193"/>
      <c r="P111" s="193" t="s">
        <v>1073</v>
      </c>
      <c r="Q111" s="193" t="s">
        <v>943</v>
      </c>
      <c r="R111" s="193" t="s">
        <v>1074</v>
      </c>
      <c r="S111" s="196" t="s">
        <v>1068</v>
      </c>
      <c r="T111" s="193" t="s">
        <v>952</v>
      </c>
      <c r="U111" s="193" t="s">
        <v>947</v>
      </c>
      <c r="V111" s="193"/>
      <c r="W111" s="193"/>
      <c r="X111" s="193" t="s">
        <v>953</v>
      </c>
    </row>
    <row r="112" spans="1:24">
      <c r="A112" s="193" t="s">
        <v>935</v>
      </c>
      <c r="B112" s="194">
        <v>3</v>
      </c>
      <c r="C112" s="194">
        <v>2025</v>
      </c>
      <c r="D112" s="193" t="s">
        <v>936</v>
      </c>
      <c r="E112" s="193"/>
      <c r="F112" s="193" t="s">
        <v>1049</v>
      </c>
      <c r="G112" s="195">
        <v>5.2</v>
      </c>
      <c r="H112" s="193"/>
      <c r="I112" s="193" t="s">
        <v>820</v>
      </c>
      <c r="J112" s="193"/>
      <c r="K112" s="193" t="s">
        <v>938</v>
      </c>
      <c r="L112" s="193" t="s">
        <v>939</v>
      </c>
      <c r="M112" s="193" t="s">
        <v>949</v>
      </c>
      <c r="N112" s="193" t="s">
        <v>941</v>
      </c>
      <c r="O112" s="193"/>
      <c r="P112" s="193" t="s">
        <v>1073</v>
      </c>
      <c r="Q112" s="193" t="s">
        <v>943</v>
      </c>
      <c r="R112" s="193" t="s">
        <v>1074</v>
      </c>
      <c r="S112" s="196" t="s">
        <v>1068</v>
      </c>
      <c r="T112" s="193" t="s">
        <v>952</v>
      </c>
      <c r="U112" s="193" t="s">
        <v>947</v>
      </c>
      <c r="V112" s="193"/>
      <c r="W112" s="193"/>
      <c r="X112" s="193" t="s">
        <v>953</v>
      </c>
    </row>
    <row r="113" spans="1:24">
      <c r="A113" s="193" t="s">
        <v>935</v>
      </c>
      <c r="B113" s="194">
        <v>3</v>
      </c>
      <c r="C113" s="194">
        <v>2025</v>
      </c>
      <c r="D113" s="193" t="s">
        <v>936</v>
      </c>
      <c r="E113" s="193"/>
      <c r="F113" s="193" t="s">
        <v>1017</v>
      </c>
      <c r="G113" s="195">
        <v>72.41</v>
      </c>
      <c r="H113" s="193"/>
      <c r="I113" s="193" t="s">
        <v>820</v>
      </c>
      <c r="J113" s="193"/>
      <c r="K113" s="193" t="s">
        <v>938</v>
      </c>
      <c r="L113" s="193" t="s">
        <v>939</v>
      </c>
      <c r="M113" s="193" t="s">
        <v>958</v>
      </c>
      <c r="N113" s="193" t="s">
        <v>941</v>
      </c>
      <c r="O113" s="193"/>
      <c r="P113" s="193" t="s">
        <v>1073</v>
      </c>
      <c r="Q113" s="193" t="s">
        <v>943</v>
      </c>
      <c r="R113" s="193" t="s">
        <v>1074</v>
      </c>
      <c r="S113" s="196" t="s">
        <v>1068</v>
      </c>
      <c r="T113" s="193" t="s">
        <v>952</v>
      </c>
      <c r="U113" s="193" t="s">
        <v>947</v>
      </c>
      <c r="V113" s="193"/>
      <c r="W113" s="193"/>
      <c r="X113" s="193" t="s">
        <v>953</v>
      </c>
    </row>
    <row r="114" spans="1:24">
      <c r="A114" s="193" t="s">
        <v>935</v>
      </c>
      <c r="B114" s="194">
        <v>3</v>
      </c>
      <c r="C114" s="194">
        <v>2025</v>
      </c>
      <c r="D114" s="193" t="s">
        <v>936</v>
      </c>
      <c r="E114" s="193"/>
      <c r="F114" s="193" t="s">
        <v>1017</v>
      </c>
      <c r="G114" s="195">
        <v>0.41</v>
      </c>
      <c r="H114" s="193"/>
      <c r="I114" s="193" t="s">
        <v>820</v>
      </c>
      <c r="J114" s="193"/>
      <c r="K114" s="193" t="s">
        <v>938</v>
      </c>
      <c r="L114" s="193" t="s">
        <v>939</v>
      </c>
      <c r="M114" s="193" t="s">
        <v>957</v>
      </c>
      <c r="N114" s="193" t="s">
        <v>941</v>
      </c>
      <c r="O114" s="193"/>
      <c r="P114" s="193" t="s">
        <v>1073</v>
      </c>
      <c r="Q114" s="193" t="s">
        <v>943</v>
      </c>
      <c r="R114" s="193" t="s">
        <v>1074</v>
      </c>
      <c r="S114" s="196" t="s">
        <v>1068</v>
      </c>
      <c r="T114" s="193" t="s">
        <v>952</v>
      </c>
      <c r="U114" s="193" t="s">
        <v>947</v>
      </c>
      <c r="V114" s="193"/>
      <c r="W114" s="193"/>
      <c r="X114" s="193" t="s">
        <v>953</v>
      </c>
    </row>
    <row r="115" spans="1:24">
      <c r="A115" s="193" t="s">
        <v>935</v>
      </c>
      <c r="B115" s="194">
        <v>3</v>
      </c>
      <c r="C115" s="194">
        <v>2025</v>
      </c>
      <c r="D115" s="193" t="s">
        <v>936</v>
      </c>
      <c r="E115" s="193"/>
      <c r="F115" s="193" t="s">
        <v>1017</v>
      </c>
      <c r="G115" s="195">
        <v>34.020000000000003</v>
      </c>
      <c r="H115" s="193"/>
      <c r="I115" s="193" t="s">
        <v>820</v>
      </c>
      <c r="J115" s="193"/>
      <c r="K115" s="193" t="s">
        <v>938</v>
      </c>
      <c r="L115" s="193" t="s">
        <v>939</v>
      </c>
      <c r="M115" s="193" t="s">
        <v>956</v>
      </c>
      <c r="N115" s="193" t="s">
        <v>941</v>
      </c>
      <c r="O115" s="193"/>
      <c r="P115" s="193" t="s">
        <v>1073</v>
      </c>
      <c r="Q115" s="193" t="s">
        <v>943</v>
      </c>
      <c r="R115" s="193" t="s">
        <v>1074</v>
      </c>
      <c r="S115" s="196" t="s">
        <v>1068</v>
      </c>
      <c r="T115" s="193" t="s">
        <v>952</v>
      </c>
      <c r="U115" s="193" t="s">
        <v>947</v>
      </c>
      <c r="V115" s="193"/>
      <c r="W115" s="193"/>
      <c r="X115" s="193" t="s">
        <v>953</v>
      </c>
    </row>
    <row r="116" spans="1:24">
      <c r="A116" s="193" t="s">
        <v>935</v>
      </c>
      <c r="B116" s="194">
        <v>3</v>
      </c>
      <c r="C116" s="194">
        <v>2025</v>
      </c>
      <c r="D116" s="193" t="s">
        <v>936</v>
      </c>
      <c r="E116" s="193"/>
      <c r="F116" s="193" t="s">
        <v>1017</v>
      </c>
      <c r="G116" s="195">
        <v>3.62</v>
      </c>
      <c r="H116" s="193"/>
      <c r="I116" s="193" t="s">
        <v>820</v>
      </c>
      <c r="J116" s="193"/>
      <c r="K116" s="193" t="s">
        <v>938</v>
      </c>
      <c r="L116" s="193" t="s">
        <v>939</v>
      </c>
      <c r="M116" s="193" t="s">
        <v>955</v>
      </c>
      <c r="N116" s="193" t="s">
        <v>941</v>
      </c>
      <c r="O116" s="193"/>
      <c r="P116" s="193" t="s">
        <v>1073</v>
      </c>
      <c r="Q116" s="193" t="s">
        <v>943</v>
      </c>
      <c r="R116" s="193" t="s">
        <v>1074</v>
      </c>
      <c r="S116" s="196" t="s">
        <v>1068</v>
      </c>
      <c r="T116" s="193" t="s">
        <v>952</v>
      </c>
      <c r="U116" s="193" t="s">
        <v>947</v>
      </c>
      <c r="V116" s="193"/>
      <c r="W116" s="193"/>
      <c r="X116" s="193" t="s">
        <v>953</v>
      </c>
    </row>
    <row r="117" spans="1:24">
      <c r="A117" s="193" t="s">
        <v>935</v>
      </c>
      <c r="B117" s="194">
        <v>3</v>
      </c>
      <c r="C117" s="194">
        <v>2025</v>
      </c>
      <c r="D117" s="193" t="s">
        <v>936</v>
      </c>
      <c r="E117" s="193"/>
      <c r="F117" s="193" t="s">
        <v>937</v>
      </c>
      <c r="G117" s="195">
        <v>36932.129999999997</v>
      </c>
      <c r="H117" s="193"/>
      <c r="I117" s="193" t="s">
        <v>820</v>
      </c>
      <c r="J117" s="193"/>
      <c r="K117" s="193" t="s">
        <v>938</v>
      </c>
      <c r="L117" s="193" t="s">
        <v>939</v>
      </c>
      <c r="M117" s="193" t="s">
        <v>997</v>
      </c>
      <c r="N117" s="193" t="s">
        <v>941</v>
      </c>
      <c r="O117" s="193"/>
      <c r="P117" s="193" t="s">
        <v>1075</v>
      </c>
      <c r="Q117" s="193" t="s">
        <v>943</v>
      </c>
      <c r="R117" s="193" t="s">
        <v>1076</v>
      </c>
      <c r="S117" s="196" t="s">
        <v>1077</v>
      </c>
      <c r="T117" s="193" t="s">
        <v>1001</v>
      </c>
      <c r="U117" s="193" t="s">
        <v>947</v>
      </c>
      <c r="V117" s="193"/>
      <c r="W117" s="193"/>
      <c r="X117" s="193" t="s">
        <v>1002</v>
      </c>
    </row>
    <row r="118" spans="1:24">
      <c r="A118" s="193" t="s">
        <v>935</v>
      </c>
      <c r="B118" s="194">
        <v>3</v>
      </c>
      <c r="C118" s="194">
        <v>2025</v>
      </c>
      <c r="D118" s="193" t="s">
        <v>936</v>
      </c>
      <c r="E118" s="193"/>
      <c r="F118" s="193" t="s">
        <v>937</v>
      </c>
      <c r="G118" s="195">
        <v>0</v>
      </c>
      <c r="H118" s="193"/>
      <c r="I118" s="193" t="s">
        <v>820</v>
      </c>
      <c r="J118" s="193"/>
      <c r="K118" s="193" t="s">
        <v>938</v>
      </c>
      <c r="L118" s="193" t="s">
        <v>939</v>
      </c>
      <c r="M118" s="193" t="s">
        <v>997</v>
      </c>
      <c r="N118" s="193" t="s">
        <v>941</v>
      </c>
      <c r="O118" s="193"/>
      <c r="P118" s="193" t="s">
        <v>1078</v>
      </c>
      <c r="Q118" s="193" t="s">
        <v>943</v>
      </c>
      <c r="R118" s="193" t="s">
        <v>1079</v>
      </c>
      <c r="S118" s="196" t="s">
        <v>1077</v>
      </c>
      <c r="T118" s="193" t="s">
        <v>1005</v>
      </c>
      <c r="U118" s="193" t="s">
        <v>947</v>
      </c>
      <c r="V118" s="193"/>
      <c r="W118" s="193"/>
      <c r="X118" s="193" t="s">
        <v>1006</v>
      </c>
    </row>
    <row r="119" spans="1:24">
      <c r="A119" s="193" t="s">
        <v>935</v>
      </c>
      <c r="B119" s="194">
        <v>3</v>
      </c>
      <c r="C119" s="194">
        <v>2025</v>
      </c>
      <c r="D119" s="193" t="s">
        <v>936</v>
      </c>
      <c r="E119" s="193"/>
      <c r="F119" s="193" t="s">
        <v>937</v>
      </c>
      <c r="G119" s="195">
        <v>43.59</v>
      </c>
      <c r="H119" s="193" t="s">
        <v>959</v>
      </c>
      <c r="I119" s="193" t="s">
        <v>820</v>
      </c>
      <c r="J119" s="193"/>
      <c r="K119" s="193" t="s">
        <v>938</v>
      </c>
      <c r="L119" s="193" t="s">
        <v>939</v>
      </c>
      <c r="M119" s="193" t="s">
        <v>960</v>
      </c>
      <c r="N119" s="193" t="s">
        <v>941</v>
      </c>
      <c r="O119" s="193"/>
      <c r="P119" s="193" t="s">
        <v>1080</v>
      </c>
      <c r="Q119" s="193" t="s">
        <v>943</v>
      </c>
      <c r="R119" s="193" t="s">
        <v>1081</v>
      </c>
      <c r="S119" s="196" t="s">
        <v>1082</v>
      </c>
      <c r="T119" s="193" t="s">
        <v>964</v>
      </c>
      <c r="U119" s="193" t="s">
        <v>947</v>
      </c>
      <c r="V119" s="193"/>
      <c r="W119" s="193"/>
      <c r="X119" s="193" t="s">
        <v>965</v>
      </c>
    </row>
    <row r="120" spans="1:24">
      <c r="A120" s="193" t="s">
        <v>935</v>
      </c>
      <c r="B120" s="194">
        <v>3</v>
      </c>
      <c r="C120" s="194">
        <v>2025</v>
      </c>
      <c r="D120" s="193" t="s">
        <v>936</v>
      </c>
      <c r="E120" s="193"/>
      <c r="F120" s="193" t="s">
        <v>1049</v>
      </c>
      <c r="G120" s="195">
        <v>92.53</v>
      </c>
      <c r="H120" s="193" t="s">
        <v>959</v>
      </c>
      <c r="I120" s="193" t="s">
        <v>820</v>
      </c>
      <c r="J120" s="193"/>
      <c r="K120" s="193" t="s">
        <v>938</v>
      </c>
      <c r="L120" s="193" t="s">
        <v>939</v>
      </c>
      <c r="M120" s="193" t="s">
        <v>960</v>
      </c>
      <c r="N120" s="193" t="s">
        <v>941</v>
      </c>
      <c r="O120" s="193"/>
      <c r="P120" s="193" t="s">
        <v>1080</v>
      </c>
      <c r="Q120" s="193" t="s">
        <v>943</v>
      </c>
      <c r="R120" s="193" t="s">
        <v>1081</v>
      </c>
      <c r="S120" s="196" t="s">
        <v>1082</v>
      </c>
      <c r="T120" s="193" t="s">
        <v>964</v>
      </c>
      <c r="U120" s="193" t="s">
        <v>947</v>
      </c>
      <c r="V120" s="193"/>
      <c r="W120" s="193"/>
      <c r="X120" s="193" t="s">
        <v>965</v>
      </c>
    </row>
    <row r="121" spans="1:24">
      <c r="A121" s="193" t="s">
        <v>935</v>
      </c>
      <c r="B121" s="194">
        <v>3</v>
      </c>
      <c r="C121" s="194">
        <v>2025</v>
      </c>
      <c r="D121" s="193" t="s">
        <v>936</v>
      </c>
      <c r="E121" s="193"/>
      <c r="F121" s="193" t="s">
        <v>1017</v>
      </c>
      <c r="G121" s="195">
        <v>46.69</v>
      </c>
      <c r="H121" s="193" t="s">
        <v>959</v>
      </c>
      <c r="I121" s="193" t="s">
        <v>820</v>
      </c>
      <c r="J121" s="193"/>
      <c r="K121" s="193" t="s">
        <v>938</v>
      </c>
      <c r="L121" s="193" t="s">
        <v>939</v>
      </c>
      <c r="M121" s="193" t="s">
        <v>960</v>
      </c>
      <c r="N121" s="193" t="s">
        <v>941</v>
      </c>
      <c r="O121" s="193"/>
      <c r="P121" s="193" t="s">
        <v>1080</v>
      </c>
      <c r="Q121" s="193" t="s">
        <v>943</v>
      </c>
      <c r="R121" s="193" t="s">
        <v>1081</v>
      </c>
      <c r="S121" s="196" t="s">
        <v>1082</v>
      </c>
      <c r="T121" s="193" t="s">
        <v>964</v>
      </c>
      <c r="U121" s="193" t="s">
        <v>947</v>
      </c>
      <c r="V121" s="193"/>
      <c r="W121" s="193"/>
      <c r="X121" s="193" t="s">
        <v>965</v>
      </c>
    </row>
    <row r="122" spans="1:24">
      <c r="A122" s="193" t="s">
        <v>935</v>
      </c>
      <c r="B122" s="194">
        <v>3</v>
      </c>
      <c r="C122" s="194">
        <v>2025</v>
      </c>
      <c r="D122" s="193" t="s">
        <v>936</v>
      </c>
      <c r="E122" s="193"/>
      <c r="F122" s="193" t="s">
        <v>1017</v>
      </c>
      <c r="G122" s="195">
        <v>0.24</v>
      </c>
      <c r="H122" s="193"/>
      <c r="I122" s="193" t="s">
        <v>820</v>
      </c>
      <c r="J122" s="193"/>
      <c r="K122" s="193" t="s">
        <v>938</v>
      </c>
      <c r="L122" s="193" t="s">
        <v>939</v>
      </c>
      <c r="M122" s="193" t="s">
        <v>966</v>
      </c>
      <c r="N122" s="193" t="s">
        <v>941</v>
      </c>
      <c r="O122" s="193"/>
      <c r="P122" s="193" t="s">
        <v>1083</v>
      </c>
      <c r="Q122" s="193" t="s">
        <v>943</v>
      </c>
      <c r="R122" s="193" t="s">
        <v>1084</v>
      </c>
      <c r="S122" s="196" t="s">
        <v>1082</v>
      </c>
      <c r="T122" s="193" t="s">
        <v>969</v>
      </c>
      <c r="U122" s="193" t="s">
        <v>947</v>
      </c>
      <c r="V122" s="193"/>
      <c r="W122" s="193"/>
      <c r="X122" s="193" t="s">
        <v>970</v>
      </c>
    </row>
    <row r="123" spans="1:24">
      <c r="A123" s="193" t="s">
        <v>935</v>
      </c>
      <c r="B123" s="194">
        <v>3</v>
      </c>
      <c r="C123" s="194">
        <v>2025</v>
      </c>
      <c r="D123" s="193" t="s">
        <v>936</v>
      </c>
      <c r="E123" s="193"/>
      <c r="F123" s="193" t="s">
        <v>937</v>
      </c>
      <c r="G123" s="195">
        <v>0.12</v>
      </c>
      <c r="H123" s="193"/>
      <c r="I123" s="193" t="s">
        <v>820</v>
      </c>
      <c r="J123" s="193"/>
      <c r="K123" s="193" t="s">
        <v>938</v>
      </c>
      <c r="L123" s="193" t="s">
        <v>939</v>
      </c>
      <c r="M123" s="193" t="s">
        <v>966</v>
      </c>
      <c r="N123" s="193" t="s">
        <v>941</v>
      </c>
      <c r="O123" s="193"/>
      <c r="P123" s="193" t="s">
        <v>1083</v>
      </c>
      <c r="Q123" s="193" t="s">
        <v>943</v>
      </c>
      <c r="R123" s="193" t="s">
        <v>1084</v>
      </c>
      <c r="S123" s="196" t="s">
        <v>1082</v>
      </c>
      <c r="T123" s="193" t="s">
        <v>969</v>
      </c>
      <c r="U123" s="193" t="s">
        <v>947</v>
      </c>
      <c r="V123" s="193"/>
      <c r="W123" s="193"/>
      <c r="X123" s="193" t="s">
        <v>970</v>
      </c>
    </row>
    <row r="124" spans="1:24">
      <c r="A124" s="193" t="s">
        <v>935</v>
      </c>
      <c r="B124" s="194">
        <v>3</v>
      </c>
      <c r="C124" s="194">
        <v>2025</v>
      </c>
      <c r="D124" s="193" t="s">
        <v>936</v>
      </c>
      <c r="E124" s="193"/>
      <c r="F124" s="193" t="s">
        <v>1049</v>
      </c>
      <c r="G124" s="195">
        <v>3.6</v>
      </c>
      <c r="H124" s="193"/>
      <c r="I124" s="193" t="s">
        <v>820</v>
      </c>
      <c r="J124" s="193"/>
      <c r="K124" s="193" t="s">
        <v>938</v>
      </c>
      <c r="L124" s="193" t="s">
        <v>939</v>
      </c>
      <c r="M124" s="193" t="s">
        <v>966</v>
      </c>
      <c r="N124" s="193" t="s">
        <v>941</v>
      </c>
      <c r="O124" s="193"/>
      <c r="P124" s="193" t="s">
        <v>1083</v>
      </c>
      <c r="Q124" s="193" t="s">
        <v>943</v>
      </c>
      <c r="R124" s="193" t="s">
        <v>1084</v>
      </c>
      <c r="S124" s="196" t="s">
        <v>1082</v>
      </c>
      <c r="T124" s="193" t="s">
        <v>969</v>
      </c>
      <c r="U124" s="193" t="s">
        <v>947</v>
      </c>
      <c r="V124" s="193"/>
      <c r="W124" s="193"/>
      <c r="X124" s="193" t="s">
        <v>970</v>
      </c>
    </row>
    <row r="125" spans="1:24">
      <c r="A125" s="193" t="s">
        <v>935</v>
      </c>
      <c r="B125" s="194">
        <v>3</v>
      </c>
      <c r="C125" s="194">
        <v>2025</v>
      </c>
      <c r="D125" s="193" t="s">
        <v>936</v>
      </c>
      <c r="E125" s="193"/>
      <c r="F125" s="193" t="s">
        <v>937</v>
      </c>
      <c r="G125" s="195">
        <v>430000</v>
      </c>
      <c r="H125" s="193"/>
      <c r="I125" s="193" t="s">
        <v>820</v>
      </c>
      <c r="J125" s="193"/>
      <c r="K125" s="193" t="s">
        <v>938</v>
      </c>
      <c r="L125" s="193" t="s">
        <v>939</v>
      </c>
      <c r="M125" s="193" t="s">
        <v>971</v>
      </c>
      <c r="N125" s="193" t="s">
        <v>941</v>
      </c>
      <c r="O125" s="193"/>
      <c r="P125" s="193" t="s">
        <v>1085</v>
      </c>
      <c r="Q125" s="193" t="s">
        <v>943</v>
      </c>
      <c r="R125" s="193" t="s">
        <v>1086</v>
      </c>
      <c r="S125" s="196" t="s">
        <v>1082</v>
      </c>
      <c r="T125" s="193" t="s">
        <v>974</v>
      </c>
      <c r="U125" s="193" t="s">
        <v>947</v>
      </c>
      <c r="V125" s="193" t="s">
        <v>975</v>
      </c>
      <c r="W125" s="193"/>
      <c r="X125" s="193" t="s">
        <v>980</v>
      </c>
    </row>
    <row r="126" spans="1:24">
      <c r="A126" s="193" t="s">
        <v>935</v>
      </c>
      <c r="B126" s="194">
        <v>3</v>
      </c>
      <c r="C126" s="194">
        <v>2025</v>
      </c>
      <c r="D126" s="193" t="s">
        <v>936</v>
      </c>
      <c r="E126" s="193"/>
      <c r="F126" s="193" t="s">
        <v>937</v>
      </c>
      <c r="G126" s="195">
        <v>57655.16</v>
      </c>
      <c r="H126" s="193"/>
      <c r="I126" s="193" t="s">
        <v>820</v>
      </c>
      <c r="J126" s="193"/>
      <c r="K126" s="193" t="s">
        <v>938</v>
      </c>
      <c r="L126" s="193" t="s">
        <v>939</v>
      </c>
      <c r="M126" s="193" t="s">
        <v>971</v>
      </c>
      <c r="N126" s="193" t="s">
        <v>941</v>
      </c>
      <c r="O126" s="193"/>
      <c r="P126" s="193" t="s">
        <v>1085</v>
      </c>
      <c r="Q126" s="193" t="s">
        <v>943</v>
      </c>
      <c r="R126" s="193" t="s">
        <v>1086</v>
      </c>
      <c r="S126" s="196" t="s">
        <v>1082</v>
      </c>
      <c r="T126" s="193" t="s">
        <v>974</v>
      </c>
      <c r="U126" s="193" t="s">
        <v>947</v>
      </c>
      <c r="V126" s="193" t="s">
        <v>975</v>
      </c>
      <c r="W126" s="193"/>
      <c r="X126" s="193" t="s">
        <v>1087</v>
      </c>
    </row>
    <row r="127" spans="1:24">
      <c r="A127" s="193" t="s">
        <v>935</v>
      </c>
      <c r="B127" s="194">
        <v>3</v>
      </c>
      <c r="C127" s="194">
        <v>2025</v>
      </c>
      <c r="D127" s="193" t="s">
        <v>936</v>
      </c>
      <c r="E127" s="193"/>
      <c r="F127" s="193" t="s">
        <v>937</v>
      </c>
      <c r="G127" s="195">
        <v>107430.05</v>
      </c>
      <c r="H127" s="193"/>
      <c r="I127" s="193" t="s">
        <v>820</v>
      </c>
      <c r="J127" s="193"/>
      <c r="K127" s="193" t="s">
        <v>938</v>
      </c>
      <c r="L127" s="193" t="s">
        <v>939</v>
      </c>
      <c r="M127" s="193" t="s">
        <v>971</v>
      </c>
      <c r="N127" s="193" t="s">
        <v>941</v>
      </c>
      <c r="O127" s="193"/>
      <c r="P127" s="193" t="s">
        <v>1085</v>
      </c>
      <c r="Q127" s="193" t="s">
        <v>943</v>
      </c>
      <c r="R127" s="193" t="s">
        <v>1086</v>
      </c>
      <c r="S127" s="196" t="s">
        <v>1082</v>
      </c>
      <c r="T127" s="193" t="s">
        <v>974</v>
      </c>
      <c r="U127" s="193" t="s">
        <v>947</v>
      </c>
      <c r="V127" s="193" t="s">
        <v>975</v>
      </c>
      <c r="W127" s="193"/>
      <c r="X127" s="193" t="s">
        <v>981</v>
      </c>
    </row>
    <row r="128" spans="1:24">
      <c r="A128" s="193" t="s">
        <v>935</v>
      </c>
      <c r="B128" s="194">
        <v>3</v>
      </c>
      <c r="C128" s="194">
        <v>2025</v>
      </c>
      <c r="D128" s="193" t="s">
        <v>936</v>
      </c>
      <c r="E128" s="193"/>
      <c r="F128" s="193" t="s">
        <v>937</v>
      </c>
      <c r="G128" s="195">
        <v>2250</v>
      </c>
      <c r="H128" s="193"/>
      <c r="I128" s="193" t="s">
        <v>820</v>
      </c>
      <c r="J128" s="193"/>
      <c r="K128" s="193" t="s">
        <v>938</v>
      </c>
      <c r="L128" s="193" t="s">
        <v>939</v>
      </c>
      <c r="M128" s="193" t="s">
        <v>971</v>
      </c>
      <c r="N128" s="193" t="s">
        <v>941</v>
      </c>
      <c r="O128" s="193"/>
      <c r="P128" s="193" t="s">
        <v>1085</v>
      </c>
      <c r="Q128" s="193" t="s">
        <v>943</v>
      </c>
      <c r="R128" s="193" t="s">
        <v>1086</v>
      </c>
      <c r="S128" s="196" t="s">
        <v>1082</v>
      </c>
      <c r="T128" s="193" t="s">
        <v>974</v>
      </c>
      <c r="U128" s="193" t="s">
        <v>947</v>
      </c>
      <c r="V128" s="193" t="s">
        <v>975</v>
      </c>
      <c r="W128" s="193"/>
      <c r="X128" s="193" t="s">
        <v>1088</v>
      </c>
    </row>
    <row r="129" spans="1:24">
      <c r="A129" s="193" t="s">
        <v>935</v>
      </c>
      <c r="B129" s="194">
        <v>3</v>
      </c>
      <c r="C129" s="194">
        <v>2025</v>
      </c>
      <c r="D129" s="193" t="s">
        <v>936</v>
      </c>
      <c r="E129" s="193"/>
      <c r="F129" s="193" t="s">
        <v>937</v>
      </c>
      <c r="G129" s="195">
        <v>12373.12</v>
      </c>
      <c r="H129" s="193"/>
      <c r="I129" s="193" t="s">
        <v>820</v>
      </c>
      <c r="J129" s="193"/>
      <c r="K129" s="193" t="s">
        <v>938</v>
      </c>
      <c r="L129" s="193" t="s">
        <v>939</v>
      </c>
      <c r="M129" s="193" t="s">
        <v>971</v>
      </c>
      <c r="N129" s="193" t="s">
        <v>941</v>
      </c>
      <c r="O129" s="193"/>
      <c r="P129" s="193" t="s">
        <v>1085</v>
      </c>
      <c r="Q129" s="193" t="s">
        <v>943</v>
      </c>
      <c r="R129" s="193" t="s">
        <v>1086</v>
      </c>
      <c r="S129" s="196" t="s">
        <v>1082</v>
      </c>
      <c r="T129" s="193" t="s">
        <v>974</v>
      </c>
      <c r="U129" s="193" t="s">
        <v>947</v>
      </c>
      <c r="V129" s="193" t="s">
        <v>975</v>
      </c>
      <c r="W129" s="193"/>
      <c r="X129" s="193" t="s">
        <v>982</v>
      </c>
    </row>
    <row r="130" spans="1:24">
      <c r="A130" s="193" t="s">
        <v>935</v>
      </c>
      <c r="B130" s="194">
        <v>3</v>
      </c>
      <c r="C130" s="194">
        <v>2025</v>
      </c>
      <c r="D130" s="193" t="s">
        <v>936</v>
      </c>
      <c r="E130" s="193"/>
      <c r="F130" s="193" t="s">
        <v>937</v>
      </c>
      <c r="G130" s="195">
        <v>104.53</v>
      </c>
      <c r="H130" s="193" t="s">
        <v>959</v>
      </c>
      <c r="I130" s="193" t="s">
        <v>820</v>
      </c>
      <c r="J130" s="193"/>
      <c r="K130" s="193" t="s">
        <v>938</v>
      </c>
      <c r="L130" s="193" t="s">
        <v>939</v>
      </c>
      <c r="M130" s="193" t="s">
        <v>983</v>
      </c>
      <c r="N130" s="193" t="s">
        <v>941</v>
      </c>
      <c r="O130" s="193"/>
      <c r="P130" s="193" t="s">
        <v>1089</v>
      </c>
      <c r="Q130" s="193" t="s">
        <v>943</v>
      </c>
      <c r="R130" s="193" t="s">
        <v>1090</v>
      </c>
      <c r="S130" s="196" t="s">
        <v>1082</v>
      </c>
      <c r="T130" s="193" t="s">
        <v>986</v>
      </c>
      <c r="U130" s="193" t="s">
        <v>947</v>
      </c>
      <c r="V130" s="193"/>
      <c r="W130" s="193"/>
      <c r="X130" s="193" t="s">
        <v>987</v>
      </c>
    </row>
    <row r="131" spans="1:24">
      <c r="A131" s="193" t="s">
        <v>935</v>
      </c>
      <c r="B131" s="194">
        <v>3</v>
      </c>
      <c r="C131" s="194">
        <v>2025</v>
      </c>
      <c r="D131" s="193" t="s">
        <v>936</v>
      </c>
      <c r="E131" s="193"/>
      <c r="F131" s="193" t="s">
        <v>1017</v>
      </c>
      <c r="G131" s="195">
        <v>24.24</v>
      </c>
      <c r="H131" s="193" t="s">
        <v>959</v>
      </c>
      <c r="I131" s="193" t="s">
        <v>820</v>
      </c>
      <c r="J131" s="193"/>
      <c r="K131" s="193" t="s">
        <v>938</v>
      </c>
      <c r="L131" s="193" t="s">
        <v>939</v>
      </c>
      <c r="M131" s="193" t="s">
        <v>983</v>
      </c>
      <c r="N131" s="193" t="s">
        <v>941</v>
      </c>
      <c r="O131" s="193"/>
      <c r="P131" s="193" t="s">
        <v>1089</v>
      </c>
      <c r="Q131" s="193" t="s">
        <v>943</v>
      </c>
      <c r="R131" s="193" t="s">
        <v>1090</v>
      </c>
      <c r="S131" s="196" t="s">
        <v>1082</v>
      </c>
      <c r="T131" s="193" t="s">
        <v>986</v>
      </c>
      <c r="U131" s="193" t="s">
        <v>947</v>
      </c>
      <c r="V131" s="193"/>
      <c r="W131" s="193"/>
      <c r="X131" s="193" t="s">
        <v>987</v>
      </c>
    </row>
    <row r="132" spans="1:24">
      <c r="A132" s="193" t="s">
        <v>935</v>
      </c>
      <c r="B132" s="194">
        <v>3</v>
      </c>
      <c r="C132" s="194">
        <v>2025</v>
      </c>
      <c r="D132" s="193" t="s">
        <v>936</v>
      </c>
      <c r="E132" s="193"/>
      <c r="F132" s="193" t="s">
        <v>937</v>
      </c>
      <c r="G132" s="195">
        <v>1237.4000000000001</v>
      </c>
      <c r="H132" s="193"/>
      <c r="I132" s="193" t="s">
        <v>820</v>
      </c>
      <c r="J132" s="193"/>
      <c r="K132" s="193" t="s">
        <v>938</v>
      </c>
      <c r="L132" s="193" t="s">
        <v>939</v>
      </c>
      <c r="M132" s="193" t="s">
        <v>971</v>
      </c>
      <c r="N132" s="193" t="s">
        <v>941</v>
      </c>
      <c r="O132" s="193"/>
      <c r="P132" s="193" t="s">
        <v>1091</v>
      </c>
      <c r="Q132" s="193" t="s">
        <v>943</v>
      </c>
      <c r="R132" s="193" t="s">
        <v>1092</v>
      </c>
      <c r="S132" s="196" t="s">
        <v>1082</v>
      </c>
      <c r="T132" s="193" t="s">
        <v>974</v>
      </c>
      <c r="U132" s="193" t="s">
        <v>947</v>
      </c>
      <c r="V132" s="193" t="s">
        <v>975</v>
      </c>
      <c r="W132" s="193"/>
      <c r="X132" s="193" t="s">
        <v>981</v>
      </c>
    </row>
    <row r="133" spans="1:24">
      <c r="A133" s="193" t="s">
        <v>935</v>
      </c>
      <c r="B133" s="194">
        <v>4</v>
      </c>
      <c r="C133" s="194">
        <v>2025</v>
      </c>
      <c r="D133" s="193" t="s">
        <v>936</v>
      </c>
      <c r="E133" s="193"/>
      <c r="F133" s="193" t="s">
        <v>937</v>
      </c>
      <c r="G133" s="195">
        <v>-430000</v>
      </c>
      <c r="H133" s="193"/>
      <c r="I133" s="193" t="s">
        <v>820</v>
      </c>
      <c r="J133" s="193"/>
      <c r="K133" s="193" t="s">
        <v>938</v>
      </c>
      <c r="L133" s="193" t="s">
        <v>939</v>
      </c>
      <c r="M133" s="193" t="s">
        <v>988</v>
      </c>
      <c r="N133" s="193" t="s">
        <v>941</v>
      </c>
      <c r="O133" s="193"/>
      <c r="P133" s="193" t="s">
        <v>1093</v>
      </c>
      <c r="Q133" s="193" t="s">
        <v>943</v>
      </c>
      <c r="R133" s="193" t="s">
        <v>1086</v>
      </c>
      <c r="S133" s="196" t="s">
        <v>1094</v>
      </c>
      <c r="T133" s="193" t="s">
        <v>974</v>
      </c>
      <c r="U133" s="193" t="s">
        <v>947</v>
      </c>
      <c r="V133" s="193" t="s">
        <v>975</v>
      </c>
      <c r="W133" s="193"/>
      <c r="X133" s="193" t="s">
        <v>980</v>
      </c>
    </row>
    <row r="134" spans="1:24">
      <c r="A134" s="193" t="s">
        <v>935</v>
      </c>
      <c r="B134" s="194">
        <v>4</v>
      </c>
      <c r="C134" s="194">
        <v>2025</v>
      </c>
      <c r="D134" s="193" t="s">
        <v>936</v>
      </c>
      <c r="E134" s="193"/>
      <c r="F134" s="193" t="s">
        <v>937</v>
      </c>
      <c r="G134" s="195">
        <v>-57655.16</v>
      </c>
      <c r="H134" s="193"/>
      <c r="I134" s="193" t="s">
        <v>820</v>
      </c>
      <c r="J134" s="193"/>
      <c r="K134" s="193" t="s">
        <v>938</v>
      </c>
      <c r="L134" s="193" t="s">
        <v>939</v>
      </c>
      <c r="M134" s="193" t="s">
        <v>988</v>
      </c>
      <c r="N134" s="193" t="s">
        <v>941</v>
      </c>
      <c r="O134" s="193"/>
      <c r="P134" s="193" t="s">
        <v>1093</v>
      </c>
      <c r="Q134" s="193" t="s">
        <v>943</v>
      </c>
      <c r="R134" s="193" t="s">
        <v>1086</v>
      </c>
      <c r="S134" s="196" t="s">
        <v>1094</v>
      </c>
      <c r="T134" s="193" t="s">
        <v>974</v>
      </c>
      <c r="U134" s="193" t="s">
        <v>947</v>
      </c>
      <c r="V134" s="193" t="s">
        <v>975</v>
      </c>
      <c r="W134" s="193"/>
      <c r="X134" s="193" t="s">
        <v>1087</v>
      </c>
    </row>
    <row r="135" spans="1:24">
      <c r="A135" s="193" t="s">
        <v>935</v>
      </c>
      <c r="B135" s="194">
        <v>4</v>
      </c>
      <c r="C135" s="194">
        <v>2025</v>
      </c>
      <c r="D135" s="193" t="s">
        <v>936</v>
      </c>
      <c r="E135" s="193"/>
      <c r="F135" s="193" t="s">
        <v>937</v>
      </c>
      <c r="G135" s="195">
        <v>-107430.05</v>
      </c>
      <c r="H135" s="193"/>
      <c r="I135" s="193" t="s">
        <v>820</v>
      </c>
      <c r="J135" s="193"/>
      <c r="K135" s="193" t="s">
        <v>938</v>
      </c>
      <c r="L135" s="193" t="s">
        <v>939</v>
      </c>
      <c r="M135" s="193" t="s">
        <v>988</v>
      </c>
      <c r="N135" s="193" t="s">
        <v>941</v>
      </c>
      <c r="O135" s="193"/>
      <c r="P135" s="193" t="s">
        <v>1093</v>
      </c>
      <c r="Q135" s="193" t="s">
        <v>943</v>
      </c>
      <c r="R135" s="193" t="s">
        <v>1086</v>
      </c>
      <c r="S135" s="196" t="s">
        <v>1094</v>
      </c>
      <c r="T135" s="193" t="s">
        <v>974</v>
      </c>
      <c r="U135" s="193" t="s">
        <v>947</v>
      </c>
      <c r="V135" s="193" t="s">
        <v>975</v>
      </c>
      <c r="W135" s="193"/>
      <c r="X135" s="193" t="s">
        <v>981</v>
      </c>
    </row>
    <row r="136" spans="1:24">
      <c r="A136" s="193" t="s">
        <v>935</v>
      </c>
      <c r="B136" s="194">
        <v>4</v>
      </c>
      <c r="C136" s="194">
        <v>2025</v>
      </c>
      <c r="D136" s="193" t="s">
        <v>936</v>
      </c>
      <c r="E136" s="193"/>
      <c r="F136" s="193" t="s">
        <v>937</v>
      </c>
      <c r="G136" s="195">
        <v>-2250</v>
      </c>
      <c r="H136" s="193"/>
      <c r="I136" s="193" t="s">
        <v>820</v>
      </c>
      <c r="J136" s="193"/>
      <c r="K136" s="193" t="s">
        <v>938</v>
      </c>
      <c r="L136" s="193" t="s">
        <v>939</v>
      </c>
      <c r="M136" s="193" t="s">
        <v>988</v>
      </c>
      <c r="N136" s="193" t="s">
        <v>941</v>
      </c>
      <c r="O136" s="193"/>
      <c r="P136" s="193" t="s">
        <v>1093</v>
      </c>
      <c r="Q136" s="193" t="s">
        <v>943</v>
      </c>
      <c r="R136" s="193" t="s">
        <v>1086</v>
      </c>
      <c r="S136" s="196" t="s">
        <v>1094</v>
      </c>
      <c r="T136" s="193" t="s">
        <v>974</v>
      </c>
      <c r="U136" s="193" t="s">
        <v>947</v>
      </c>
      <c r="V136" s="193" t="s">
        <v>975</v>
      </c>
      <c r="W136" s="193"/>
      <c r="X136" s="193" t="s">
        <v>1088</v>
      </c>
    </row>
    <row r="137" spans="1:24">
      <c r="A137" s="193" t="s">
        <v>935</v>
      </c>
      <c r="B137" s="194">
        <v>4</v>
      </c>
      <c r="C137" s="194">
        <v>2025</v>
      </c>
      <c r="D137" s="193" t="s">
        <v>936</v>
      </c>
      <c r="E137" s="193"/>
      <c r="F137" s="193" t="s">
        <v>937</v>
      </c>
      <c r="G137" s="195">
        <v>-12373.12</v>
      </c>
      <c r="H137" s="193"/>
      <c r="I137" s="193" t="s">
        <v>820</v>
      </c>
      <c r="J137" s="193"/>
      <c r="K137" s="193" t="s">
        <v>938</v>
      </c>
      <c r="L137" s="193" t="s">
        <v>939</v>
      </c>
      <c r="M137" s="193" t="s">
        <v>988</v>
      </c>
      <c r="N137" s="193" t="s">
        <v>941</v>
      </c>
      <c r="O137" s="193"/>
      <c r="P137" s="193" t="s">
        <v>1093</v>
      </c>
      <c r="Q137" s="193" t="s">
        <v>943</v>
      </c>
      <c r="R137" s="193" t="s">
        <v>1086</v>
      </c>
      <c r="S137" s="196" t="s">
        <v>1094</v>
      </c>
      <c r="T137" s="193" t="s">
        <v>974</v>
      </c>
      <c r="U137" s="193" t="s">
        <v>947</v>
      </c>
      <c r="V137" s="193" t="s">
        <v>975</v>
      </c>
      <c r="W137" s="193"/>
      <c r="X137" s="193" t="s">
        <v>982</v>
      </c>
    </row>
    <row r="138" spans="1:24">
      <c r="A138" s="193" t="s">
        <v>935</v>
      </c>
      <c r="B138" s="194">
        <v>4</v>
      </c>
      <c r="C138" s="194">
        <v>2025</v>
      </c>
      <c r="D138" s="193" t="s">
        <v>936</v>
      </c>
      <c r="E138" s="193"/>
      <c r="F138" s="193" t="s">
        <v>937</v>
      </c>
      <c r="G138" s="195">
        <v>-1237.4000000000001</v>
      </c>
      <c r="H138" s="193"/>
      <c r="I138" s="193" t="s">
        <v>820</v>
      </c>
      <c r="J138" s="193"/>
      <c r="K138" s="193" t="s">
        <v>938</v>
      </c>
      <c r="L138" s="193" t="s">
        <v>939</v>
      </c>
      <c r="M138" s="193" t="s">
        <v>988</v>
      </c>
      <c r="N138" s="193" t="s">
        <v>941</v>
      </c>
      <c r="O138" s="193"/>
      <c r="P138" s="193" t="s">
        <v>1095</v>
      </c>
      <c r="Q138" s="193" t="s">
        <v>943</v>
      </c>
      <c r="R138" s="193" t="s">
        <v>1092</v>
      </c>
      <c r="S138" s="196" t="s">
        <v>1094</v>
      </c>
      <c r="T138" s="193" t="s">
        <v>974</v>
      </c>
      <c r="U138" s="193" t="s">
        <v>947</v>
      </c>
      <c r="V138" s="193" t="s">
        <v>975</v>
      </c>
      <c r="W138" s="193"/>
      <c r="X138" s="193" t="s">
        <v>981</v>
      </c>
    </row>
    <row r="139" spans="1:24">
      <c r="A139" s="193" t="s">
        <v>935</v>
      </c>
      <c r="B139" s="194">
        <v>4</v>
      </c>
      <c r="C139" s="194">
        <v>2025</v>
      </c>
      <c r="D139" s="193" t="s">
        <v>936</v>
      </c>
      <c r="E139" s="193"/>
      <c r="F139" s="193" t="s">
        <v>937</v>
      </c>
      <c r="G139" s="195">
        <v>381480.39</v>
      </c>
      <c r="H139" s="193"/>
      <c r="I139" s="193" t="s">
        <v>820</v>
      </c>
      <c r="J139" s="193"/>
      <c r="K139" s="193" t="s">
        <v>938</v>
      </c>
      <c r="L139" s="193" t="s">
        <v>939</v>
      </c>
      <c r="M139" s="193" t="s">
        <v>997</v>
      </c>
      <c r="N139" s="193" t="s">
        <v>941</v>
      </c>
      <c r="O139" s="193"/>
      <c r="P139" s="193" t="s">
        <v>1096</v>
      </c>
      <c r="Q139" s="193" t="s">
        <v>943</v>
      </c>
      <c r="R139" s="193" t="s">
        <v>1097</v>
      </c>
      <c r="S139" s="196" t="s">
        <v>1098</v>
      </c>
      <c r="T139" s="193" t="s">
        <v>1001</v>
      </c>
      <c r="U139" s="193" t="s">
        <v>947</v>
      </c>
      <c r="V139" s="193"/>
      <c r="W139" s="193"/>
      <c r="X139" s="193" t="s">
        <v>1002</v>
      </c>
    </row>
    <row r="140" spans="1:24">
      <c r="A140" s="193" t="s">
        <v>935</v>
      </c>
      <c r="B140" s="194">
        <v>4</v>
      </c>
      <c r="C140" s="194">
        <v>2025</v>
      </c>
      <c r="D140" s="193" t="s">
        <v>936</v>
      </c>
      <c r="E140" s="193"/>
      <c r="F140" s="193" t="s">
        <v>937</v>
      </c>
      <c r="G140" s="195">
        <v>0</v>
      </c>
      <c r="H140" s="193"/>
      <c r="I140" s="193" t="s">
        <v>820</v>
      </c>
      <c r="J140" s="193"/>
      <c r="K140" s="193" t="s">
        <v>938</v>
      </c>
      <c r="L140" s="193" t="s">
        <v>939</v>
      </c>
      <c r="M140" s="193" t="s">
        <v>997</v>
      </c>
      <c r="N140" s="193" t="s">
        <v>941</v>
      </c>
      <c r="O140" s="193"/>
      <c r="P140" s="193" t="s">
        <v>1099</v>
      </c>
      <c r="Q140" s="193" t="s">
        <v>943</v>
      </c>
      <c r="R140" s="193" t="s">
        <v>1100</v>
      </c>
      <c r="S140" s="196" t="s">
        <v>1098</v>
      </c>
      <c r="T140" s="193" t="s">
        <v>1005</v>
      </c>
      <c r="U140" s="193" t="s">
        <v>947</v>
      </c>
      <c r="V140" s="193"/>
      <c r="W140" s="193"/>
      <c r="X140" s="193" t="s">
        <v>1006</v>
      </c>
    </row>
    <row r="141" spans="1:24">
      <c r="A141" s="193" t="s">
        <v>935</v>
      </c>
      <c r="B141" s="194">
        <v>4</v>
      </c>
      <c r="C141" s="194">
        <v>2025</v>
      </c>
      <c r="D141" s="193" t="s">
        <v>936</v>
      </c>
      <c r="E141" s="193"/>
      <c r="F141" s="193" t="s">
        <v>937</v>
      </c>
      <c r="G141" s="195">
        <v>350.11</v>
      </c>
      <c r="H141" s="193"/>
      <c r="I141" s="193" t="s">
        <v>820</v>
      </c>
      <c r="J141" s="193"/>
      <c r="K141" s="193" t="s">
        <v>938</v>
      </c>
      <c r="L141" s="193" t="s">
        <v>939</v>
      </c>
      <c r="M141" s="193" t="s">
        <v>940</v>
      </c>
      <c r="N141" s="193" t="s">
        <v>941</v>
      </c>
      <c r="O141" s="193"/>
      <c r="P141" s="193" t="s">
        <v>1101</v>
      </c>
      <c r="Q141" s="193" t="s">
        <v>943</v>
      </c>
      <c r="R141" s="193" t="s">
        <v>1102</v>
      </c>
      <c r="S141" s="196" t="s">
        <v>1103</v>
      </c>
      <c r="T141" s="193" t="s">
        <v>946</v>
      </c>
      <c r="U141" s="193" t="s">
        <v>947</v>
      </c>
      <c r="V141" s="193"/>
      <c r="W141" s="193"/>
      <c r="X141" s="193" t="s">
        <v>948</v>
      </c>
    </row>
    <row r="142" spans="1:24">
      <c r="A142" s="193" t="s">
        <v>935</v>
      </c>
      <c r="B142" s="194">
        <v>4</v>
      </c>
      <c r="C142" s="194">
        <v>2025</v>
      </c>
      <c r="D142" s="193" t="s">
        <v>936</v>
      </c>
      <c r="E142" s="193"/>
      <c r="F142" s="193" t="s">
        <v>1017</v>
      </c>
      <c r="G142" s="195">
        <v>270.62</v>
      </c>
      <c r="H142" s="193"/>
      <c r="I142" s="193" t="s">
        <v>820</v>
      </c>
      <c r="J142" s="193"/>
      <c r="K142" s="193" t="s">
        <v>938</v>
      </c>
      <c r="L142" s="193" t="s">
        <v>939</v>
      </c>
      <c r="M142" s="193" t="s">
        <v>940</v>
      </c>
      <c r="N142" s="193" t="s">
        <v>941</v>
      </c>
      <c r="O142" s="193"/>
      <c r="P142" s="193" t="s">
        <v>1101</v>
      </c>
      <c r="Q142" s="193" t="s">
        <v>943</v>
      </c>
      <c r="R142" s="193" t="s">
        <v>1102</v>
      </c>
      <c r="S142" s="196" t="s">
        <v>1103</v>
      </c>
      <c r="T142" s="193" t="s">
        <v>946</v>
      </c>
      <c r="U142" s="193" t="s">
        <v>947</v>
      </c>
      <c r="V142" s="193"/>
      <c r="W142" s="193"/>
      <c r="X142" s="193" t="s">
        <v>948</v>
      </c>
    </row>
    <row r="143" spans="1:24">
      <c r="A143" s="193" t="s">
        <v>935</v>
      </c>
      <c r="B143" s="194">
        <v>4</v>
      </c>
      <c r="C143" s="194">
        <v>2025</v>
      </c>
      <c r="D143" s="193" t="s">
        <v>936</v>
      </c>
      <c r="E143" s="193"/>
      <c r="F143" s="193" t="s">
        <v>994</v>
      </c>
      <c r="G143" s="195">
        <v>221.65</v>
      </c>
      <c r="H143" s="193"/>
      <c r="I143" s="193" t="s">
        <v>820</v>
      </c>
      <c r="J143" s="193"/>
      <c r="K143" s="193" t="s">
        <v>938</v>
      </c>
      <c r="L143" s="193" t="s">
        <v>939</v>
      </c>
      <c r="M143" s="193" t="s">
        <v>940</v>
      </c>
      <c r="N143" s="193" t="s">
        <v>941</v>
      </c>
      <c r="O143" s="193"/>
      <c r="P143" s="193" t="s">
        <v>1101</v>
      </c>
      <c r="Q143" s="193" t="s">
        <v>943</v>
      </c>
      <c r="R143" s="193" t="s">
        <v>1102</v>
      </c>
      <c r="S143" s="196" t="s">
        <v>1103</v>
      </c>
      <c r="T143" s="193" t="s">
        <v>946</v>
      </c>
      <c r="U143" s="193" t="s">
        <v>947</v>
      </c>
      <c r="V143" s="193"/>
      <c r="W143" s="193"/>
      <c r="X143" s="193" t="s">
        <v>948</v>
      </c>
    </row>
    <row r="144" spans="1:24">
      <c r="A144" s="193" t="s">
        <v>935</v>
      </c>
      <c r="B144" s="194">
        <v>4</v>
      </c>
      <c r="C144" s="194">
        <v>2025</v>
      </c>
      <c r="D144" s="193" t="s">
        <v>936</v>
      </c>
      <c r="E144" s="193"/>
      <c r="F144" s="193" t="s">
        <v>1049</v>
      </c>
      <c r="G144" s="195">
        <v>679.88</v>
      </c>
      <c r="H144" s="193"/>
      <c r="I144" s="193" t="s">
        <v>820</v>
      </c>
      <c r="J144" s="193"/>
      <c r="K144" s="193" t="s">
        <v>938</v>
      </c>
      <c r="L144" s="193" t="s">
        <v>939</v>
      </c>
      <c r="M144" s="193" t="s">
        <v>940</v>
      </c>
      <c r="N144" s="193" t="s">
        <v>941</v>
      </c>
      <c r="O144" s="193"/>
      <c r="P144" s="193" t="s">
        <v>1101</v>
      </c>
      <c r="Q144" s="193" t="s">
        <v>943</v>
      </c>
      <c r="R144" s="193" t="s">
        <v>1102</v>
      </c>
      <c r="S144" s="196" t="s">
        <v>1103</v>
      </c>
      <c r="T144" s="193" t="s">
        <v>946</v>
      </c>
      <c r="U144" s="193" t="s">
        <v>947</v>
      </c>
      <c r="V144" s="193"/>
      <c r="W144" s="193"/>
      <c r="X144" s="193" t="s">
        <v>948</v>
      </c>
    </row>
    <row r="145" spans="1:24">
      <c r="A145" s="193" t="s">
        <v>935</v>
      </c>
      <c r="B145" s="194">
        <v>4</v>
      </c>
      <c r="C145" s="194">
        <v>2025</v>
      </c>
      <c r="D145" s="193" t="s">
        <v>936</v>
      </c>
      <c r="E145" s="193"/>
      <c r="F145" s="193" t="s">
        <v>937</v>
      </c>
      <c r="G145" s="195">
        <v>54282.89</v>
      </c>
      <c r="H145" s="193"/>
      <c r="I145" s="193" t="s">
        <v>820</v>
      </c>
      <c r="J145" s="193"/>
      <c r="K145" s="193" t="s">
        <v>938</v>
      </c>
      <c r="L145" s="193" t="s">
        <v>939</v>
      </c>
      <c r="M145" s="193" t="s">
        <v>997</v>
      </c>
      <c r="N145" s="193" t="s">
        <v>941</v>
      </c>
      <c r="O145" s="193"/>
      <c r="P145" s="193" t="s">
        <v>1104</v>
      </c>
      <c r="Q145" s="193" t="s">
        <v>943</v>
      </c>
      <c r="R145" s="193" t="s">
        <v>1105</v>
      </c>
      <c r="S145" s="196" t="s">
        <v>1106</v>
      </c>
      <c r="T145" s="193" t="s">
        <v>1001</v>
      </c>
      <c r="U145" s="193" t="s">
        <v>947</v>
      </c>
      <c r="V145" s="193"/>
      <c r="W145" s="193"/>
      <c r="X145" s="193" t="s">
        <v>1002</v>
      </c>
    </row>
    <row r="146" spans="1:24">
      <c r="A146" s="193" t="s">
        <v>935</v>
      </c>
      <c r="B146" s="194">
        <v>4</v>
      </c>
      <c r="C146" s="194">
        <v>2025</v>
      </c>
      <c r="D146" s="193" t="s">
        <v>936</v>
      </c>
      <c r="E146" s="193"/>
      <c r="F146" s="193" t="s">
        <v>937</v>
      </c>
      <c r="G146" s="195">
        <v>0</v>
      </c>
      <c r="H146" s="193"/>
      <c r="I146" s="193" t="s">
        <v>820</v>
      </c>
      <c r="J146" s="193"/>
      <c r="K146" s="193" t="s">
        <v>938</v>
      </c>
      <c r="L146" s="193" t="s">
        <v>939</v>
      </c>
      <c r="M146" s="193" t="s">
        <v>997</v>
      </c>
      <c r="N146" s="193" t="s">
        <v>941</v>
      </c>
      <c r="O146" s="193"/>
      <c r="P146" s="193" t="s">
        <v>1107</v>
      </c>
      <c r="Q146" s="193" t="s">
        <v>943</v>
      </c>
      <c r="R146" s="193" t="s">
        <v>1108</v>
      </c>
      <c r="S146" s="196" t="s">
        <v>1106</v>
      </c>
      <c r="T146" s="193" t="s">
        <v>1005</v>
      </c>
      <c r="U146" s="193" t="s">
        <v>947</v>
      </c>
      <c r="V146" s="193"/>
      <c r="W146" s="193"/>
      <c r="X146" s="193" t="s">
        <v>1006</v>
      </c>
    </row>
    <row r="147" spans="1:24">
      <c r="A147" s="193" t="s">
        <v>935</v>
      </c>
      <c r="B147" s="194">
        <v>4</v>
      </c>
      <c r="C147" s="194">
        <v>2025</v>
      </c>
      <c r="D147" s="193" t="s">
        <v>936</v>
      </c>
      <c r="E147" s="193"/>
      <c r="F147" s="193" t="s">
        <v>937</v>
      </c>
      <c r="G147" s="195">
        <v>5.41</v>
      </c>
      <c r="H147" s="193"/>
      <c r="I147" s="193" t="s">
        <v>820</v>
      </c>
      <c r="J147" s="193"/>
      <c r="K147" s="193" t="s">
        <v>938</v>
      </c>
      <c r="L147" s="193" t="s">
        <v>939</v>
      </c>
      <c r="M147" s="193" t="s">
        <v>954</v>
      </c>
      <c r="N147" s="193" t="s">
        <v>941</v>
      </c>
      <c r="O147" s="193"/>
      <c r="P147" s="193" t="s">
        <v>1109</v>
      </c>
      <c r="Q147" s="193" t="s">
        <v>943</v>
      </c>
      <c r="R147" s="193" t="s">
        <v>1110</v>
      </c>
      <c r="S147" s="196" t="s">
        <v>1103</v>
      </c>
      <c r="T147" s="193" t="s">
        <v>952</v>
      </c>
      <c r="U147" s="193" t="s">
        <v>947</v>
      </c>
      <c r="V147" s="193"/>
      <c r="W147" s="193"/>
      <c r="X147" s="193" t="s">
        <v>953</v>
      </c>
    </row>
    <row r="148" spans="1:24">
      <c r="A148" s="193" t="s">
        <v>935</v>
      </c>
      <c r="B148" s="194">
        <v>4</v>
      </c>
      <c r="C148" s="194">
        <v>2025</v>
      </c>
      <c r="D148" s="193" t="s">
        <v>936</v>
      </c>
      <c r="E148" s="193"/>
      <c r="F148" s="193" t="s">
        <v>1049</v>
      </c>
      <c r="G148" s="195">
        <v>328.21</v>
      </c>
      <c r="H148" s="193"/>
      <c r="I148" s="193" t="s">
        <v>820</v>
      </c>
      <c r="J148" s="193"/>
      <c r="K148" s="193" t="s">
        <v>938</v>
      </c>
      <c r="L148" s="193" t="s">
        <v>939</v>
      </c>
      <c r="M148" s="193" t="s">
        <v>958</v>
      </c>
      <c r="N148" s="193" t="s">
        <v>941</v>
      </c>
      <c r="O148" s="193"/>
      <c r="P148" s="193" t="s">
        <v>1109</v>
      </c>
      <c r="Q148" s="193" t="s">
        <v>943</v>
      </c>
      <c r="R148" s="193" t="s">
        <v>1110</v>
      </c>
      <c r="S148" s="196" t="s">
        <v>1103</v>
      </c>
      <c r="T148" s="193" t="s">
        <v>952</v>
      </c>
      <c r="U148" s="193" t="s">
        <v>947</v>
      </c>
      <c r="V148" s="193"/>
      <c r="W148" s="193"/>
      <c r="X148" s="193" t="s">
        <v>953</v>
      </c>
    </row>
    <row r="149" spans="1:24">
      <c r="A149" s="193" t="s">
        <v>935</v>
      </c>
      <c r="B149" s="194">
        <v>4</v>
      </c>
      <c r="C149" s="194">
        <v>2025</v>
      </c>
      <c r="D149" s="193" t="s">
        <v>936</v>
      </c>
      <c r="E149" s="193"/>
      <c r="F149" s="193" t="s">
        <v>1017</v>
      </c>
      <c r="G149" s="195">
        <v>14.76</v>
      </c>
      <c r="H149" s="193"/>
      <c r="I149" s="193" t="s">
        <v>820</v>
      </c>
      <c r="J149" s="193"/>
      <c r="K149" s="193" t="s">
        <v>938</v>
      </c>
      <c r="L149" s="193" t="s">
        <v>939</v>
      </c>
      <c r="M149" s="193" t="s">
        <v>955</v>
      </c>
      <c r="N149" s="193" t="s">
        <v>941</v>
      </c>
      <c r="O149" s="193"/>
      <c r="P149" s="193" t="s">
        <v>1109</v>
      </c>
      <c r="Q149" s="193" t="s">
        <v>943</v>
      </c>
      <c r="R149" s="193" t="s">
        <v>1110</v>
      </c>
      <c r="S149" s="196" t="s">
        <v>1103</v>
      </c>
      <c r="T149" s="193" t="s">
        <v>952</v>
      </c>
      <c r="U149" s="193" t="s">
        <v>947</v>
      </c>
      <c r="V149" s="193"/>
      <c r="W149" s="193"/>
      <c r="X149" s="193" t="s">
        <v>953</v>
      </c>
    </row>
    <row r="150" spans="1:24">
      <c r="A150" s="193" t="s">
        <v>935</v>
      </c>
      <c r="B150" s="194">
        <v>4</v>
      </c>
      <c r="C150" s="194">
        <v>2025</v>
      </c>
      <c r="D150" s="193" t="s">
        <v>936</v>
      </c>
      <c r="E150" s="193"/>
      <c r="F150" s="193" t="s">
        <v>1017</v>
      </c>
      <c r="G150" s="195">
        <v>60.78</v>
      </c>
      <c r="H150" s="193"/>
      <c r="I150" s="193" t="s">
        <v>820</v>
      </c>
      <c r="J150" s="193"/>
      <c r="K150" s="193" t="s">
        <v>938</v>
      </c>
      <c r="L150" s="193" t="s">
        <v>939</v>
      </c>
      <c r="M150" s="193" t="s">
        <v>956</v>
      </c>
      <c r="N150" s="193" t="s">
        <v>941</v>
      </c>
      <c r="O150" s="193"/>
      <c r="P150" s="193" t="s">
        <v>1109</v>
      </c>
      <c r="Q150" s="193" t="s">
        <v>943</v>
      </c>
      <c r="R150" s="193" t="s">
        <v>1110</v>
      </c>
      <c r="S150" s="196" t="s">
        <v>1103</v>
      </c>
      <c r="T150" s="193" t="s">
        <v>952</v>
      </c>
      <c r="U150" s="193" t="s">
        <v>947</v>
      </c>
      <c r="V150" s="193"/>
      <c r="W150" s="193"/>
      <c r="X150" s="193" t="s">
        <v>953</v>
      </c>
    </row>
    <row r="151" spans="1:24">
      <c r="A151" s="193" t="s">
        <v>935</v>
      </c>
      <c r="B151" s="194">
        <v>4</v>
      </c>
      <c r="C151" s="194">
        <v>2025</v>
      </c>
      <c r="D151" s="193" t="s">
        <v>936</v>
      </c>
      <c r="E151" s="193"/>
      <c r="F151" s="193" t="s">
        <v>1017</v>
      </c>
      <c r="G151" s="195">
        <v>1.67</v>
      </c>
      <c r="H151" s="193"/>
      <c r="I151" s="193" t="s">
        <v>820</v>
      </c>
      <c r="J151" s="193"/>
      <c r="K151" s="193" t="s">
        <v>938</v>
      </c>
      <c r="L151" s="193" t="s">
        <v>939</v>
      </c>
      <c r="M151" s="193" t="s">
        <v>957</v>
      </c>
      <c r="N151" s="193" t="s">
        <v>941</v>
      </c>
      <c r="O151" s="193"/>
      <c r="P151" s="193" t="s">
        <v>1109</v>
      </c>
      <c r="Q151" s="193" t="s">
        <v>943</v>
      </c>
      <c r="R151" s="193" t="s">
        <v>1110</v>
      </c>
      <c r="S151" s="196" t="s">
        <v>1103</v>
      </c>
      <c r="T151" s="193" t="s">
        <v>952</v>
      </c>
      <c r="U151" s="193" t="s">
        <v>947</v>
      </c>
      <c r="V151" s="193"/>
      <c r="W151" s="193"/>
      <c r="X151" s="193" t="s">
        <v>953</v>
      </c>
    </row>
    <row r="152" spans="1:24">
      <c r="A152" s="193" t="s">
        <v>935</v>
      </c>
      <c r="B152" s="194">
        <v>4</v>
      </c>
      <c r="C152" s="194">
        <v>2025</v>
      </c>
      <c r="D152" s="193" t="s">
        <v>936</v>
      </c>
      <c r="E152" s="193"/>
      <c r="F152" s="193" t="s">
        <v>937</v>
      </c>
      <c r="G152" s="195">
        <v>19.100000000000001</v>
      </c>
      <c r="H152" s="193"/>
      <c r="I152" s="193" t="s">
        <v>820</v>
      </c>
      <c r="J152" s="193"/>
      <c r="K152" s="193" t="s">
        <v>938</v>
      </c>
      <c r="L152" s="193" t="s">
        <v>939</v>
      </c>
      <c r="M152" s="193" t="s">
        <v>955</v>
      </c>
      <c r="N152" s="193" t="s">
        <v>941</v>
      </c>
      <c r="O152" s="193"/>
      <c r="P152" s="193" t="s">
        <v>1109</v>
      </c>
      <c r="Q152" s="193" t="s">
        <v>943</v>
      </c>
      <c r="R152" s="193" t="s">
        <v>1110</v>
      </c>
      <c r="S152" s="196" t="s">
        <v>1103</v>
      </c>
      <c r="T152" s="193" t="s">
        <v>952</v>
      </c>
      <c r="U152" s="193" t="s">
        <v>947</v>
      </c>
      <c r="V152" s="193"/>
      <c r="W152" s="193"/>
      <c r="X152" s="193" t="s">
        <v>953</v>
      </c>
    </row>
    <row r="153" spans="1:24">
      <c r="A153" s="193" t="s">
        <v>935</v>
      </c>
      <c r="B153" s="194">
        <v>4</v>
      </c>
      <c r="C153" s="194">
        <v>2025</v>
      </c>
      <c r="D153" s="193" t="s">
        <v>936</v>
      </c>
      <c r="E153" s="193"/>
      <c r="F153" s="193" t="s">
        <v>937</v>
      </c>
      <c r="G153" s="195">
        <v>78.63</v>
      </c>
      <c r="H153" s="193"/>
      <c r="I153" s="193" t="s">
        <v>820</v>
      </c>
      <c r="J153" s="193"/>
      <c r="K153" s="193" t="s">
        <v>938</v>
      </c>
      <c r="L153" s="193" t="s">
        <v>939</v>
      </c>
      <c r="M153" s="193" t="s">
        <v>956</v>
      </c>
      <c r="N153" s="193" t="s">
        <v>941</v>
      </c>
      <c r="O153" s="193"/>
      <c r="P153" s="193" t="s">
        <v>1109</v>
      </c>
      <c r="Q153" s="193" t="s">
        <v>943</v>
      </c>
      <c r="R153" s="193" t="s">
        <v>1110</v>
      </c>
      <c r="S153" s="196" t="s">
        <v>1103</v>
      </c>
      <c r="T153" s="193" t="s">
        <v>952</v>
      </c>
      <c r="U153" s="193" t="s">
        <v>947</v>
      </c>
      <c r="V153" s="193"/>
      <c r="W153" s="193"/>
      <c r="X153" s="193" t="s">
        <v>953</v>
      </c>
    </row>
    <row r="154" spans="1:24">
      <c r="A154" s="193" t="s">
        <v>935</v>
      </c>
      <c r="B154" s="194">
        <v>4</v>
      </c>
      <c r="C154" s="194">
        <v>2025</v>
      </c>
      <c r="D154" s="193" t="s">
        <v>936</v>
      </c>
      <c r="E154" s="193"/>
      <c r="F154" s="193" t="s">
        <v>937</v>
      </c>
      <c r="G154" s="195">
        <v>2.16</v>
      </c>
      <c r="H154" s="193"/>
      <c r="I154" s="193" t="s">
        <v>820</v>
      </c>
      <c r="J154" s="193"/>
      <c r="K154" s="193" t="s">
        <v>938</v>
      </c>
      <c r="L154" s="193" t="s">
        <v>939</v>
      </c>
      <c r="M154" s="193" t="s">
        <v>957</v>
      </c>
      <c r="N154" s="193" t="s">
        <v>941</v>
      </c>
      <c r="O154" s="193"/>
      <c r="P154" s="193" t="s">
        <v>1109</v>
      </c>
      <c r="Q154" s="193" t="s">
        <v>943</v>
      </c>
      <c r="R154" s="193" t="s">
        <v>1110</v>
      </c>
      <c r="S154" s="196" t="s">
        <v>1103</v>
      </c>
      <c r="T154" s="193" t="s">
        <v>952</v>
      </c>
      <c r="U154" s="193" t="s">
        <v>947</v>
      </c>
      <c r="V154" s="193"/>
      <c r="W154" s="193"/>
      <c r="X154" s="193" t="s">
        <v>953</v>
      </c>
    </row>
    <row r="155" spans="1:24">
      <c r="A155" s="193" t="s">
        <v>935</v>
      </c>
      <c r="B155" s="194">
        <v>4</v>
      </c>
      <c r="C155" s="194">
        <v>2025</v>
      </c>
      <c r="D155" s="193" t="s">
        <v>936</v>
      </c>
      <c r="E155" s="193"/>
      <c r="F155" s="193" t="s">
        <v>937</v>
      </c>
      <c r="G155" s="195">
        <v>168.99</v>
      </c>
      <c r="H155" s="193"/>
      <c r="I155" s="193" t="s">
        <v>820</v>
      </c>
      <c r="J155" s="193"/>
      <c r="K155" s="193" t="s">
        <v>938</v>
      </c>
      <c r="L155" s="193" t="s">
        <v>939</v>
      </c>
      <c r="M155" s="193" t="s">
        <v>958</v>
      </c>
      <c r="N155" s="193" t="s">
        <v>941</v>
      </c>
      <c r="O155" s="193"/>
      <c r="P155" s="193" t="s">
        <v>1109</v>
      </c>
      <c r="Q155" s="193" t="s">
        <v>943</v>
      </c>
      <c r="R155" s="193" t="s">
        <v>1110</v>
      </c>
      <c r="S155" s="196" t="s">
        <v>1103</v>
      </c>
      <c r="T155" s="193" t="s">
        <v>952</v>
      </c>
      <c r="U155" s="193" t="s">
        <v>947</v>
      </c>
      <c r="V155" s="193"/>
      <c r="W155" s="193"/>
      <c r="X155" s="193" t="s">
        <v>953</v>
      </c>
    </row>
    <row r="156" spans="1:24">
      <c r="A156" s="193" t="s">
        <v>935</v>
      </c>
      <c r="B156" s="194">
        <v>4</v>
      </c>
      <c r="C156" s="194">
        <v>2025</v>
      </c>
      <c r="D156" s="193" t="s">
        <v>936</v>
      </c>
      <c r="E156" s="193"/>
      <c r="F156" s="193" t="s">
        <v>1017</v>
      </c>
      <c r="G156" s="195">
        <v>4.18</v>
      </c>
      <c r="H156" s="193"/>
      <c r="I156" s="193" t="s">
        <v>820</v>
      </c>
      <c r="J156" s="193"/>
      <c r="K156" s="193" t="s">
        <v>938</v>
      </c>
      <c r="L156" s="193" t="s">
        <v>939</v>
      </c>
      <c r="M156" s="193" t="s">
        <v>954</v>
      </c>
      <c r="N156" s="193" t="s">
        <v>941</v>
      </c>
      <c r="O156" s="193"/>
      <c r="P156" s="193" t="s">
        <v>1109</v>
      </c>
      <c r="Q156" s="193" t="s">
        <v>943</v>
      </c>
      <c r="R156" s="193" t="s">
        <v>1110</v>
      </c>
      <c r="S156" s="196" t="s">
        <v>1103</v>
      </c>
      <c r="T156" s="193" t="s">
        <v>952</v>
      </c>
      <c r="U156" s="193" t="s">
        <v>947</v>
      </c>
      <c r="V156" s="193"/>
      <c r="W156" s="193"/>
      <c r="X156" s="193" t="s">
        <v>953</v>
      </c>
    </row>
    <row r="157" spans="1:24">
      <c r="A157" s="193" t="s">
        <v>935</v>
      </c>
      <c r="B157" s="194">
        <v>4</v>
      </c>
      <c r="C157" s="194">
        <v>2025</v>
      </c>
      <c r="D157" s="193" t="s">
        <v>936</v>
      </c>
      <c r="E157" s="193"/>
      <c r="F157" s="193" t="s">
        <v>994</v>
      </c>
      <c r="G157" s="195">
        <v>3.42</v>
      </c>
      <c r="H157" s="193"/>
      <c r="I157" s="193" t="s">
        <v>820</v>
      </c>
      <c r="J157" s="193"/>
      <c r="K157" s="193" t="s">
        <v>938</v>
      </c>
      <c r="L157" s="193" t="s">
        <v>939</v>
      </c>
      <c r="M157" s="193" t="s">
        <v>954</v>
      </c>
      <c r="N157" s="193" t="s">
        <v>941</v>
      </c>
      <c r="O157" s="193"/>
      <c r="P157" s="193" t="s">
        <v>1109</v>
      </c>
      <c r="Q157" s="193" t="s">
        <v>943</v>
      </c>
      <c r="R157" s="193" t="s">
        <v>1110</v>
      </c>
      <c r="S157" s="196" t="s">
        <v>1103</v>
      </c>
      <c r="T157" s="193" t="s">
        <v>952</v>
      </c>
      <c r="U157" s="193" t="s">
        <v>947</v>
      </c>
      <c r="V157" s="193"/>
      <c r="W157" s="193"/>
      <c r="X157" s="193" t="s">
        <v>953</v>
      </c>
    </row>
    <row r="158" spans="1:24">
      <c r="A158" s="193" t="s">
        <v>935</v>
      </c>
      <c r="B158" s="194">
        <v>4</v>
      </c>
      <c r="C158" s="194">
        <v>2025</v>
      </c>
      <c r="D158" s="193" t="s">
        <v>936</v>
      </c>
      <c r="E158" s="193"/>
      <c r="F158" s="193" t="s">
        <v>994</v>
      </c>
      <c r="G158" s="195">
        <v>12.09</v>
      </c>
      <c r="H158" s="193"/>
      <c r="I158" s="193" t="s">
        <v>820</v>
      </c>
      <c r="J158" s="193"/>
      <c r="K158" s="193" t="s">
        <v>938</v>
      </c>
      <c r="L158" s="193" t="s">
        <v>939</v>
      </c>
      <c r="M158" s="193" t="s">
        <v>955</v>
      </c>
      <c r="N158" s="193" t="s">
        <v>941</v>
      </c>
      <c r="O158" s="193"/>
      <c r="P158" s="193" t="s">
        <v>1109</v>
      </c>
      <c r="Q158" s="193" t="s">
        <v>943</v>
      </c>
      <c r="R158" s="193" t="s">
        <v>1110</v>
      </c>
      <c r="S158" s="196" t="s">
        <v>1103</v>
      </c>
      <c r="T158" s="193" t="s">
        <v>952</v>
      </c>
      <c r="U158" s="193" t="s">
        <v>947</v>
      </c>
      <c r="V158" s="193"/>
      <c r="W158" s="193"/>
      <c r="X158" s="193" t="s">
        <v>953</v>
      </c>
    </row>
    <row r="159" spans="1:24">
      <c r="A159" s="193" t="s">
        <v>935</v>
      </c>
      <c r="B159" s="194">
        <v>4</v>
      </c>
      <c r="C159" s="194">
        <v>2025</v>
      </c>
      <c r="D159" s="193" t="s">
        <v>936</v>
      </c>
      <c r="E159" s="193"/>
      <c r="F159" s="193" t="s">
        <v>994</v>
      </c>
      <c r="G159" s="195">
        <v>49.79</v>
      </c>
      <c r="H159" s="193"/>
      <c r="I159" s="193" t="s">
        <v>820</v>
      </c>
      <c r="J159" s="193"/>
      <c r="K159" s="193" t="s">
        <v>938</v>
      </c>
      <c r="L159" s="193" t="s">
        <v>939</v>
      </c>
      <c r="M159" s="193" t="s">
        <v>956</v>
      </c>
      <c r="N159" s="193" t="s">
        <v>941</v>
      </c>
      <c r="O159" s="193"/>
      <c r="P159" s="193" t="s">
        <v>1109</v>
      </c>
      <c r="Q159" s="193" t="s">
        <v>943</v>
      </c>
      <c r="R159" s="193" t="s">
        <v>1110</v>
      </c>
      <c r="S159" s="196" t="s">
        <v>1103</v>
      </c>
      <c r="T159" s="193" t="s">
        <v>952</v>
      </c>
      <c r="U159" s="193" t="s">
        <v>947</v>
      </c>
      <c r="V159" s="193"/>
      <c r="W159" s="193"/>
      <c r="X159" s="193" t="s">
        <v>953</v>
      </c>
    </row>
    <row r="160" spans="1:24">
      <c r="A160" s="193" t="s">
        <v>935</v>
      </c>
      <c r="B160" s="194">
        <v>4</v>
      </c>
      <c r="C160" s="194">
        <v>2025</v>
      </c>
      <c r="D160" s="193" t="s">
        <v>936</v>
      </c>
      <c r="E160" s="193"/>
      <c r="F160" s="193" t="s">
        <v>994</v>
      </c>
      <c r="G160" s="195">
        <v>1.37</v>
      </c>
      <c r="H160" s="193"/>
      <c r="I160" s="193" t="s">
        <v>820</v>
      </c>
      <c r="J160" s="193"/>
      <c r="K160" s="193" t="s">
        <v>938</v>
      </c>
      <c r="L160" s="193" t="s">
        <v>939</v>
      </c>
      <c r="M160" s="193" t="s">
        <v>957</v>
      </c>
      <c r="N160" s="193" t="s">
        <v>941</v>
      </c>
      <c r="O160" s="193"/>
      <c r="P160" s="193" t="s">
        <v>1109</v>
      </c>
      <c r="Q160" s="193" t="s">
        <v>943</v>
      </c>
      <c r="R160" s="193" t="s">
        <v>1110</v>
      </c>
      <c r="S160" s="196" t="s">
        <v>1103</v>
      </c>
      <c r="T160" s="193" t="s">
        <v>952</v>
      </c>
      <c r="U160" s="193" t="s">
        <v>947</v>
      </c>
      <c r="V160" s="193"/>
      <c r="W160" s="193"/>
      <c r="X160" s="193" t="s">
        <v>953</v>
      </c>
    </row>
    <row r="161" spans="1:24">
      <c r="A161" s="193" t="s">
        <v>935</v>
      </c>
      <c r="B161" s="194">
        <v>4</v>
      </c>
      <c r="C161" s="194">
        <v>2025</v>
      </c>
      <c r="D161" s="193" t="s">
        <v>936</v>
      </c>
      <c r="E161" s="193"/>
      <c r="F161" s="193" t="s">
        <v>994</v>
      </c>
      <c r="G161" s="195">
        <v>106.99</v>
      </c>
      <c r="H161" s="193"/>
      <c r="I161" s="193" t="s">
        <v>820</v>
      </c>
      <c r="J161" s="193"/>
      <c r="K161" s="193" t="s">
        <v>938</v>
      </c>
      <c r="L161" s="193" t="s">
        <v>939</v>
      </c>
      <c r="M161" s="193" t="s">
        <v>958</v>
      </c>
      <c r="N161" s="193" t="s">
        <v>941</v>
      </c>
      <c r="O161" s="193"/>
      <c r="P161" s="193" t="s">
        <v>1109</v>
      </c>
      <c r="Q161" s="193" t="s">
        <v>943</v>
      </c>
      <c r="R161" s="193" t="s">
        <v>1110</v>
      </c>
      <c r="S161" s="196" t="s">
        <v>1103</v>
      </c>
      <c r="T161" s="193" t="s">
        <v>952</v>
      </c>
      <c r="U161" s="193" t="s">
        <v>947</v>
      </c>
      <c r="V161" s="193"/>
      <c r="W161" s="193"/>
      <c r="X161" s="193" t="s">
        <v>953</v>
      </c>
    </row>
    <row r="162" spans="1:24">
      <c r="A162" s="193" t="s">
        <v>935</v>
      </c>
      <c r="B162" s="194">
        <v>4</v>
      </c>
      <c r="C162" s="194">
        <v>2025</v>
      </c>
      <c r="D162" s="193" t="s">
        <v>936</v>
      </c>
      <c r="E162" s="193"/>
      <c r="F162" s="193" t="s">
        <v>1049</v>
      </c>
      <c r="G162" s="195">
        <v>10.5</v>
      </c>
      <c r="H162" s="193"/>
      <c r="I162" s="193" t="s">
        <v>820</v>
      </c>
      <c r="J162" s="193"/>
      <c r="K162" s="193" t="s">
        <v>938</v>
      </c>
      <c r="L162" s="193" t="s">
        <v>939</v>
      </c>
      <c r="M162" s="193" t="s">
        <v>954</v>
      </c>
      <c r="N162" s="193" t="s">
        <v>941</v>
      </c>
      <c r="O162" s="193"/>
      <c r="P162" s="193" t="s">
        <v>1109</v>
      </c>
      <c r="Q162" s="193" t="s">
        <v>943</v>
      </c>
      <c r="R162" s="193" t="s">
        <v>1110</v>
      </c>
      <c r="S162" s="196" t="s">
        <v>1103</v>
      </c>
      <c r="T162" s="193" t="s">
        <v>952</v>
      </c>
      <c r="U162" s="193" t="s">
        <v>947</v>
      </c>
      <c r="V162" s="193"/>
      <c r="W162" s="193"/>
      <c r="X162" s="193" t="s">
        <v>953</v>
      </c>
    </row>
    <row r="163" spans="1:24">
      <c r="A163" s="193" t="s">
        <v>935</v>
      </c>
      <c r="B163" s="194">
        <v>4</v>
      </c>
      <c r="C163" s="194">
        <v>2025</v>
      </c>
      <c r="D163" s="193" t="s">
        <v>936</v>
      </c>
      <c r="E163" s="193"/>
      <c r="F163" s="193" t="s">
        <v>1049</v>
      </c>
      <c r="G163" s="195">
        <v>37.08</v>
      </c>
      <c r="H163" s="193"/>
      <c r="I163" s="193" t="s">
        <v>820</v>
      </c>
      <c r="J163" s="193"/>
      <c r="K163" s="193" t="s">
        <v>938</v>
      </c>
      <c r="L163" s="193" t="s">
        <v>939</v>
      </c>
      <c r="M163" s="193" t="s">
        <v>955</v>
      </c>
      <c r="N163" s="193" t="s">
        <v>941</v>
      </c>
      <c r="O163" s="193"/>
      <c r="P163" s="193" t="s">
        <v>1109</v>
      </c>
      <c r="Q163" s="193" t="s">
        <v>943</v>
      </c>
      <c r="R163" s="193" t="s">
        <v>1110</v>
      </c>
      <c r="S163" s="196" t="s">
        <v>1103</v>
      </c>
      <c r="T163" s="193" t="s">
        <v>952</v>
      </c>
      <c r="U163" s="193" t="s">
        <v>947</v>
      </c>
      <c r="V163" s="193"/>
      <c r="W163" s="193"/>
      <c r="X163" s="193" t="s">
        <v>953</v>
      </c>
    </row>
    <row r="164" spans="1:24">
      <c r="A164" s="193" t="s">
        <v>935</v>
      </c>
      <c r="B164" s="194">
        <v>4</v>
      </c>
      <c r="C164" s="194">
        <v>2025</v>
      </c>
      <c r="D164" s="193" t="s">
        <v>936</v>
      </c>
      <c r="E164" s="193"/>
      <c r="F164" s="193" t="s">
        <v>1017</v>
      </c>
      <c r="G164" s="195">
        <v>130.63999999999999</v>
      </c>
      <c r="H164" s="193"/>
      <c r="I164" s="193" t="s">
        <v>820</v>
      </c>
      <c r="J164" s="193"/>
      <c r="K164" s="193" t="s">
        <v>938</v>
      </c>
      <c r="L164" s="193" t="s">
        <v>939</v>
      </c>
      <c r="M164" s="193" t="s">
        <v>958</v>
      </c>
      <c r="N164" s="193" t="s">
        <v>941</v>
      </c>
      <c r="O164" s="193"/>
      <c r="P164" s="193" t="s">
        <v>1109</v>
      </c>
      <c r="Q164" s="193" t="s">
        <v>943</v>
      </c>
      <c r="R164" s="193" t="s">
        <v>1110</v>
      </c>
      <c r="S164" s="196" t="s">
        <v>1103</v>
      </c>
      <c r="T164" s="193" t="s">
        <v>952</v>
      </c>
      <c r="U164" s="193" t="s">
        <v>947</v>
      </c>
      <c r="V164" s="193"/>
      <c r="W164" s="193"/>
      <c r="X164" s="193" t="s">
        <v>953</v>
      </c>
    </row>
    <row r="165" spans="1:24">
      <c r="A165" s="193" t="s">
        <v>935</v>
      </c>
      <c r="B165" s="194">
        <v>4</v>
      </c>
      <c r="C165" s="194">
        <v>2025</v>
      </c>
      <c r="D165" s="193" t="s">
        <v>936</v>
      </c>
      <c r="E165" s="193"/>
      <c r="F165" s="193" t="s">
        <v>1049</v>
      </c>
      <c r="G165" s="195">
        <v>4.1900000000000004</v>
      </c>
      <c r="H165" s="193"/>
      <c r="I165" s="193" t="s">
        <v>820</v>
      </c>
      <c r="J165" s="193"/>
      <c r="K165" s="193" t="s">
        <v>938</v>
      </c>
      <c r="L165" s="193" t="s">
        <v>939</v>
      </c>
      <c r="M165" s="193" t="s">
        <v>957</v>
      </c>
      <c r="N165" s="193" t="s">
        <v>941</v>
      </c>
      <c r="O165" s="193"/>
      <c r="P165" s="193" t="s">
        <v>1109</v>
      </c>
      <c r="Q165" s="193" t="s">
        <v>943</v>
      </c>
      <c r="R165" s="193" t="s">
        <v>1110</v>
      </c>
      <c r="S165" s="196" t="s">
        <v>1103</v>
      </c>
      <c r="T165" s="193" t="s">
        <v>952</v>
      </c>
      <c r="U165" s="193" t="s">
        <v>947</v>
      </c>
      <c r="V165" s="193"/>
      <c r="W165" s="193"/>
      <c r="X165" s="193" t="s">
        <v>953</v>
      </c>
    </row>
    <row r="166" spans="1:24">
      <c r="A166" s="193" t="s">
        <v>935</v>
      </c>
      <c r="B166" s="194">
        <v>4</v>
      </c>
      <c r="C166" s="194">
        <v>2025</v>
      </c>
      <c r="D166" s="193" t="s">
        <v>936</v>
      </c>
      <c r="E166" s="193"/>
      <c r="F166" s="193" t="s">
        <v>1049</v>
      </c>
      <c r="G166" s="195">
        <v>152.69999999999999</v>
      </c>
      <c r="H166" s="193"/>
      <c r="I166" s="193" t="s">
        <v>820</v>
      </c>
      <c r="J166" s="193"/>
      <c r="K166" s="193" t="s">
        <v>938</v>
      </c>
      <c r="L166" s="193" t="s">
        <v>939</v>
      </c>
      <c r="M166" s="193" t="s">
        <v>956</v>
      </c>
      <c r="N166" s="193" t="s">
        <v>941</v>
      </c>
      <c r="O166" s="193"/>
      <c r="P166" s="193" t="s">
        <v>1109</v>
      </c>
      <c r="Q166" s="193" t="s">
        <v>943</v>
      </c>
      <c r="R166" s="193" t="s">
        <v>1110</v>
      </c>
      <c r="S166" s="196" t="s">
        <v>1103</v>
      </c>
      <c r="T166" s="193" t="s">
        <v>952</v>
      </c>
      <c r="U166" s="193" t="s">
        <v>947</v>
      </c>
      <c r="V166" s="193"/>
      <c r="W166" s="193"/>
      <c r="X166" s="193" t="s">
        <v>953</v>
      </c>
    </row>
    <row r="167" spans="1:24">
      <c r="A167" s="193" t="s">
        <v>935</v>
      </c>
      <c r="B167" s="194">
        <v>4</v>
      </c>
      <c r="C167" s="194">
        <v>2025</v>
      </c>
      <c r="D167" s="193" t="s">
        <v>936</v>
      </c>
      <c r="E167" s="193"/>
      <c r="F167" s="193" t="s">
        <v>937</v>
      </c>
      <c r="G167" s="195">
        <v>13568.38</v>
      </c>
      <c r="H167" s="193"/>
      <c r="I167" s="193" t="s">
        <v>820</v>
      </c>
      <c r="J167" s="193"/>
      <c r="K167" s="193" t="s">
        <v>938</v>
      </c>
      <c r="L167" s="193" t="s">
        <v>939</v>
      </c>
      <c r="M167" s="193" t="s">
        <v>997</v>
      </c>
      <c r="N167" s="193" t="s">
        <v>941</v>
      </c>
      <c r="O167" s="193"/>
      <c r="P167" s="193" t="s">
        <v>1111</v>
      </c>
      <c r="Q167" s="193" t="s">
        <v>943</v>
      </c>
      <c r="R167" s="193" t="s">
        <v>1112</v>
      </c>
      <c r="S167" s="196" t="s">
        <v>1113</v>
      </c>
      <c r="T167" s="193" t="s">
        <v>1001</v>
      </c>
      <c r="U167" s="193" t="s">
        <v>947</v>
      </c>
      <c r="V167" s="193"/>
      <c r="W167" s="193"/>
      <c r="X167" s="193" t="s">
        <v>1002</v>
      </c>
    </row>
    <row r="168" spans="1:24">
      <c r="A168" s="193" t="s">
        <v>935</v>
      </c>
      <c r="B168" s="194">
        <v>4</v>
      </c>
      <c r="C168" s="194">
        <v>2025</v>
      </c>
      <c r="D168" s="193" t="s">
        <v>936</v>
      </c>
      <c r="E168" s="193"/>
      <c r="F168" s="193" t="s">
        <v>937</v>
      </c>
      <c r="G168" s="195">
        <v>0</v>
      </c>
      <c r="H168" s="193"/>
      <c r="I168" s="193" t="s">
        <v>820</v>
      </c>
      <c r="J168" s="193"/>
      <c r="K168" s="193" t="s">
        <v>938</v>
      </c>
      <c r="L168" s="193" t="s">
        <v>939</v>
      </c>
      <c r="M168" s="193" t="s">
        <v>997</v>
      </c>
      <c r="N168" s="193" t="s">
        <v>941</v>
      </c>
      <c r="O168" s="193"/>
      <c r="P168" s="193" t="s">
        <v>1114</v>
      </c>
      <c r="Q168" s="193" t="s">
        <v>943</v>
      </c>
      <c r="R168" s="193" t="s">
        <v>1115</v>
      </c>
      <c r="S168" s="196" t="s">
        <v>1113</v>
      </c>
      <c r="T168" s="193" t="s">
        <v>1005</v>
      </c>
      <c r="U168" s="193" t="s">
        <v>947</v>
      </c>
      <c r="V168" s="193"/>
      <c r="W168" s="193"/>
      <c r="X168" s="193" t="s">
        <v>1006</v>
      </c>
    </row>
    <row r="169" spans="1:24">
      <c r="A169" s="193" t="s">
        <v>935</v>
      </c>
      <c r="B169" s="194">
        <v>4</v>
      </c>
      <c r="C169" s="194">
        <v>2025</v>
      </c>
      <c r="D169" s="193" t="s">
        <v>936</v>
      </c>
      <c r="E169" s="193"/>
      <c r="F169" s="193" t="s">
        <v>937</v>
      </c>
      <c r="G169" s="195">
        <v>298987.62</v>
      </c>
      <c r="H169" s="193"/>
      <c r="I169" s="193" t="s">
        <v>820</v>
      </c>
      <c r="J169" s="193"/>
      <c r="K169" s="193" t="s">
        <v>938</v>
      </c>
      <c r="L169" s="193" t="s">
        <v>939</v>
      </c>
      <c r="M169" s="193" t="s">
        <v>997</v>
      </c>
      <c r="N169" s="193" t="s">
        <v>941</v>
      </c>
      <c r="O169" s="193"/>
      <c r="P169" s="193" t="s">
        <v>1116</v>
      </c>
      <c r="Q169" s="193" t="s">
        <v>943</v>
      </c>
      <c r="R169" s="193" t="s">
        <v>1117</v>
      </c>
      <c r="S169" s="196" t="s">
        <v>1118</v>
      </c>
      <c r="T169" s="193" t="s">
        <v>1001</v>
      </c>
      <c r="U169" s="193" t="s">
        <v>947</v>
      </c>
      <c r="V169" s="193"/>
      <c r="W169" s="193"/>
      <c r="X169" s="193" t="s">
        <v>1002</v>
      </c>
    </row>
    <row r="170" spans="1:24">
      <c r="A170" s="193" t="s">
        <v>935</v>
      </c>
      <c r="B170" s="194">
        <v>4</v>
      </c>
      <c r="C170" s="194">
        <v>2025</v>
      </c>
      <c r="D170" s="193" t="s">
        <v>936</v>
      </c>
      <c r="E170" s="193"/>
      <c r="F170" s="193" t="s">
        <v>937</v>
      </c>
      <c r="G170" s="195">
        <v>0</v>
      </c>
      <c r="H170" s="193"/>
      <c r="I170" s="193" t="s">
        <v>820</v>
      </c>
      <c r="J170" s="193"/>
      <c r="K170" s="193" t="s">
        <v>938</v>
      </c>
      <c r="L170" s="193" t="s">
        <v>939</v>
      </c>
      <c r="M170" s="193" t="s">
        <v>997</v>
      </c>
      <c r="N170" s="193" t="s">
        <v>941</v>
      </c>
      <c r="O170" s="193"/>
      <c r="P170" s="193" t="s">
        <v>1119</v>
      </c>
      <c r="Q170" s="193" t="s">
        <v>943</v>
      </c>
      <c r="R170" s="193" t="s">
        <v>1120</v>
      </c>
      <c r="S170" s="196" t="s">
        <v>1118</v>
      </c>
      <c r="T170" s="193" t="s">
        <v>1005</v>
      </c>
      <c r="U170" s="193" t="s">
        <v>947</v>
      </c>
      <c r="V170" s="193"/>
      <c r="W170" s="193"/>
      <c r="X170" s="193" t="s">
        <v>1006</v>
      </c>
    </row>
    <row r="171" spans="1:24">
      <c r="A171" s="193" t="s">
        <v>935</v>
      </c>
      <c r="B171" s="194">
        <v>4</v>
      </c>
      <c r="C171" s="194">
        <v>2025</v>
      </c>
      <c r="D171" s="193" t="s">
        <v>936</v>
      </c>
      <c r="E171" s="193"/>
      <c r="F171" s="193" t="s">
        <v>937</v>
      </c>
      <c r="G171" s="195">
        <v>97086.25</v>
      </c>
      <c r="H171" s="193"/>
      <c r="I171" s="193" t="s">
        <v>820</v>
      </c>
      <c r="J171" s="193"/>
      <c r="K171" s="193" t="s">
        <v>938</v>
      </c>
      <c r="L171" s="193" t="s">
        <v>939</v>
      </c>
      <c r="M171" s="193" t="s">
        <v>997</v>
      </c>
      <c r="N171" s="193" t="s">
        <v>941</v>
      </c>
      <c r="O171" s="193"/>
      <c r="P171" s="193" t="s">
        <v>1121</v>
      </c>
      <c r="Q171" s="193" t="s">
        <v>943</v>
      </c>
      <c r="R171" s="193" t="s">
        <v>1122</v>
      </c>
      <c r="S171" s="196" t="s">
        <v>1123</v>
      </c>
      <c r="T171" s="193" t="s">
        <v>1001</v>
      </c>
      <c r="U171" s="193" t="s">
        <v>947</v>
      </c>
      <c r="V171" s="193"/>
      <c r="W171" s="193"/>
      <c r="X171" s="193" t="s">
        <v>1002</v>
      </c>
    </row>
    <row r="172" spans="1:24">
      <c r="A172" s="193" t="s">
        <v>935</v>
      </c>
      <c r="B172" s="194">
        <v>4</v>
      </c>
      <c r="C172" s="194">
        <v>2025</v>
      </c>
      <c r="D172" s="193" t="s">
        <v>936</v>
      </c>
      <c r="E172" s="193"/>
      <c r="F172" s="193" t="s">
        <v>937</v>
      </c>
      <c r="G172" s="195">
        <v>0</v>
      </c>
      <c r="H172" s="193"/>
      <c r="I172" s="193" t="s">
        <v>820</v>
      </c>
      <c r="J172" s="193"/>
      <c r="K172" s="193" t="s">
        <v>938</v>
      </c>
      <c r="L172" s="193" t="s">
        <v>939</v>
      </c>
      <c r="M172" s="193" t="s">
        <v>997</v>
      </c>
      <c r="N172" s="193" t="s">
        <v>941</v>
      </c>
      <c r="O172" s="193"/>
      <c r="P172" s="193" t="s">
        <v>1124</v>
      </c>
      <c r="Q172" s="193" t="s">
        <v>943</v>
      </c>
      <c r="R172" s="193" t="s">
        <v>1125</v>
      </c>
      <c r="S172" s="196" t="s">
        <v>1123</v>
      </c>
      <c r="T172" s="193" t="s">
        <v>1005</v>
      </c>
      <c r="U172" s="193" t="s">
        <v>947</v>
      </c>
      <c r="V172" s="193"/>
      <c r="W172" s="193"/>
      <c r="X172" s="193" t="s">
        <v>1006</v>
      </c>
    </row>
    <row r="173" spans="1:24">
      <c r="A173" s="193" t="s">
        <v>935</v>
      </c>
      <c r="B173" s="194">
        <v>4</v>
      </c>
      <c r="C173" s="194">
        <v>2025</v>
      </c>
      <c r="D173" s="193" t="s">
        <v>936</v>
      </c>
      <c r="E173" s="193"/>
      <c r="F173" s="193" t="s">
        <v>937</v>
      </c>
      <c r="G173" s="195">
        <v>420.77</v>
      </c>
      <c r="H173" s="193"/>
      <c r="I173" s="193" t="s">
        <v>820</v>
      </c>
      <c r="J173" s="193"/>
      <c r="K173" s="193" t="s">
        <v>938</v>
      </c>
      <c r="L173" s="193" t="s">
        <v>939</v>
      </c>
      <c r="M173" s="193" t="s">
        <v>940</v>
      </c>
      <c r="N173" s="193" t="s">
        <v>941</v>
      </c>
      <c r="O173" s="193"/>
      <c r="P173" s="193" t="s">
        <v>1126</v>
      </c>
      <c r="Q173" s="193" t="s">
        <v>943</v>
      </c>
      <c r="R173" s="193" t="s">
        <v>1127</v>
      </c>
      <c r="S173" s="196" t="s">
        <v>1128</v>
      </c>
      <c r="T173" s="193" t="s">
        <v>946</v>
      </c>
      <c r="U173" s="193" t="s">
        <v>947</v>
      </c>
      <c r="V173" s="193"/>
      <c r="W173" s="193"/>
      <c r="X173" s="193" t="s">
        <v>948</v>
      </c>
    </row>
    <row r="174" spans="1:24">
      <c r="A174" s="193" t="s">
        <v>935</v>
      </c>
      <c r="B174" s="194">
        <v>4</v>
      </c>
      <c r="C174" s="194">
        <v>2025</v>
      </c>
      <c r="D174" s="193" t="s">
        <v>936</v>
      </c>
      <c r="E174" s="193"/>
      <c r="F174" s="193" t="s">
        <v>994</v>
      </c>
      <c r="G174" s="195">
        <v>132.82</v>
      </c>
      <c r="H174" s="193"/>
      <c r="I174" s="193" t="s">
        <v>820</v>
      </c>
      <c r="J174" s="193"/>
      <c r="K174" s="193" t="s">
        <v>938</v>
      </c>
      <c r="L174" s="193" t="s">
        <v>939</v>
      </c>
      <c r="M174" s="193" t="s">
        <v>940</v>
      </c>
      <c r="N174" s="193" t="s">
        <v>941</v>
      </c>
      <c r="O174" s="193"/>
      <c r="P174" s="193" t="s">
        <v>1126</v>
      </c>
      <c r="Q174" s="193" t="s">
        <v>943</v>
      </c>
      <c r="R174" s="193" t="s">
        <v>1127</v>
      </c>
      <c r="S174" s="196" t="s">
        <v>1128</v>
      </c>
      <c r="T174" s="193" t="s">
        <v>946</v>
      </c>
      <c r="U174" s="193" t="s">
        <v>947</v>
      </c>
      <c r="V174" s="193"/>
      <c r="W174" s="193"/>
      <c r="X174" s="193" t="s">
        <v>948</v>
      </c>
    </row>
    <row r="175" spans="1:24">
      <c r="A175" s="193" t="s">
        <v>935</v>
      </c>
      <c r="B175" s="194">
        <v>4</v>
      </c>
      <c r="C175" s="194">
        <v>2025</v>
      </c>
      <c r="D175" s="193" t="s">
        <v>936</v>
      </c>
      <c r="E175" s="193"/>
      <c r="F175" s="193" t="s">
        <v>1049</v>
      </c>
      <c r="G175" s="195">
        <v>698.24</v>
      </c>
      <c r="H175" s="193"/>
      <c r="I175" s="193" t="s">
        <v>820</v>
      </c>
      <c r="J175" s="193"/>
      <c r="K175" s="193" t="s">
        <v>938</v>
      </c>
      <c r="L175" s="193" t="s">
        <v>939</v>
      </c>
      <c r="M175" s="193" t="s">
        <v>940</v>
      </c>
      <c r="N175" s="193" t="s">
        <v>941</v>
      </c>
      <c r="O175" s="193"/>
      <c r="P175" s="193" t="s">
        <v>1126</v>
      </c>
      <c r="Q175" s="193" t="s">
        <v>943</v>
      </c>
      <c r="R175" s="193" t="s">
        <v>1127</v>
      </c>
      <c r="S175" s="196" t="s">
        <v>1128</v>
      </c>
      <c r="T175" s="193" t="s">
        <v>946</v>
      </c>
      <c r="U175" s="193" t="s">
        <v>947</v>
      </c>
      <c r="V175" s="193"/>
      <c r="W175" s="193"/>
      <c r="X175" s="193" t="s">
        <v>948</v>
      </c>
    </row>
    <row r="176" spans="1:24">
      <c r="A176" s="193" t="s">
        <v>935</v>
      </c>
      <c r="B176" s="194">
        <v>4</v>
      </c>
      <c r="C176" s="194">
        <v>2025</v>
      </c>
      <c r="D176" s="193" t="s">
        <v>936</v>
      </c>
      <c r="E176" s="193"/>
      <c r="F176" s="193" t="s">
        <v>1017</v>
      </c>
      <c r="G176" s="195">
        <v>222.38</v>
      </c>
      <c r="H176" s="193"/>
      <c r="I176" s="193" t="s">
        <v>820</v>
      </c>
      <c r="J176" s="193"/>
      <c r="K176" s="193" t="s">
        <v>938</v>
      </c>
      <c r="L176" s="193" t="s">
        <v>939</v>
      </c>
      <c r="M176" s="193" t="s">
        <v>940</v>
      </c>
      <c r="N176" s="193" t="s">
        <v>941</v>
      </c>
      <c r="O176" s="193"/>
      <c r="P176" s="193" t="s">
        <v>1126</v>
      </c>
      <c r="Q176" s="193" t="s">
        <v>943</v>
      </c>
      <c r="R176" s="193" t="s">
        <v>1127</v>
      </c>
      <c r="S176" s="196" t="s">
        <v>1128</v>
      </c>
      <c r="T176" s="193" t="s">
        <v>946</v>
      </c>
      <c r="U176" s="193" t="s">
        <v>947</v>
      </c>
      <c r="V176" s="193"/>
      <c r="W176" s="193"/>
      <c r="X176" s="193" t="s">
        <v>948</v>
      </c>
    </row>
    <row r="177" spans="1:24">
      <c r="A177" s="193" t="s">
        <v>935</v>
      </c>
      <c r="B177" s="194">
        <v>4</v>
      </c>
      <c r="C177" s="194">
        <v>2025</v>
      </c>
      <c r="D177" s="193" t="s">
        <v>936</v>
      </c>
      <c r="E177" s="193"/>
      <c r="F177" s="193" t="s">
        <v>937</v>
      </c>
      <c r="G177" s="195">
        <v>83391.570000000007</v>
      </c>
      <c r="H177" s="193"/>
      <c r="I177" s="193" t="s">
        <v>820</v>
      </c>
      <c r="J177" s="193"/>
      <c r="K177" s="193" t="s">
        <v>938</v>
      </c>
      <c r="L177" s="193" t="s">
        <v>939</v>
      </c>
      <c r="M177" s="193" t="s">
        <v>997</v>
      </c>
      <c r="N177" s="193" t="s">
        <v>941</v>
      </c>
      <c r="O177" s="193"/>
      <c r="P177" s="193" t="s">
        <v>1129</v>
      </c>
      <c r="Q177" s="193" t="s">
        <v>943</v>
      </c>
      <c r="R177" s="193" t="s">
        <v>1130</v>
      </c>
      <c r="S177" s="196" t="s">
        <v>1131</v>
      </c>
      <c r="T177" s="193" t="s">
        <v>1001</v>
      </c>
      <c r="U177" s="193" t="s">
        <v>947</v>
      </c>
      <c r="V177" s="193"/>
      <c r="W177" s="193"/>
      <c r="X177" s="193" t="s">
        <v>1002</v>
      </c>
    </row>
    <row r="178" spans="1:24">
      <c r="A178" s="193" t="s">
        <v>935</v>
      </c>
      <c r="B178" s="194">
        <v>4</v>
      </c>
      <c r="C178" s="194">
        <v>2025</v>
      </c>
      <c r="D178" s="193" t="s">
        <v>936</v>
      </c>
      <c r="E178" s="193"/>
      <c r="F178" s="193" t="s">
        <v>937</v>
      </c>
      <c r="G178" s="195">
        <v>0</v>
      </c>
      <c r="H178" s="193"/>
      <c r="I178" s="193" t="s">
        <v>820</v>
      </c>
      <c r="J178" s="193"/>
      <c r="K178" s="193" t="s">
        <v>938</v>
      </c>
      <c r="L178" s="193" t="s">
        <v>939</v>
      </c>
      <c r="M178" s="193" t="s">
        <v>997</v>
      </c>
      <c r="N178" s="193" t="s">
        <v>941</v>
      </c>
      <c r="O178" s="193"/>
      <c r="P178" s="193" t="s">
        <v>1132</v>
      </c>
      <c r="Q178" s="193" t="s">
        <v>943</v>
      </c>
      <c r="R178" s="193" t="s">
        <v>1133</v>
      </c>
      <c r="S178" s="196" t="s">
        <v>1131</v>
      </c>
      <c r="T178" s="193" t="s">
        <v>1005</v>
      </c>
      <c r="U178" s="193" t="s">
        <v>947</v>
      </c>
      <c r="V178" s="193"/>
      <c r="W178" s="193"/>
      <c r="X178" s="193" t="s">
        <v>1006</v>
      </c>
    </row>
    <row r="179" spans="1:24">
      <c r="A179" s="193" t="s">
        <v>935</v>
      </c>
      <c r="B179" s="194">
        <v>4</v>
      </c>
      <c r="C179" s="194">
        <v>2025</v>
      </c>
      <c r="D179" s="193" t="s">
        <v>936</v>
      </c>
      <c r="E179" s="193"/>
      <c r="F179" s="193" t="s">
        <v>937</v>
      </c>
      <c r="G179" s="195">
        <v>131512.64000000001</v>
      </c>
      <c r="H179" s="193"/>
      <c r="I179" s="193" t="s">
        <v>820</v>
      </c>
      <c r="J179" s="193"/>
      <c r="K179" s="193" t="s">
        <v>938</v>
      </c>
      <c r="L179" s="193" t="s">
        <v>939</v>
      </c>
      <c r="M179" s="193" t="s">
        <v>997</v>
      </c>
      <c r="N179" s="193" t="s">
        <v>941</v>
      </c>
      <c r="O179" s="193"/>
      <c r="P179" s="193" t="s">
        <v>1134</v>
      </c>
      <c r="Q179" s="193" t="s">
        <v>943</v>
      </c>
      <c r="R179" s="193" t="s">
        <v>1135</v>
      </c>
      <c r="S179" s="196" t="s">
        <v>1136</v>
      </c>
      <c r="T179" s="193" t="s">
        <v>1001</v>
      </c>
      <c r="U179" s="193" t="s">
        <v>947</v>
      </c>
      <c r="V179" s="193"/>
      <c r="W179" s="193"/>
      <c r="X179" s="193" t="s">
        <v>1002</v>
      </c>
    </row>
    <row r="180" spans="1:24">
      <c r="A180" s="193" t="s">
        <v>935</v>
      </c>
      <c r="B180" s="194">
        <v>4</v>
      </c>
      <c r="C180" s="194">
        <v>2025</v>
      </c>
      <c r="D180" s="193" t="s">
        <v>936</v>
      </c>
      <c r="E180" s="193"/>
      <c r="F180" s="193" t="s">
        <v>937</v>
      </c>
      <c r="G180" s="195">
        <v>0</v>
      </c>
      <c r="H180" s="193"/>
      <c r="I180" s="193" t="s">
        <v>820</v>
      </c>
      <c r="J180" s="193"/>
      <c r="K180" s="193" t="s">
        <v>938</v>
      </c>
      <c r="L180" s="193" t="s">
        <v>939</v>
      </c>
      <c r="M180" s="193" t="s">
        <v>997</v>
      </c>
      <c r="N180" s="193" t="s">
        <v>941</v>
      </c>
      <c r="O180" s="193"/>
      <c r="P180" s="193" t="s">
        <v>1137</v>
      </c>
      <c r="Q180" s="193" t="s">
        <v>943</v>
      </c>
      <c r="R180" s="193" t="s">
        <v>1138</v>
      </c>
      <c r="S180" s="196" t="s">
        <v>1136</v>
      </c>
      <c r="T180" s="193" t="s">
        <v>1005</v>
      </c>
      <c r="U180" s="193" t="s">
        <v>947</v>
      </c>
      <c r="V180" s="193"/>
      <c r="W180" s="193"/>
      <c r="X180" s="193" t="s">
        <v>1006</v>
      </c>
    </row>
    <row r="181" spans="1:24">
      <c r="A181" s="193" t="s">
        <v>935</v>
      </c>
      <c r="B181" s="194">
        <v>4</v>
      </c>
      <c r="C181" s="194">
        <v>2025</v>
      </c>
      <c r="D181" s="193" t="s">
        <v>936</v>
      </c>
      <c r="E181" s="193"/>
      <c r="F181" s="193" t="s">
        <v>1049</v>
      </c>
      <c r="G181" s="195">
        <v>9.8699999999999992</v>
      </c>
      <c r="H181" s="193"/>
      <c r="I181" s="193" t="s">
        <v>820</v>
      </c>
      <c r="J181" s="193"/>
      <c r="K181" s="193" t="s">
        <v>938</v>
      </c>
      <c r="L181" s="193" t="s">
        <v>939</v>
      </c>
      <c r="M181" s="193" t="s">
        <v>954</v>
      </c>
      <c r="N181" s="193" t="s">
        <v>941</v>
      </c>
      <c r="O181" s="193"/>
      <c r="P181" s="193" t="s">
        <v>1139</v>
      </c>
      <c r="Q181" s="193" t="s">
        <v>943</v>
      </c>
      <c r="R181" s="193" t="s">
        <v>1140</v>
      </c>
      <c r="S181" s="196" t="s">
        <v>1128</v>
      </c>
      <c r="T181" s="193" t="s">
        <v>952</v>
      </c>
      <c r="U181" s="193" t="s">
        <v>947</v>
      </c>
      <c r="V181" s="193"/>
      <c r="W181" s="193"/>
      <c r="X181" s="193" t="s">
        <v>953</v>
      </c>
    </row>
    <row r="182" spans="1:24">
      <c r="A182" s="193" t="s">
        <v>935</v>
      </c>
      <c r="B182" s="194">
        <v>4</v>
      </c>
      <c r="C182" s="194">
        <v>2025</v>
      </c>
      <c r="D182" s="193" t="s">
        <v>936</v>
      </c>
      <c r="E182" s="193"/>
      <c r="F182" s="193" t="s">
        <v>1049</v>
      </c>
      <c r="G182" s="195">
        <v>6.37</v>
      </c>
      <c r="H182" s="193"/>
      <c r="I182" s="193" t="s">
        <v>820</v>
      </c>
      <c r="J182" s="193"/>
      <c r="K182" s="193" t="s">
        <v>938</v>
      </c>
      <c r="L182" s="193" t="s">
        <v>939</v>
      </c>
      <c r="M182" s="193" t="s">
        <v>949</v>
      </c>
      <c r="N182" s="193" t="s">
        <v>941</v>
      </c>
      <c r="O182" s="193"/>
      <c r="P182" s="193" t="s">
        <v>1139</v>
      </c>
      <c r="Q182" s="193" t="s">
        <v>943</v>
      </c>
      <c r="R182" s="193" t="s">
        <v>1140</v>
      </c>
      <c r="S182" s="196" t="s">
        <v>1128</v>
      </c>
      <c r="T182" s="193" t="s">
        <v>952</v>
      </c>
      <c r="U182" s="193" t="s">
        <v>947</v>
      </c>
      <c r="V182" s="193"/>
      <c r="W182" s="193"/>
      <c r="X182" s="193" t="s">
        <v>953</v>
      </c>
    </row>
    <row r="183" spans="1:24">
      <c r="A183" s="193" t="s">
        <v>935</v>
      </c>
      <c r="B183" s="194">
        <v>4</v>
      </c>
      <c r="C183" s="194">
        <v>2025</v>
      </c>
      <c r="D183" s="193" t="s">
        <v>936</v>
      </c>
      <c r="E183" s="193"/>
      <c r="F183" s="193" t="s">
        <v>994</v>
      </c>
      <c r="G183" s="195">
        <v>65.790000000000006</v>
      </c>
      <c r="H183" s="193"/>
      <c r="I183" s="193" t="s">
        <v>820</v>
      </c>
      <c r="J183" s="193"/>
      <c r="K183" s="193" t="s">
        <v>938</v>
      </c>
      <c r="L183" s="193" t="s">
        <v>939</v>
      </c>
      <c r="M183" s="193" t="s">
        <v>958</v>
      </c>
      <c r="N183" s="193" t="s">
        <v>941</v>
      </c>
      <c r="O183" s="193"/>
      <c r="P183" s="193" t="s">
        <v>1139</v>
      </c>
      <c r="Q183" s="193" t="s">
        <v>943</v>
      </c>
      <c r="R183" s="193" t="s">
        <v>1140</v>
      </c>
      <c r="S183" s="196" t="s">
        <v>1128</v>
      </c>
      <c r="T183" s="193" t="s">
        <v>952</v>
      </c>
      <c r="U183" s="193" t="s">
        <v>947</v>
      </c>
      <c r="V183" s="193"/>
      <c r="W183" s="193"/>
      <c r="X183" s="193" t="s">
        <v>953</v>
      </c>
    </row>
    <row r="184" spans="1:24">
      <c r="A184" s="193" t="s">
        <v>935</v>
      </c>
      <c r="B184" s="194">
        <v>4</v>
      </c>
      <c r="C184" s="194">
        <v>2025</v>
      </c>
      <c r="D184" s="193" t="s">
        <v>936</v>
      </c>
      <c r="E184" s="193"/>
      <c r="F184" s="193" t="s">
        <v>994</v>
      </c>
      <c r="G184" s="195">
        <v>0.75</v>
      </c>
      <c r="H184" s="193"/>
      <c r="I184" s="193" t="s">
        <v>820</v>
      </c>
      <c r="J184" s="193"/>
      <c r="K184" s="193" t="s">
        <v>938</v>
      </c>
      <c r="L184" s="193" t="s">
        <v>939</v>
      </c>
      <c r="M184" s="193" t="s">
        <v>957</v>
      </c>
      <c r="N184" s="193" t="s">
        <v>941</v>
      </c>
      <c r="O184" s="193"/>
      <c r="P184" s="193" t="s">
        <v>1139</v>
      </c>
      <c r="Q184" s="193" t="s">
        <v>943</v>
      </c>
      <c r="R184" s="193" t="s">
        <v>1140</v>
      </c>
      <c r="S184" s="196" t="s">
        <v>1128</v>
      </c>
      <c r="T184" s="193" t="s">
        <v>952</v>
      </c>
      <c r="U184" s="193" t="s">
        <v>947</v>
      </c>
      <c r="V184" s="193"/>
      <c r="W184" s="193"/>
      <c r="X184" s="193" t="s">
        <v>953</v>
      </c>
    </row>
    <row r="185" spans="1:24">
      <c r="A185" s="193" t="s">
        <v>935</v>
      </c>
      <c r="B185" s="194">
        <v>4</v>
      </c>
      <c r="C185" s="194">
        <v>2025</v>
      </c>
      <c r="D185" s="193" t="s">
        <v>936</v>
      </c>
      <c r="E185" s="193"/>
      <c r="F185" s="193" t="s">
        <v>994</v>
      </c>
      <c r="G185" s="195">
        <v>34.049999999999997</v>
      </c>
      <c r="H185" s="193"/>
      <c r="I185" s="193" t="s">
        <v>820</v>
      </c>
      <c r="J185" s="193"/>
      <c r="K185" s="193" t="s">
        <v>938</v>
      </c>
      <c r="L185" s="193" t="s">
        <v>939</v>
      </c>
      <c r="M185" s="193" t="s">
        <v>956</v>
      </c>
      <c r="N185" s="193" t="s">
        <v>941</v>
      </c>
      <c r="O185" s="193"/>
      <c r="P185" s="193" t="s">
        <v>1139</v>
      </c>
      <c r="Q185" s="193" t="s">
        <v>943</v>
      </c>
      <c r="R185" s="193" t="s">
        <v>1140</v>
      </c>
      <c r="S185" s="196" t="s">
        <v>1128</v>
      </c>
      <c r="T185" s="193" t="s">
        <v>952</v>
      </c>
      <c r="U185" s="193" t="s">
        <v>947</v>
      </c>
      <c r="V185" s="193"/>
      <c r="W185" s="193"/>
      <c r="X185" s="193" t="s">
        <v>953</v>
      </c>
    </row>
    <row r="186" spans="1:24">
      <c r="A186" s="193" t="s">
        <v>935</v>
      </c>
      <c r="B186" s="194">
        <v>4</v>
      </c>
      <c r="C186" s="194">
        <v>2025</v>
      </c>
      <c r="D186" s="193" t="s">
        <v>936</v>
      </c>
      <c r="E186" s="193"/>
      <c r="F186" s="193" t="s">
        <v>994</v>
      </c>
      <c r="G186" s="195">
        <v>6.63</v>
      </c>
      <c r="H186" s="193"/>
      <c r="I186" s="193" t="s">
        <v>820</v>
      </c>
      <c r="J186" s="193"/>
      <c r="K186" s="193" t="s">
        <v>938</v>
      </c>
      <c r="L186" s="193" t="s">
        <v>939</v>
      </c>
      <c r="M186" s="193" t="s">
        <v>955</v>
      </c>
      <c r="N186" s="193" t="s">
        <v>941</v>
      </c>
      <c r="O186" s="193"/>
      <c r="P186" s="193" t="s">
        <v>1139</v>
      </c>
      <c r="Q186" s="193" t="s">
        <v>943</v>
      </c>
      <c r="R186" s="193" t="s">
        <v>1140</v>
      </c>
      <c r="S186" s="196" t="s">
        <v>1128</v>
      </c>
      <c r="T186" s="193" t="s">
        <v>952</v>
      </c>
      <c r="U186" s="193" t="s">
        <v>947</v>
      </c>
      <c r="V186" s="193"/>
      <c r="W186" s="193"/>
      <c r="X186" s="193" t="s">
        <v>953</v>
      </c>
    </row>
    <row r="187" spans="1:24">
      <c r="A187" s="193" t="s">
        <v>935</v>
      </c>
      <c r="B187" s="194">
        <v>4</v>
      </c>
      <c r="C187" s="194">
        <v>2025</v>
      </c>
      <c r="D187" s="193" t="s">
        <v>936</v>
      </c>
      <c r="E187" s="193"/>
      <c r="F187" s="193" t="s">
        <v>994</v>
      </c>
      <c r="G187" s="195">
        <v>1.88</v>
      </c>
      <c r="H187" s="193"/>
      <c r="I187" s="193" t="s">
        <v>820</v>
      </c>
      <c r="J187" s="193"/>
      <c r="K187" s="193" t="s">
        <v>938</v>
      </c>
      <c r="L187" s="193" t="s">
        <v>939</v>
      </c>
      <c r="M187" s="193" t="s">
        <v>954</v>
      </c>
      <c r="N187" s="193" t="s">
        <v>941</v>
      </c>
      <c r="O187" s="193"/>
      <c r="P187" s="193" t="s">
        <v>1139</v>
      </c>
      <c r="Q187" s="193" t="s">
        <v>943</v>
      </c>
      <c r="R187" s="193" t="s">
        <v>1140</v>
      </c>
      <c r="S187" s="196" t="s">
        <v>1128</v>
      </c>
      <c r="T187" s="193" t="s">
        <v>952</v>
      </c>
      <c r="U187" s="193" t="s">
        <v>947</v>
      </c>
      <c r="V187" s="193"/>
      <c r="W187" s="193"/>
      <c r="X187" s="193" t="s">
        <v>953</v>
      </c>
    </row>
    <row r="188" spans="1:24">
      <c r="A188" s="193" t="s">
        <v>935</v>
      </c>
      <c r="B188" s="194">
        <v>4</v>
      </c>
      <c r="C188" s="194">
        <v>2025</v>
      </c>
      <c r="D188" s="193" t="s">
        <v>936</v>
      </c>
      <c r="E188" s="193"/>
      <c r="F188" s="193" t="s">
        <v>1049</v>
      </c>
      <c r="G188" s="195">
        <v>34.869999999999997</v>
      </c>
      <c r="H188" s="193"/>
      <c r="I188" s="193" t="s">
        <v>820</v>
      </c>
      <c r="J188" s="193"/>
      <c r="K188" s="193" t="s">
        <v>938</v>
      </c>
      <c r="L188" s="193" t="s">
        <v>939</v>
      </c>
      <c r="M188" s="193" t="s">
        <v>955</v>
      </c>
      <c r="N188" s="193" t="s">
        <v>941</v>
      </c>
      <c r="O188" s="193"/>
      <c r="P188" s="193" t="s">
        <v>1139</v>
      </c>
      <c r="Q188" s="193" t="s">
        <v>943</v>
      </c>
      <c r="R188" s="193" t="s">
        <v>1140</v>
      </c>
      <c r="S188" s="196" t="s">
        <v>1128</v>
      </c>
      <c r="T188" s="193" t="s">
        <v>952</v>
      </c>
      <c r="U188" s="193" t="s">
        <v>947</v>
      </c>
      <c r="V188" s="193"/>
      <c r="W188" s="193"/>
      <c r="X188" s="193" t="s">
        <v>953</v>
      </c>
    </row>
    <row r="189" spans="1:24">
      <c r="A189" s="193" t="s">
        <v>935</v>
      </c>
      <c r="B189" s="194">
        <v>4</v>
      </c>
      <c r="C189" s="194">
        <v>2025</v>
      </c>
      <c r="D189" s="193" t="s">
        <v>936</v>
      </c>
      <c r="E189" s="193"/>
      <c r="F189" s="193" t="s">
        <v>1049</v>
      </c>
      <c r="G189" s="195">
        <v>179.02</v>
      </c>
      <c r="H189" s="193"/>
      <c r="I189" s="193" t="s">
        <v>820</v>
      </c>
      <c r="J189" s="193"/>
      <c r="K189" s="193" t="s">
        <v>938</v>
      </c>
      <c r="L189" s="193" t="s">
        <v>939</v>
      </c>
      <c r="M189" s="193" t="s">
        <v>956</v>
      </c>
      <c r="N189" s="193" t="s">
        <v>941</v>
      </c>
      <c r="O189" s="193"/>
      <c r="P189" s="193" t="s">
        <v>1139</v>
      </c>
      <c r="Q189" s="193" t="s">
        <v>943</v>
      </c>
      <c r="R189" s="193" t="s">
        <v>1140</v>
      </c>
      <c r="S189" s="196" t="s">
        <v>1128</v>
      </c>
      <c r="T189" s="193" t="s">
        <v>952</v>
      </c>
      <c r="U189" s="193" t="s">
        <v>947</v>
      </c>
      <c r="V189" s="193"/>
      <c r="W189" s="193"/>
      <c r="X189" s="193" t="s">
        <v>953</v>
      </c>
    </row>
    <row r="190" spans="1:24">
      <c r="A190" s="193" t="s">
        <v>935</v>
      </c>
      <c r="B190" s="194">
        <v>4</v>
      </c>
      <c r="C190" s="194">
        <v>2025</v>
      </c>
      <c r="D190" s="193" t="s">
        <v>936</v>
      </c>
      <c r="E190" s="193"/>
      <c r="F190" s="193" t="s">
        <v>1049</v>
      </c>
      <c r="G190" s="195">
        <v>345.83</v>
      </c>
      <c r="H190" s="193"/>
      <c r="I190" s="193" t="s">
        <v>820</v>
      </c>
      <c r="J190" s="193"/>
      <c r="K190" s="193" t="s">
        <v>938</v>
      </c>
      <c r="L190" s="193" t="s">
        <v>939</v>
      </c>
      <c r="M190" s="193" t="s">
        <v>958</v>
      </c>
      <c r="N190" s="193" t="s">
        <v>941</v>
      </c>
      <c r="O190" s="193"/>
      <c r="P190" s="193" t="s">
        <v>1139</v>
      </c>
      <c r="Q190" s="193" t="s">
        <v>943</v>
      </c>
      <c r="R190" s="193" t="s">
        <v>1140</v>
      </c>
      <c r="S190" s="196" t="s">
        <v>1128</v>
      </c>
      <c r="T190" s="193" t="s">
        <v>952</v>
      </c>
      <c r="U190" s="193" t="s">
        <v>947</v>
      </c>
      <c r="V190" s="193"/>
      <c r="W190" s="193"/>
      <c r="X190" s="193" t="s">
        <v>953</v>
      </c>
    </row>
    <row r="191" spans="1:24">
      <c r="A191" s="193" t="s">
        <v>935</v>
      </c>
      <c r="B191" s="194">
        <v>4</v>
      </c>
      <c r="C191" s="194">
        <v>2025</v>
      </c>
      <c r="D191" s="193" t="s">
        <v>936</v>
      </c>
      <c r="E191" s="193"/>
      <c r="F191" s="193" t="s">
        <v>1049</v>
      </c>
      <c r="G191" s="195">
        <v>3.94</v>
      </c>
      <c r="H191" s="193"/>
      <c r="I191" s="193" t="s">
        <v>820</v>
      </c>
      <c r="J191" s="193"/>
      <c r="K191" s="193" t="s">
        <v>938</v>
      </c>
      <c r="L191" s="193" t="s">
        <v>939</v>
      </c>
      <c r="M191" s="193" t="s">
        <v>957</v>
      </c>
      <c r="N191" s="193" t="s">
        <v>941</v>
      </c>
      <c r="O191" s="193"/>
      <c r="P191" s="193" t="s">
        <v>1139</v>
      </c>
      <c r="Q191" s="193" t="s">
        <v>943</v>
      </c>
      <c r="R191" s="193" t="s">
        <v>1140</v>
      </c>
      <c r="S191" s="196" t="s">
        <v>1128</v>
      </c>
      <c r="T191" s="193" t="s">
        <v>952</v>
      </c>
      <c r="U191" s="193" t="s">
        <v>947</v>
      </c>
      <c r="V191" s="193"/>
      <c r="W191" s="193"/>
      <c r="X191" s="193" t="s">
        <v>953</v>
      </c>
    </row>
    <row r="192" spans="1:24">
      <c r="A192" s="193" t="s">
        <v>935</v>
      </c>
      <c r="B192" s="194">
        <v>4</v>
      </c>
      <c r="C192" s="194">
        <v>2025</v>
      </c>
      <c r="D192" s="193" t="s">
        <v>936</v>
      </c>
      <c r="E192" s="193"/>
      <c r="F192" s="193" t="s">
        <v>1017</v>
      </c>
      <c r="G192" s="195">
        <v>3.15</v>
      </c>
      <c r="H192" s="193"/>
      <c r="I192" s="193" t="s">
        <v>820</v>
      </c>
      <c r="J192" s="193"/>
      <c r="K192" s="193" t="s">
        <v>938</v>
      </c>
      <c r="L192" s="193" t="s">
        <v>939</v>
      </c>
      <c r="M192" s="193" t="s">
        <v>954</v>
      </c>
      <c r="N192" s="193" t="s">
        <v>941</v>
      </c>
      <c r="O192" s="193"/>
      <c r="P192" s="193" t="s">
        <v>1139</v>
      </c>
      <c r="Q192" s="193" t="s">
        <v>943</v>
      </c>
      <c r="R192" s="193" t="s">
        <v>1140</v>
      </c>
      <c r="S192" s="196" t="s">
        <v>1128</v>
      </c>
      <c r="T192" s="193" t="s">
        <v>952</v>
      </c>
      <c r="U192" s="193" t="s">
        <v>947</v>
      </c>
      <c r="V192" s="193"/>
      <c r="W192" s="193"/>
      <c r="X192" s="193" t="s">
        <v>953</v>
      </c>
    </row>
    <row r="193" spans="1:24">
      <c r="A193" s="193" t="s">
        <v>935</v>
      </c>
      <c r="B193" s="194">
        <v>4</v>
      </c>
      <c r="C193" s="194">
        <v>2025</v>
      </c>
      <c r="D193" s="193" t="s">
        <v>936</v>
      </c>
      <c r="E193" s="193"/>
      <c r="F193" s="193" t="s">
        <v>1017</v>
      </c>
      <c r="G193" s="195">
        <v>11.1</v>
      </c>
      <c r="H193" s="193"/>
      <c r="I193" s="193" t="s">
        <v>820</v>
      </c>
      <c r="J193" s="193"/>
      <c r="K193" s="193" t="s">
        <v>938</v>
      </c>
      <c r="L193" s="193" t="s">
        <v>939</v>
      </c>
      <c r="M193" s="193" t="s">
        <v>955</v>
      </c>
      <c r="N193" s="193" t="s">
        <v>941</v>
      </c>
      <c r="O193" s="193"/>
      <c r="P193" s="193" t="s">
        <v>1139</v>
      </c>
      <c r="Q193" s="193" t="s">
        <v>943</v>
      </c>
      <c r="R193" s="193" t="s">
        <v>1140</v>
      </c>
      <c r="S193" s="196" t="s">
        <v>1128</v>
      </c>
      <c r="T193" s="193" t="s">
        <v>952</v>
      </c>
      <c r="U193" s="193" t="s">
        <v>947</v>
      </c>
      <c r="V193" s="193"/>
      <c r="W193" s="193"/>
      <c r="X193" s="193" t="s">
        <v>953</v>
      </c>
    </row>
    <row r="194" spans="1:24">
      <c r="A194" s="193" t="s">
        <v>935</v>
      </c>
      <c r="B194" s="194">
        <v>4</v>
      </c>
      <c r="C194" s="194">
        <v>2025</v>
      </c>
      <c r="D194" s="193" t="s">
        <v>936</v>
      </c>
      <c r="E194" s="193"/>
      <c r="F194" s="193" t="s">
        <v>1017</v>
      </c>
      <c r="G194" s="195">
        <v>57.03</v>
      </c>
      <c r="H194" s="193"/>
      <c r="I194" s="193" t="s">
        <v>820</v>
      </c>
      <c r="J194" s="193"/>
      <c r="K194" s="193" t="s">
        <v>938</v>
      </c>
      <c r="L194" s="193" t="s">
        <v>939</v>
      </c>
      <c r="M194" s="193" t="s">
        <v>956</v>
      </c>
      <c r="N194" s="193" t="s">
        <v>941</v>
      </c>
      <c r="O194" s="193"/>
      <c r="P194" s="193" t="s">
        <v>1139</v>
      </c>
      <c r="Q194" s="193" t="s">
        <v>943</v>
      </c>
      <c r="R194" s="193" t="s">
        <v>1140</v>
      </c>
      <c r="S194" s="196" t="s">
        <v>1128</v>
      </c>
      <c r="T194" s="193" t="s">
        <v>952</v>
      </c>
      <c r="U194" s="193" t="s">
        <v>947</v>
      </c>
      <c r="V194" s="193"/>
      <c r="W194" s="193"/>
      <c r="X194" s="193" t="s">
        <v>953</v>
      </c>
    </row>
    <row r="195" spans="1:24">
      <c r="A195" s="193" t="s">
        <v>935</v>
      </c>
      <c r="B195" s="194">
        <v>4</v>
      </c>
      <c r="C195" s="194">
        <v>2025</v>
      </c>
      <c r="D195" s="193" t="s">
        <v>936</v>
      </c>
      <c r="E195" s="193"/>
      <c r="F195" s="193" t="s">
        <v>1017</v>
      </c>
      <c r="G195" s="195">
        <v>1.25</v>
      </c>
      <c r="H195" s="193"/>
      <c r="I195" s="193" t="s">
        <v>820</v>
      </c>
      <c r="J195" s="193"/>
      <c r="K195" s="193" t="s">
        <v>938</v>
      </c>
      <c r="L195" s="193" t="s">
        <v>939</v>
      </c>
      <c r="M195" s="193" t="s">
        <v>957</v>
      </c>
      <c r="N195" s="193" t="s">
        <v>941</v>
      </c>
      <c r="O195" s="193"/>
      <c r="P195" s="193" t="s">
        <v>1139</v>
      </c>
      <c r="Q195" s="193" t="s">
        <v>943</v>
      </c>
      <c r="R195" s="193" t="s">
        <v>1140</v>
      </c>
      <c r="S195" s="196" t="s">
        <v>1128</v>
      </c>
      <c r="T195" s="193" t="s">
        <v>952</v>
      </c>
      <c r="U195" s="193" t="s">
        <v>947</v>
      </c>
      <c r="V195" s="193"/>
      <c r="W195" s="193"/>
      <c r="X195" s="193" t="s">
        <v>953</v>
      </c>
    </row>
    <row r="196" spans="1:24">
      <c r="A196" s="193" t="s">
        <v>935</v>
      </c>
      <c r="B196" s="194">
        <v>4</v>
      </c>
      <c r="C196" s="194">
        <v>2025</v>
      </c>
      <c r="D196" s="193" t="s">
        <v>936</v>
      </c>
      <c r="E196" s="193"/>
      <c r="F196" s="193" t="s">
        <v>1017</v>
      </c>
      <c r="G196" s="195">
        <v>110.14</v>
      </c>
      <c r="H196" s="193"/>
      <c r="I196" s="193" t="s">
        <v>820</v>
      </c>
      <c r="J196" s="193"/>
      <c r="K196" s="193" t="s">
        <v>938</v>
      </c>
      <c r="L196" s="193" t="s">
        <v>939</v>
      </c>
      <c r="M196" s="193" t="s">
        <v>958</v>
      </c>
      <c r="N196" s="193" t="s">
        <v>941</v>
      </c>
      <c r="O196" s="193"/>
      <c r="P196" s="193" t="s">
        <v>1139</v>
      </c>
      <c r="Q196" s="193" t="s">
        <v>943</v>
      </c>
      <c r="R196" s="193" t="s">
        <v>1140</v>
      </c>
      <c r="S196" s="196" t="s">
        <v>1128</v>
      </c>
      <c r="T196" s="193" t="s">
        <v>952</v>
      </c>
      <c r="U196" s="193" t="s">
        <v>947</v>
      </c>
      <c r="V196" s="193"/>
      <c r="W196" s="193"/>
      <c r="X196" s="193" t="s">
        <v>953</v>
      </c>
    </row>
    <row r="197" spans="1:24">
      <c r="A197" s="193" t="s">
        <v>935</v>
      </c>
      <c r="B197" s="194">
        <v>4</v>
      </c>
      <c r="C197" s="194">
        <v>2025</v>
      </c>
      <c r="D197" s="193" t="s">
        <v>936</v>
      </c>
      <c r="E197" s="193"/>
      <c r="F197" s="193" t="s">
        <v>937</v>
      </c>
      <c r="G197" s="195">
        <v>3.84</v>
      </c>
      <c r="H197" s="193"/>
      <c r="I197" s="193" t="s">
        <v>820</v>
      </c>
      <c r="J197" s="193"/>
      <c r="K197" s="193" t="s">
        <v>938</v>
      </c>
      <c r="L197" s="193" t="s">
        <v>939</v>
      </c>
      <c r="M197" s="193" t="s">
        <v>949</v>
      </c>
      <c r="N197" s="193" t="s">
        <v>941</v>
      </c>
      <c r="O197" s="193"/>
      <c r="P197" s="193" t="s">
        <v>1139</v>
      </c>
      <c r="Q197" s="193" t="s">
        <v>943</v>
      </c>
      <c r="R197" s="193" t="s">
        <v>1140</v>
      </c>
      <c r="S197" s="196" t="s">
        <v>1128</v>
      </c>
      <c r="T197" s="193" t="s">
        <v>952</v>
      </c>
      <c r="U197" s="193" t="s">
        <v>947</v>
      </c>
      <c r="V197" s="193"/>
      <c r="W197" s="193"/>
      <c r="X197" s="193" t="s">
        <v>953</v>
      </c>
    </row>
    <row r="198" spans="1:24">
      <c r="A198" s="193" t="s">
        <v>935</v>
      </c>
      <c r="B198" s="194">
        <v>4</v>
      </c>
      <c r="C198" s="194">
        <v>2025</v>
      </c>
      <c r="D198" s="193" t="s">
        <v>936</v>
      </c>
      <c r="E198" s="193"/>
      <c r="F198" s="193" t="s">
        <v>937</v>
      </c>
      <c r="G198" s="195">
        <v>5.95</v>
      </c>
      <c r="H198" s="193"/>
      <c r="I198" s="193" t="s">
        <v>820</v>
      </c>
      <c r="J198" s="193"/>
      <c r="K198" s="193" t="s">
        <v>938</v>
      </c>
      <c r="L198" s="193" t="s">
        <v>939</v>
      </c>
      <c r="M198" s="193" t="s">
        <v>954</v>
      </c>
      <c r="N198" s="193" t="s">
        <v>941</v>
      </c>
      <c r="O198" s="193"/>
      <c r="P198" s="193" t="s">
        <v>1139</v>
      </c>
      <c r="Q198" s="193" t="s">
        <v>943</v>
      </c>
      <c r="R198" s="193" t="s">
        <v>1140</v>
      </c>
      <c r="S198" s="196" t="s">
        <v>1128</v>
      </c>
      <c r="T198" s="193" t="s">
        <v>952</v>
      </c>
      <c r="U198" s="193" t="s">
        <v>947</v>
      </c>
      <c r="V198" s="193"/>
      <c r="W198" s="193"/>
      <c r="X198" s="193" t="s">
        <v>953</v>
      </c>
    </row>
    <row r="199" spans="1:24">
      <c r="A199" s="193" t="s">
        <v>935</v>
      </c>
      <c r="B199" s="194">
        <v>4</v>
      </c>
      <c r="C199" s="194">
        <v>2025</v>
      </c>
      <c r="D199" s="193" t="s">
        <v>936</v>
      </c>
      <c r="E199" s="193"/>
      <c r="F199" s="193" t="s">
        <v>937</v>
      </c>
      <c r="G199" s="195">
        <v>21.01</v>
      </c>
      <c r="H199" s="193"/>
      <c r="I199" s="193" t="s">
        <v>820</v>
      </c>
      <c r="J199" s="193"/>
      <c r="K199" s="193" t="s">
        <v>938</v>
      </c>
      <c r="L199" s="193" t="s">
        <v>939</v>
      </c>
      <c r="M199" s="193" t="s">
        <v>955</v>
      </c>
      <c r="N199" s="193" t="s">
        <v>941</v>
      </c>
      <c r="O199" s="193"/>
      <c r="P199" s="193" t="s">
        <v>1139</v>
      </c>
      <c r="Q199" s="193" t="s">
        <v>943</v>
      </c>
      <c r="R199" s="193" t="s">
        <v>1140</v>
      </c>
      <c r="S199" s="196" t="s">
        <v>1128</v>
      </c>
      <c r="T199" s="193" t="s">
        <v>952</v>
      </c>
      <c r="U199" s="193" t="s">
        <v>947</v>
      </c>
      <c r="V199" s="193"/>
      <c r="W199" s="193"/>
      <c r="X199" s="193" t="s">
        <v>953</v>
      </c>
    </row>
    <row r="200" spans="1:24">
      <c r="A200" s="193" t="s">
        <v>935</v>
      </c>
      <c r="B200" s="194">
        <v>4</v>
      </c>
      <c r="C200" s="194">
        <v>2025</v>
      </c>
      <c r="D200" s="193" t="s">
        <v>936</v>
      </c>
      <c r="E200" s="193"/>
      <c r="F200" s="193" t="s">
        <v>937</v>
      </c>
      <c r="G200" s="195">
        <v>107.89</v>
      </c>
      <c r="H200" s="193"/>
      <c r="I200" s="193" t="s">
        <v>820</v>
      </c>
      <c r="J200" s="193"/>
      <c r="K200" s="193" t="s">
        <v>938</v>
      </c>
      <c r="L200" s="193" t="s">
        <v>939</v>
      </c>
      <c r="M200" s="193" t="s">
        <v>956</v>
      </c>
      <c r="N200" s="193" t="s">
        <v>941</v>
      </c>
      <c r="O200" s="193"/>
      <c r="P200" s="193" t="s">
        <v>1139</v>
      </c>
      <c r="Q200" s="193" t="s">
        <v>943</v>
      </c>
      <c r="R200" s="193" t="s">
        <v>1140</v>
      </c>
      <c r="S200" s="196" t="s">
        <v>1128</v>
      </c>
      <c r="T200" s="193" t="s">
        <v>952</v>
      </c>
      <c r="U200" s="193" t="s">
        <v>947</v>
      </c>
      <c r="V200" s="193"/>
      <c r="W200" s="193"/>
      <c r="X200" s="193" t="s">
        <v>953</v>
      </c>
    </row>
    <row r="201" spans="1:24">
      <c r="A201" s="193" t="s">
        <v>935</v>
      </c>
      <c r="B201" s="194">
        <v>4</v>
      </c>
      <c r="C201" s="194">
        <v>2025</v>
      </c>
      <c r="D201" s="193" t="s">
        <v>936</v>
      </c>
      <c r="E201" s="193"/>
      <c r="F201" s="193" t="s">
        <v>937</v>
      </c>
      <c r="G201" s="195">
        <v>2.37</v>
      </c>
      <c r="H201" s="193"/>
      <c r="I201" s="193" t="s">
        <v>820</v>
      </c>
      <c r="J201" s="193"/>
      <c r="K201" s="193" t="s">
        <v>938</v>
      </c>
      <c r="L201" s="193" t="s">
        <v>939</v>
      </c>
      <c r="M201" s="193" t="s">
        <v>957</v>
      </c>
      <c r="N201" s="193" t="s">
        <v>941</v>
      </c>
      <c r="O201" s="193"/>
      <c r="P201" s="193" t="s">
        <v>1139</v>
      </c>
      <c r="Q201" s="193" t="s">
        <v>943</v>
      </c>
      <c r="R201" s="193" t="s">
        <v>1140</v>
      </c>
      <c r="S201" s="196" t="s">
        <v>1128</v>
      </c>
      <c r="T201" s="193" t="s">
        <v>952</v>
      </c>
      <c r="U201" s="193" t="s">
        <v>947</v>
      </c>
      <c r="V201" s="193"/>
      <c r="W201" s="193"/>
      <c r="X201" s="193" t="s">
        <v>953</v>
      </c>
    </row>
    <row r="202" spans="1:24">
      <c r="A202" s="193" t="s">
        <v>935</v>
      </c>
      <c r="B202" s="194">
        <v>4</v>
      </c>
      <c r="C202" s="194">
        <v>2025</v>
      </c>
      <c r="D202" s="193" t="s">
        <v>936</v>
      </c>
      <c r="E202" s="193"/>
      <c r="F202" s="193" t="s">
        <v>937</v>
      </c>
      <c r="G202" s="195">
        <v>208.41</v>
      </c>
      <c r="H202" s="193"/>
      <c r="I202" s="193" t="s">
        <v>820</v>
      </c>
      <c r="J202" s="193"/>
      <c r="K202" s="193" t="s">
        <v>938</v>
      </c>
      <c r="L202" s="193" t="s">
        <v>939</v>
      </c>
      <c r="M202" s="193" t="s">
        <v>958</v>
      </c>
      <c r="N202" s="193" t="s">
        <v>941</v>
      </c>
      <c r="O202" s="193"/>
      <c r="P202" s="193" t="s">
        <v>1139</v>
      </c>
      <c r="Q202" s="193" t="s">
        <v>943</v>
      </c>
      <c r="R202" s="193" t="s">
        <v>1140</v>
      </c>
      <c r="S202" s="196" t="s">
        <v>1128</v>
      </c>
      <c r="T202" s="193" t="s">
        <v>952</v>
      </c>
      <c r="U202" s="193" t="s">
        <v>947</v>
      </c>
      <c r="V202" s="193"/>
      <c r="W202" s="193"/>
      <c r="X202" s="193" t="s">
        <v>953</v>
      </c>
    </row>
    <row r="203" spans="1:24">
      <c r="A203" s="193" t="s">
        <v>935</v>
      </c>
      <c r="B203" s="194">
        <v>4</v>
      </c>
      <c r="C203" s="194">
        <v>2025</v>
      </c>
      <c r="D203" s="193" t="s">
        <v>936</v>
      </c>
      <c r="E203" s="193"/>
      <c r="F203" s="193" t="s">
        <v>937</v>
      </c>
      <c r="G203" s="195">
        <v>11203.2</v>
      </c>
      <c r="H203" s="193"/>
      <c r="I203" s="193" t="s">
        <v>820</v>
      </c>
      <c r="J203" s="193"/>
      <c r="K203" s="193" t="s">
        <v>938</v>
      </c>
      <c r="L203" s="193" t="s">
        <v>939</v>
      </c>
      <c r="M203" s="193" t="s">
        <v>997</v>
      </c>
      <c r="N203" s="193" t="s">
        <v>941</v>
      </c>
      <c r="O203" s="193"/>
      <c r="P203" s="193" t="s">
        <v>1141</v>
      </c>
      <c r="Q203" s="193" t="s">
        <v>943</v>
      </c>
      <c r="R203" s="193" t="s">
        <v>1142</v>
      </c>
      <c r="S203" s="196" t="s">
        <v>1143</v>
      </c>
      <c r="T203" s="193" t="s">
        <v>1001</v>
      </c>
      <c r="U203" s="193" t="s">
        <v>947</v>
      </c>
      <c r="V203" s="193"/>
      <c r="W203" s="193"/>
      <c r="X203" s="193" t="s">
        <v>1002</v>
      </c>
    </row>
    <row r="204" spans="1:24">
      <c r="A204" s="193" t="s">
        <v>935</v>
      </c>
      <c r="B204" s="194">
        <v>4</v>
      </c>
      <c r="C204" s="194">
        <v>2025</v>
      </c>
      <c r="D204" s="193" t="s">
        <v>936</v>
      </c>
      <c r="E204" s="193"/>
      <c r="F204" s="193" t="s">
        <v>937</v>
      </c>
      <c r="G204" s="195">
        <v>0</v>
      </c>
      <c r="H204" s="193"/>
      <c r="I204" s="193" t="s">
        <v>820</v>
      </c>
      <c r="J204" s="193"/>
      <c r="K204" s="193" t="s">
        <v>938</v>
      </c>
      <c r="L204" s="193" t="s">
        <v>939</v>
      </c>
      <c r="M204" s="193" t="s">
        <v>997</v>
      </c>
      <c r="N204" s="193" t="s">
        <v>941</v>
      </c>
      <c r="O204" s="193"/>
      <c r="P204" s="193" t="s">
        <v>1144</v>
      </c>
      <c r="Q204" s="193" t="s">
        <v>943</v>
      </c>
      <c r="R204" s="193" t="s">
        <v>1145</v>
      </c>
      <c r="S204" s="196" t="s">
        <v>1143</v>
      </c>
      <c r="T204" s="193" t="s">
        <v>1005</v>
      </c>
      <c r="U204" s="193" t="s">
        <v>947</v>
      </c>
      <c r="V204" s="193"/>
      <c r="W204" s="193"/>
      <c r="X204" s="193" t="s">
        <v>1006</v>
      </c>
    </row>
    <row r="205" spans="1:24">
      <c r="A205" s="193" t="s">
        <v>935</v>
      </c>
      <c r="B205" s="194">
        <v>4</v>
      </c>
      <c r="C205" s="194">
        <v>2025</v>
      </c>
      <c r="D205" s="193" t="s">
        <v>936</v>
      </c>
      <c r="E205" s="193"/>
      <c r="F205" s="193" t="s">
        <v>937</v>
      </c>
      <c r="G205" s="195">
        <v>21.89</v>
      </c>
      <c r="H205" s="193" t="s">
        <v>959</v>
      </c>
      <c r="I205" s="193" t="s">
        <v>820</v>
      </c>
      <c r="J205" s="193"/>
      <c r="K205" s="193" t="s">
        <v>938</v>
      </c>
      <c r="L205" s="193" t="s">
        <v>939</v>
      </c>
      <c r="M205" s="193" t="s">
        <v>960</v>
      </c>
      <c r="N205" s="193" t="s">
        <v>941</v>
      </c>
      <c r="O205" s="193"/>
      <c r="P205" s="193" t="s">
        <v>1146</v>
      </c>
      <c r="Q205" s="193" t="s">
        <v>943</v>
      </c>
      <c r="R205" s="193" t="s">
        <v>1147</v>
      </c>
      <c r="S205" s="196" t="s">
        <v>1148</v>
      </c>
      <c r="T205" s="193" t="s">
        <v>964</v>
      </c>
      <c r="U205" s="193" t="s">
        <v>947</v>
      </c>
      <c r="V205" s="193"/>
      <c r="W205" s="193"/>
      <c r="X205" s="193" t="s">
        <v>965</v>
      </c>
    </row>
    <row r="206" spans="1:24">
      <c r="A206" s="193" t="s">
        <v>935</v>
      </c>
      <c r="B206" s="194">
        <v>4</v>
      </c>
      <c r="C206" s="194">
        <v>2025</v>
      </c>
      <c r="D206" s="193" t="s">
        <v>936</v>
      </c>
      <c r="E206" s="193"/>
      <c r="F206" s="193" t="s">
        <v>994</v>
      </c>
      <c r="G206" s="195">
        <v>12.22</v>
      </c>
      <c r="H206" s="193" t="s">
        <v>959</v>
      </c>
      <c r="I206" s="193" t="s">
        <v>820</v>
      </c>
      <c r="J206" s="193"/>
      <c r="K206" s="193" t="s">
        <v>938</v>
      </c>
      <c r="L206" s="193" t="s">
        <v>939</v>
      </c>
      <c r="M206" s="193" t="s">
        <v>960</v>
      </c>
      <c r="N206" s="193" t="s">
        <v>941</v>
      </c>
      <c r="O206" s="193"/>
      <c r="P206" s="193" t="s">
        <v>1146</v>
      </c>
      <c r="Q206" s="193" t="s">
        <v>943</v>
      </c>
      <c r="R206" s="193" t="s">
        <v>1147</v>
      </c>
      <c r="S206" s="196" t="s">
        <v>1148</v>
      </c>
      <c r="T206" s="193" t="s">
        <v>964</v>
      </c>
      <c r="U206" s="193" t="s">
        <v>947</v>
      </c>
      <c r="V206" s="193"/>
      <c r="W206" s="193"/>
      <c r="X206" s="193" t="s">
        <v>965</v>
      </c>
    </row>
    <row r="207" spans="1:24">
      <c r="A207" s="193" t="s">
        <v>935</v>
      </c>
      <c r="B207" s="194">
        <v>4</v>
      </c>
      <c r="C207" s="194">
        <v>2025</v>
      </c>
      <c r="D207" s="193" t="s">
        <v>936</v>
      </c>
      <c r="E207" s="193"/>
      <c r="F207" s="193" t="s">
        <v>1049</v>
      </c>
      <c r="G207" s="195">
        <v>173.8</v>
      </c>
      <c r="H207" s="193" t="s">
        <v>959</v>
      </c>
      <c r="I207" s="193" t="s">
        <v>820</v>
      </c>
      <c r="J207" s="193"/>
      <c r="K207" s="193" t="s">
        <v>938</v>
      </c>
      <c r="L207" s="193" t="s">
        <v>939</v>
      </c>
      <c r="M207" s="193" t="s">
        <v>960</v>
      </c>
      <c r="N207" s="193" t="s">
        <v>941</v>
      </c>
      <c r="O207" s="193"/>
      <c r="P207" s="193" t="s">
        <v>1146</v>
      </c>
      <c r="Q207" s="193" t="s">
        <v>943</v>
      </c>
      <c r="R207" s="193" t="s">
        <v>1147</v>
      </c>
      <c r="S207" s="196" t="s">
        <v>1148</v>
      </c>
      <c r="T207" s="193" t="s">
        <v>964</v>
      </c>
      <c r="U207" s="193" t="s">
        <v>947</v>
      </c>
      <c r="V207" s="193"/>
      <c r="W207" s="193"/>
      <c r="X207" s="193" t="s">
        <v>965</v>
      </c>
    </row>
    <row r="208" spans="1:24">
      <c r="A208" s="193" t="s">
        <v>935</v>
      </c>
      <c r="B208" s="194">
        <v>4</v>
      </c>
      <c r="C208" s="194">
        <v>2025</v>
      </c>
      <c r="D208" s="193" t="s">
        <v>936</v>
      </c>
      <c r="E208" s="193"/>
      <c r="F208" s="193" t="s">
        <v>1017</v>
      </c>
      <c r="G208" s="195">
        <v>153.66</v>
      </c>
      <c r="H208" s="193" t="s">
        <v>959</v>
      </c>
      <c r="I208" s="193" t="s">
        <v>820</v>
      </c>
      <c r="J208" s="193"/>
      <c r="K208" s="193" t="s">
        <v>938</v>
      </c>
      <c r="L208" s="193" t="s">
        <v>939</v>
      </c>
      <c r="M208" s="193" t="s">
        <v>960</v>
      </c>
      <c r="N208" s="193" t="s">
        <v>941</v>
      </c>
      <c r="O208" s="193"/>
      <c r="P208" s="193" t="s">
        <v>1146</v>
      </c>
      <c r="Q208" s="193" t="s">
        <v>943</v>
      </c>
      <c r="R208" s="193" t="s">
        <v>1147</v>
      </c>
      <c r="S208" s="196" t="s">
        <v>1148</v>
      </c>
      <c r="T208" s="193" t="s">
        <v>964</v>
      </c>
      <c r="U208" s="193" t="s">
        <v>947</v>
      </c>
      <c r="V208" s="193"/>
      <c r="W208" s="193"/>
      <c r="X208" s="193" t="s">
        <v>965</v>
      </c>
    </row>
    <row r="209" spans="1:24">
      <c r="A209" s="193" t="s">
        <v>935</v>
      </c>
      <c r="B209" s="194">
        <v>4</v>
      </c>
      <c r="C209" s="194">
        <v>2025</v>
      </c>
      <c r="D209" s="193" t="s">
        <v>936</v>
      </c>
      <c r="E209" s="193"/>
      <c r="F209" s="193" t="s">
        <v>1017</v>
      </c>
      <c r="G209" s="195">
        <v>23.71</v>
      </c>
      <c r="H209" s="193"/>
      <c r="I209" s="193" t="s">
        <v>820</v>
      </c>
      <c r="J209" s="193"/>
      <c r="K209" s="193" t="s">
        <v>938</v>
      </c>
      <c r="L209" s="193" t="s">
        <v>939</v>
      </c>
      <c r="M209" s="193" t="s">
        <v>966</v>
      </c>
      <c r="N209" s="193" t="s">
        <v>941</v>
      </c>
      <c r="O209" s="193"/>
      <c r="P209" s="193" t="s">
        <v>1149</v>
      </c>
      <c r="Q209" s="193" t="s">
        <v>943</v>
      </c>
      <c r="R209" s="193" t="s">
        <v>1150</v>
      </c>
      <c r="S209" s="196" t="s">
        <v>1148</v>
      </c>
      <c r="T209" s="193" t="s">
        <v>969</v>
      </c>
      <c r="U209" s="193" t="s">
        <v>947</v>
      </c>
      <c r="V209" s="193"/>
      <c r="W209" s="193"/>
      <c r="X209" s="193" t="s">
        <v>970</v>
      </c>
    </row>
    <row r="210" spans="1:24">
      <c r="A210" s="193" t="s">
        <v>935</v>
      </c>
      <c r="B210" s="194">
        <v>4</v>
      </c>
      <c r="C210" s="194">
        <v>2025</v>
      </c>
      <c r="D210" s="193" t="s">
        <v>936</v>
      </c>
      <c r="E210" s="193"/>
      <c r="F210" s="193" t="s">
        <v>994</v>
      </c>
      <c r="G210" s="195">
        <v>4.26</v>
      </c>
      <c r="H210" s="193"/>
      <c r="I210" s="193" t="s">
        <v>820</v>
      </c>
      <c r="J210" s="193"/>
      <c r="K210" s="193" t="s">
        <v>938</v>
      </c>
      <c r="L210" s="193" t="s">
        <v>939</v>
      </c>
      <c r="M210" s="193" t="s">
        <v>966</v>
      </c>
      <c r="N210" s="193" t="s">
        <v>941</v>
      </c>
      <c r="O210" s="193"/>
      <c r="P210" s="193" t="s">
        <v>1149</v>
      </c>
      <c r="Q210" s="193" t="s">
        <v>943</v>
      </c>
      <c r="R210" s="193" t="s">
        <v>1150</v>
      </c>
      <c r="S210" s="196" t="s">
        <v>1148</v>
      </c>
      <c r="T210" s="193" t="s">
        <v>969</v>
      </c>
      <c r="U210" s="193" t="s">
        <v>947</v>
      </c>
      <c r="V210" s="193"/>
      <c r="W210" s="193"/>
      <c r="X210" s="193" t="s">
        <v>970</v>
      </c>
    </row>
    <row r="211" spans="1:24">
      <c r="A211" s="193" t="s">
        <v>935</v>
      </c>
      <c r="B211" s="194">
        <v>4</v>
      </c>
      <c r="C211" s="194">
        <v>2025</v>
      </c>
      <c r="D211" s="193" t="s">
        <v>936</v>
      </c>
      <c r="E211" s="193"/>
      <c r="F211" s="193" t="s">
        <v>937</v>
      </c>
      <c r="G211" s="195">
        <v>19.29</v>
      </c>
      <c r="H211" s="193"/>
      <c r="I211" s="193" t="s">
        <v>820</v>
      </c>
      <c r="J211" s="193"/>
      <c r="K211" s="193" t="s">
        <v>938</v>
      </c>
      <c r="L211" s="193" t="s">
        <v>939</v>
      </c>
      <c r="M211" s="193" t="s">
        <v>966</v>
      </c>
      <c r="N211" s="193" t="s">
        <v>941</v>
      </c>
      <c r="O211" s="193"/>
      <c r="P211" s="193" t="s">
        <v>1149</v>
      </c>
      <c r="Q211" s="193" t="s">
        <v>943</v>
      </c>
      <c r="R211" s="193" t="s">
        <v>1150</v>
      </c>
      <c r="S211" s="196" t="s">
        <v>1148</v>
      </c>
      <c r="T211" s="193" t="s">
        <v>969</v>
      </c>
      <c r="U211" s="193" t="s">
        <v>947</v>
      </c>
      <c r="V211" s="193"/>
      <c r="W211" s="193"/>
      <c r="X211" s="193" t="s">
        <v>970</v>
      </c>
    </row>
    <row r="212" spans="1:24">
      <c r="A212" s="193" t="s">
        <v>935</v>
      </c>
      <c r="B212" s="194">
        <v>4</v>
      </c>
      <c r="C212" s="194">
        <v>2025</v>
      </c>
      <c r="D212" s="193" t="s">
        <v>936</v>
      </c>
      <c r="E212" s="193"/>
      <c r="F212" s="193" t="s">
        <v>1049</v>
      </c>
      <c r="G212" s="195">
        <v>41.66</v>
      </c>
      <c r="H212" s="193"/>
      <c r="I212" s="193" t="s">
        <v>820</v>
      </c>
      <c r="J212" s="193"/>
      <c r="K212" s="193" t="s">
        <v>938</v>
      </c>
      <c r="L212" s="193" t="s">
        <v>939</v>
      </c>
      <c r="M212" s="193" t="s">
        <v>966</v>
      </c>
      <c r="N212" s="193" t="s">
        <v>941</v>
      </c>
      <c r="O212" s="193"/>
      <c r="P212" s="193" t="s">
        <v>1149</v>
      </c>
      <c r="Q212" s="193" t="s">
        <v>943</v>
      </c>
      <c r="R212" s="193" t="s">
        <v>1150</v>
      </c>
      <c r="S212" s="196" t="s">
        <v>1148</v>
      </c>
      <c r="T212" s="193" t="s">
        <v>969</v>
      </c>
      <c r="U212" s="193" t="s">
        <v>947</v>
      </c>
      <c r="V212" s="193"/>
      <c r="W212" s="193"/>
      <c r="X212" s="193" t="s">
        <v>970</v>
      </c>
    </row>
    <row r="213" spans="1:24">
      <c r="A213" s="193" t="s">
        <v>935</v>
      </c>
      <c r="B213" s="194">
        <v>4</v>
      </c>
      <c r="C213" s="194">
        <v>2025</v>
      </c>
      <c r="D213" s="193" t="s">
        <v>936</v>
      </c>
      <c r="E213" s="193"/>
      <c r="F213" s="193" t="s">
        <v>937</v>
      </c>
      <c r="G213" s="195">
        <v>199675.45</v>
      </c>
      <c r="H213" s="193"/>
      <c r="I213" s="193" t="s">
        <v>820</v>
      </c>
      <c r="J213" s="193"/>
      <c r="K213" s="193" t="s">
        <v>938</v>
      </c>
      <c r="L213" s="193" t="s">
        <v>939</v>
      </c>
      <c r="M213" s="193" t="s">
        <v>971</v>
      </c>
      <c r="N213" s="193" t="s">
        <v>941</v>
      </c>
      <c r="O213" s="193"/>
      <c r="P213" s="193" t="s">
        <v>1151</v>
      </c>
      <c r="Q213" s="193" t="s">
        <v>943</v>
      </c>
      <c r="R213" s="193" t="s">
        <v>1152</v>
      </c>
      <c r="S213" s="196" t="s">
        <v>1148</v>
      </c>
      <c r="T213" s="193" t="s">
        <v>974</v>
      </c>
      <c r="U213" s="193" t="s">
        <v>947</v>
      </c>
      <c r="V213" s="193" t="s">
        <v>975</v>
      </c>
      <c r="W213" s="193"/>
      <c r="X213" s="193" t="s">
        <v>1087</v>
      </c>
    </row>
    <row r="214" spans="1:24">
      <c r="A214" s="193" t="s">
        <v>935</v>
      </c>
      <c r="B214" s="194">
        <v>4</v>
      </c>
      <c r="C214" s="194">
        <v>2025</v>
      </c>
      <c r="D214" s="193" t="s">
        <v>936</v>
      </c>
      <c r="E214" s="193"/>
      <c r="F214" s="193" t="s">
        <v>937</v>
      </c>
      <c r="G214" s="195">
        <v>81799.100000000006</v>
      </c>
      <c r="H214" s="193"/>
      <c r="I214" s="193" t="s">
        <v>820</v>
      </c>
      <c r="J214" s="193"/>
      <c r="K214" s="193" t="s">
        <v>938</v>
      </c>
      <c r="L214" s="193" t="s">
        <v>939</v>
      </c>
      <c r="M214" s="193" t="s">
        <v>971</v>
      </c>
      <c r="N214" s="193" t="s">
        <v>941</v>
      </c>
      <c r="O214" s="193"/>
      <c r="P214" s="193" t="s">
        <v>1151</v>
      </c>
      <c r="Q214" s="193" t="s">
        <v>943</v>
      </c>
      <c r="R214" s="193" t="s">
        <v>1152</v>
      </c>
      <c r="S214" s="196" t="s">
        <v>1148</v>
      </c>
      <c r="T214" s="193" t="s">
        <v>974</v>
      </c>
      <c r="U214" s="193" t="s">
        <v>947</v>
      </c>
      <c r="V214" s="193" t="s">
        <v>975</v>
      </c>
      <c r="W214" s="193"/>
      <c r="X214" s="193" t="s">
        <v>981</v>
      </c>
    </row>
    <row r="215" spans="1:24">
      <c r="A215" s="193" t="s">
        <v>935</v>
      </c>
      <c r="B215" s="194">
        <v>4</v>
      </c>
      <c r="C215" s="194">
        <v>2025</v>
      </c>
      <c r="D215" s="193" t="s">
        <v>936</v>
      </c>
      <c r="E215" s="193"/>
      <c r="F215" s="193" t="s">
        <v>937</v>
      </c>
      <c r="G215" s="195">
        <v>4550.4799999999996</v>
      </c>
      <c r="H215" s="193"/>
      <c r="I215" s="193" t="s">
        <v>820</v>
      </c>
      <c r="J215" s="193"/>
      <c r="K215" s="193" t="s">
        <v>938</v>
      </c>
      <c r="L215" s="193" t="s">
        <v>939</v>
      </c>
      <c r="M215" s="193" t="s">
        <v>971</v>
      </c>
      <c r="N215" s="193" t="s">
        <v>941</v>
      </c>
      <c r="O215" s="193"/>
      <c r="P215" s="193" t="s">
        <v>1151</v>
      </c>
      <c r="Q215" s="193" t="s">
        <v>943</v>
      </c>
      <c r="R215" s="193" t="s">
        <v>1152</v>
      </c>
      <c r="S215" s="196" t="s">
        <v>1148</v>
      </c>
      <c r="T215" s="193" t="s">
        <v>974</v>
      </c>
      <c r="U215" s="193" t="s">
        <v>947</v>
      </c>
      <c r="V215" s="193" t="s">
        <v>975</v>
      </c>
      <c r="W215" s="193"/>
      <c r="X215" s="193" t="s">
        <v>1088</v>
      </c>
    </row>
    <row r="216" spans="1:24">
      <c r="A216" s="193" t="s">
        <v>935</v>
      </c>
      <c r="B216" s="194">
        <v>4</v>
      </c>
      <c r="C216" s="194">
        <v>2025</v>
      </c>
      <c r="D216" s="193" t="s">
        <v>936</v>
      </c>
      <c r="E216" s="193"/>
      <c r="F216" s="193" t="s">
        <v>937</v>
      </c>
      <c r="G216" s="195">
        <v>31565.200000000001</v>
      </c>
      <c r="H216" s="193"/>
      <c r="I216" s="193" t="s">
        <v>820</v>
      </c>
      <c r="J216" s="193"/>
      <c r="K216" s="193" t="s">
        <v>938</v>
      </c>
      <c r="L216" s="193" t="s">
        <v>939</v>
      </c>
      <c r="M216" s="193" t="s">
        <v>971</v>
      </c>
      <c r="N216" s="193" t="s">
        <v>941</v>
      </c>
      <c r="O216" s="193"/>
      <c r="P216" s="193" t="s">
        <v>1151</v>
      </c>
      <c r="Q216" s="193" t="s">
        <v>943</v>
      </c>
      <c r="R216" s="193" t="s">
        <v>1152</v>
      </c>
      <c r="S216" s="196" t="s">
        <v>1148</v>
      </c>
      <c r="T216" s="193" t="s">
        <v>974</v>
      </c>
      <c r="U216" s="193" t="s">
        <v>947</v>
      </c>
      <c r="V216" s="193" t="s">
        <v>975</v>
      </c>
      <c r="W216" s="193"/>
      <c r="X216" s="193" t="s">
        <v>982</v>
      </c>
    </row>
    <row r="217" spans="1:24">
      <c r="A217" s="193" t="s">
        <v>935</v>
      </c>
      <c r="B217" s="194">
        <v>4</v>
      </c>
      <c r="C217" s="194">
        <v>2025</v>
      </c>
      <c r="D217" s="193" t="s">
        <v>936</v>
      </c>
      <c r="E217" s="193"/>
      <c r="F217" s="193" t="s">
        <v>937</v>
      </c>
      <c r="G217" s="195">
        <v>89490.58</v>
      </c>
      <c r="H217" s="193"/>
      <c r="I217" s="193" t="s">
        <v>820</v>
      </c>
      <c r="J217" s="193"/>
      <c r="K217" s="193" t="s">
        <v>938</v>
      </c>
      <c r="L217" s="193" t="s">
        <v>939</v>
      </c>
      <c r="M217" s="193" t="s">
        <v>971</v>
      </c>
      <c r="N217" s="193" t="s">
        <v>941</v>
      </c>
      <c r="O217" s="193"/>
      <c r="P217" s="193" t="s">
        <v>1151</v>
      </c>
      <c r="Q217" s="193" t="s">
        <v>943</v>
      </c>
      <c r="R217" s="193" t="s">
        <v>1152</v>
      </c>
      <c r="S217" s="196" t="s">
        <v>1148</v>
      </c>
      <c r="T217" s="193" t="s">
        <v>974</v>
      </c>
      <c r="U217" s="193" t="s">
        <v>947</v>
      </c>
      <c r="V217" s="193" t="s">
        <v>975</v>
      </c>
      <c r="W217" s="193"/>
      <c r="X217" s="193" t="s">
        <v>976</v>
      </c>
    </row>
    <row r="218" spans="1:24">
      <c r="A218" s="193" t="s">
        <v>935</v>
      </c>
      <c r="B218" s="194">
        <v>4</v>
      </c>
      <c r="C218" s="194">
        <v>2025</v>
      </c>
      <c r="D218" s="193" t="s">
        <v>936</v>
      </c>
      <c r="E218" s="193"/>
      <c r="F218" s="193" t="s">
        <v>937</v>
      </c>
      <c r="G218" s="195">
        <v>95436.66</v>
      </c>
      <c r="H218" s="193"/>
      <c r="I218" s="193" t="s">
        <v>820</v>
      </c>
      <c r="J218" s="193"/>
      <c r="K218" s="193" t="s">
        <v>938</v>
      </c>
      <c r="L218" s="193" t="s">
        <v>939</v>
      </c>
      <c r="M218" s="193" t="s">
        <v>971</v>
      </c>
      <c r="N218" s="193" t="s">
        <v>941</v>
      </c>
      <c r="O218" s="193"/>
      <c r="P218" s="193" t="s">
        <v>1151</v>
      </c>
      <c r="Q218" s="193" t="s">
        <v>943</v>
      </c>
      <c r="R218" s="193" t="s">
        <v>1152</v>
      </c>
      <c r="S218" s="196" t="s">
        <v>1148</v>
      </c>
      <c r="T218" s="193" t="s">
        <v>974</v>
      </c>
      <c r="U218" s="193" t="s">
        <v>947</v>
      </c>
      <c r="V218" s="193" t="s">
        <v>975</v>
      </c>
      <c r="W218" s="193"/>
      <c r="X218" s="193" t="s">
        <v>979</v>
      </c>
    </row>
    <row r="219" spans="1:24">
      <c r="A219" s="193" t="s">
        <v>935</v>
      </c>
      <c r="B219" s="194">
        <v>4</v>
      </c>
      <c r="C219" s="194">
        <v>2025</v>
      </c>
      <c r="D219" s="193" t="s">
        <v>936</v>
      </c>
      <c r="E219" s="193"/>
      <c r="F219" s="193" t="s">
        <v>937</v>
      </c>
      <c r="G219" s="195">
        <v>7822.45</v>
      </c>
      <c r="H219" s="193"/>
      <c r="I219" s="193" t="s">
        <v>820</v>
      </c>
      <c r="J219" s="193"/>
      <c r="K219" s="193" t="s">
        <v>938</v>
      </c>
      <c r="L219" s="193" t="s">
        <v>939</v>
      </c>
      <c r="M219" s="193" t="s">
        <v>971</v>
      </c>
      <c r="N219" s="193" t="s">
        <v>941</v>
      </c>
      <c r="O219" s="193"/>
      <c r="P219" s="193" t="s">
        <v>1151</v>
      </c>
      <c r="Q219" s="193" t="s">
        <v>943</v>
      </c>
      <c r="R219" s="193" t="s">
        <v>1152</v>
      </c>
      <c r="S219" s="196" t="s">
        <v>1148</v>
      </c>
      <c r="T219" s="193" t="s">
        <v>974</v>
      </c>
      <c r="U219" s="193" t="s">
        <v>947</v>
      </c>
      <c r="V219" s="193" t="s">
        <v>975</v>
      </c>
      <c r="W219" s="193"/>
      <c r="X219" s="193" t="s">
        <v>977</v>
      </c>
    </row>
    <row r="220" spans="1:24">
      <c r="A220" s="193" t="s">
        <v>935</v>
      </c>
      <c r="B220" s="194">
        <v>4</v>
      </c>
      <c r="C220" s="194">
        <v>2025</v>
      </c>
      <c r="D220" s="193" t="s">
        <v>936</v>
      </c>
      <c r="E220" s="193"/>
      <c r="F220" s="193" t="s">
        <v>937</v>
      </c>
      <c r="G220" s="195">
        <v>2068.4</v>
      </c>
      <c r="H220" s="193"/>
      <c r="I220" s="193" t="s">
        <v>820</v>
      </c>
      <c r="J220" s="193"/>
      <c r="K220" s="193" t="s">
        <v>938</v>
      </c>
      <c r="L220" s="193" t="s">
        <v>939</v>
      </c>
      <c r="M220" s="193" t="s">
        <v>971</v>
      </c>
      <c r="N220" s="193" t="s">
        <v>941</v>
      </c>
      <c r="O220" s="193"/>
      <c r="P220" s="193" t="s">
        <v>1151</v>
      </c>
      <c r="Q220" s="193" t="s">
        <v>943</v>
      </c>
      <c r="R220" s="193" t="s">
        <v>1152</v>
      </c>
      <c r="S220" s="196" t="s">
        <v>1148</v>
      </c>
      <c r="T220" s="193" t="s">
        <v>974</v>
      </c>
      <c r="U220" s="193" t="s">
        <v>947</v>
      </c>
      <c r="V220" s="193" t="s">
        <v>975</v>
      </c>
      <c r="W220" s="193"/>
      <c r="X220" s="193" t="s">
        <v>1153</v>
      </c>
    </row>
    <row r="221" spans="1:24">
      <c r="A221" s="193" t="s">
        <v>935</v>
      </c>
      <c r="B221" s="194">
        <v>4</v>
      </c>
      <c r="C221" s="194">
        <v>2025</v>
      </c>
      <c r="D221" s="193" t="s">
        <v>936</v>
      </c>
      <c r="E221" s="193"/>
      <c r="F221" s="193" t="s">
        <v>994</v>
      </c>
      <c r="G221" s="195">
        <v>11.18</v>
      </c>
      <c r="H221" s="193" t="s">
        <v>959</v>
      </c>
      <c r="I221" s="193" t="s">
        <v>820</v>
      </c>
      <c r="J221" s="193"/>
      <c r="K221" s="193" t="s">
        <v>938</v>
      </c>
      <c r="L221" s="193" t="s">
        <v>939</v>
      </c>
      <c r="M221" s="193" t="s">
        <v>983</v>
      </c>
      <c r="N221" s="193" t="s">
        <v>941</v>
      </c>
      <c r="O221" s="193"/>
      <c r="P221" s="193" t="s">
        <v>1154</v>
      </c>
      <c r="Q221" s="193" t="s">
        <v>943</v>
      </c>
      <c r="R221" s="193" t="s">
        <v>1155</v>
      </c>
      <c r="S221" s="196" t="s">
        <v>1148</v>
      </c>
      <c r="T221" s="193" t="s">
        <v>986</v>
      </c>
      <c r="U221" s="193" t="s">
        <v>947</v>
      </c>
      <c r="V221" s="193"/>
      <c r="W221" s="193"/>
      <c r="X221" s="193" t="s">
        <v>987</v>
      </c>
    </row>
    <row r="222" spans="1:24">
      <c r="A222" s="193" t="s">
        <v>935</v>
      </c>
      <c r="B222" s="194">
        <v>4</v>
      </c>
      <c r="C222" s="194">
        <v>2025</v>
      </c>
      <c r="D222" s="193" t="s">
        <v>936</v>
      </c>
      <c r="E222" s="193"/>
      <c r="F222" s="193" t="s">
        <v>1017</v>
      </c>
      <c r="G222" s="195">
        <v>15.56</v>
      </c>
      <c r="H222" s="193" t="s">
        <v>959</v>
      </c>
      <c r="I222" s="193" t="s">
        <v>820</v>
      </c>
      <c r="J222" s="193"/>
      <c r="K222" s="193" t="s">
        <v>938</v>
      </c>
      <c r="L222" s="193" t="s">
        <v>939</v>
      </c>
      <c r="M222" s="193" t="s">
        <v>983</v>
      </c>
      <c r="N222" s="193" t="s">
        <v>941</v>
      </c>
      <c r="O222" s="193"/>
      <c r="P222" s="193" t="s">
        <v>1154</v>
      </c>
      <c r="Q222" s="193" t="s">
        <v>943</v>
      </c>
      <c r="R222" s="193" t="s">
        <v>1155</v>
      </c>
      <c r="S222" s="196" t="s">
        <v>1148</v>
      </c>
      <c r="T222" s="193" t="s">
        <v>986</v>
      </c>
      <c r="U222" s="193" t="s">
        <v>947</v>
      </c>
      <c r="V222" s="193"/>
      <c r="W222" s="193"/>
      <c r="X222" s="193" t="s">
        <v>987</v>
      </c>
    </row>
    <row r="223" spans="1:24">
      <c r="A223" s="193" t="s">
        <v>935</v>
      </c>
      <c r="B223" s="194">
        <v>4</v>
      </c>
      <c r="C223" s="194">
        <v>2025</v>
      </c>
      <c r="D223" s="193" t="s">
        <v>936</v>
      </c>
      <c r="E223" s="193"/>
      <c r="F223" s="193" t="s">
        <v>937</v>
      </c>
      <c r="G223" s="195">
        <v>24.32</v>
      </c>
      <c r="H223" s="193" t="s">
        <v>959</v>
      </c>
      <c r="I223" s="193" t="s">
        <v>820</v>
      </c>
      <c r="J223" s="193"/>
      <c r="K223" s="193" t="s">
        <v>938</v>
      </c>
      <c r="L223" s="193" t="s">
        <v>939</v>
      </c>
      <c r="M223" s="193" t="s">
        <v>983</v>
      </c>
      <c r="N223" s="193" t="s">
        <v>941</v>
      </c>
      <c r="O223" s="193"/>
      <c r="P223" s="193" t="s">
        <v>1154</v>
      </c>
      <c r="Q223" s="193" t="s">
        <v>943</v>
      </c>
      <c r="R223" s="193" t="s">
        <v>1155</v>
      </c>
      <c r="S223" s="196" t="s">
        <v>1148</v>
      </c>
      <c r="T223" s="193" t="s">
        <v>986</v>
      </c>
      <c r="U223" s="193" t="s">
        <v>947</v>
      </c>
      <c r="V223" s="193"/>
      <c r="W223" s="193"/>
      <c r="X223" s="193" t="s">
        <v>987</v>
      </c>
    </row>
    <row r="224" spans="1:24">
      <c r="A224" s="193" t="s">
        <v>935</v>
      </c>
      <c r="B224" s="194">
        <v>5</v>
      </c>
      <c r="C224" s="194">
        <v>2025</v>
      </c>
      <c r="D224" s="193" t="s">
        <v>936</v>
      </c>
      <c r="E224" s="193"/>
      <c r="F224" s="193" t="s">
        <v>937</v>
      </c>
      <c r="G224" s="195">
        <v>-81799.100000000006</v>
      </c>
      <c r="H224" s="193"/>
      <c r="I224" s="193" t="s">
        <v>820</v>
      </c>
      <c r="J224" s="193"/>
      <c r="K224" s="193" t="s">
        <v>938</v>
      </c>
      <c r="L224" s="193" t="s">
        <v>939</v>
      </c>
      <c r="M224" s="193" t="s">
        <v>988</v>
      </c>
      <c r="N224" s="193" t="s">
        <v>941</v>
      </c>
      <c r="O224" s="193"/>
      <c r="P224" s="193" t="s">
        <v>1156</v>
      </c>
      <c r="Q224" s="193" t="s">
        <v>943</v>
      </c>
      <c r="R224" s="193" t="s">
        <v>1152</v>
      </c>
      <c r="S224" s="196" t="s">
        <v>1157</v>
      </c>
      <c r="T224" s="193" t="s">
        <v>974</v>
      </c>
      <c r="U224" s="193" t="s">
        <v>947</v>
      </c>
      <c r="V224" s="193" t="s">
        <v>975</v>
      </c>
      <c r="W224" s="193"/>
      <c r="X224" s="193" t="s">
        <v>981</v>
      </c>
    </row>
    <row r="225" spans="1:24">
      <c r="A225" s="193" t="s">
        <v>935</v>
      </c>
      <c r="B225" s="194">
        <v>5</v>
      </c>
      <c r="C225" s="194">
        <v>2025</v>
      </c>
      <c r="D225" s="193" t="s">
        <v>936</v>
      </c>
      <c r="E225" s="193"/>
      <c r="F225" s="193" t="s">
        <v>937</v>
      </c>
      <c r="G225" s="195">
        <v>-7822.45</v>
      </c>
      <c r="H225" s="193"/>
      <c r="I225" s="193" t="s">
        <v>820</v>
      </c>
      <c r="J225" s="193"/>
      <c r="K225" s="193" t="s">
        <v>938</v>
      </c>
      <c r="L225" s="193" t="s">
        <v>939</v>
      </c>
      <c r="M225" s="193" t="s">
        <v>988</v>
      </c>
      <c r="N225" s="193" t="s">
        <v>941</v>
      </c>
      <c r="O225" s="193"/>
      <c r="P225" s="193" t="s">
        <v>1156</v>
      </c>
      <c r="Q225" s="193" t="s">
        <v>943</v>
      </c>
      <c r="R225" s="193" t="s">
        <v>1152</v>
      </c>
      <c r="S225" s="196" t="s">
        <v>1157</v>
      </c>
      <c r="T225" s="193" t="s">
        <v>974</v>
      </c>
      <c r="U225" s="193" t="s">
        <v>947</v>
      </c>
      <c r="V225" s="193" t="s">
        <v>975</v>
      </c>
      <c r="W225" s="193"/>
      <c r="X225" s="193" t="s">
        <v>977</v>
      </c>
    </row>
    <row r="226" spans="1:24">
      <c r="A226" s="193" t="s">
        <v>935</v>
      </c>
      <c r="B226" s="194">
        <v>5</v>
      </c>
      <c r="C226" s="194">
        <v>2025</v>
      </c>
      <c r="D226" s="193" t="s">
        <v>936</v>
      </c>
      <c r="E226" s="193"/>
      <c r="F226" s="193" t="s">
        <v>937</v>
      </c>
      <c r="G226" s="195">
        <v>-2068.4</v>
      </c>
      <c r="H226" s="193"/>
      <c r="I226" s="193" t="s">
        <v>820</v>
      </c>
      <c r="J226" s="193"/>
      <c r="K226" s="193" t="s">
        <v>938</v>
      </c>
      <c r="L226" s="193" t="s">
        <v>939</v>
      </c>
      <c r="M226" s="193" t="s">
        <v>988</v>
      </c>
      <c r="N226" s="193" t="s">
        <v>941</v>
      </c>
      <c r="O226" s="193"/>
      <c r="P226" s="193" t="s">
        <v>1156</v>
      </c>
      <c r="Q226" s="193" t="s">
        <v>943</v>
      </c>
      <c r="R226" s="193" t="s">
        <v>1152</v>
      </c>
      <c r="S226" s="196" t="s">
        <v>1157</v>
      </c>
      <c r="T226" s="193" t="s">
        <v>974</v>
      </c>
      <c r="U226" s="193" t="s">
        <v>947</v>
      </c>
      <c r="V226" s="193" t="s">
        <v>975</v>
      </c>
      <c r="W226" s="193"/>
      <c r="X226" s="193" t="s">
        <v>1153</v>
      </c>
    </row>
    <row r="227" spans="1:24">
      <c r="A227" s="193" t="s">
        <v>935</v>
      </c>
      <c r="B227" s="194">
        <v>5</v>
      </c>
      <c r="C227" s="194">
        <v>2025</v>
      </c>
      <c r="D227" s="193" t="s">
        <v>936</v>
      </c>
      <c r="E227" s="193"/>
      <c r="F227" s="193" t="s">
        <v>937</v>
      </c>
      <c r="G227" s="195">
        <v>-4550.4799999999996</v>
      </c>
      <c r="H227" s="193"/>
      <c r="I227" s="193" t="s">
        <v>820</v>
      </c>
      <c r="J227" s="193"/>
      <c r="K227" s="193" t="s">
        <v>938</v>
      </c>
      <c r="L227" s="193" t="s">
        <v>939</v>
      </c>
      <c r="M227" s="193" t="s">
        <v>988</v>
      </c>
      <c r="N227" s="193" t="s">
        <v>941</v>
      </c>
      <c r="O227" s="193"/>
      <c r="P227" s="193" t="s">
        <v>1156</v>
      </c>
      <c r="Q227" s="193" t="s">
        <v>943</v>
      </c>
      <c r="R227" s="193" t="s">
        <v>1152</v>
      </c>
      <c r="S227" s="196" t="s">
        <v>1157</v>
      </c>
      <c r="T227" s="193" t="s">
        <v>974</v>
      </c>
      <c r="U227" s="193" t="s">
        <v>947</v>
      </c>
      <c r="V227" s="193" t="s">
        <v>975</v>
      </c>
      <c r="W227" s="193"/>
      <c r="X227" s="193" t="s">
        <v>1088</v>
      </c>
    </row>
    <row r="228" spans="1:24">
      <c r="A228" s="193" t="s">
        <v>935</v>
      </c>
      <c r="B228" s="194">
        <v>5</v>
      </c>
      <c r="C228" s="194">
        <v>2025</v>
      </c>
      <c r="D228" s="193" t="s">
        <v>936</v>
      </c>
      <c r="E228" s="193"/>
      <c r="F228" s="193" t="s">
        <v>937</v>
      </c>
      <c r="G228" s="195">
        <v>-89490.58</v>
      </c>
      <c r="H228" s="193"/>
      <c r="I228" s="193" t="s">
        <v>820</v>
      </c>
      <c r="J228" s="193"/>
      <c r="K228" s="193" t="s">
        <v>938</v>
      </c>
      <c r="L228" s="193" t="s">
        <v>939</v>
      </c>
      <c r="M228" s="193" t="s">
        <v>988</v>
      </c>
      <c r="N228" s="193" t="s">
        <v>941</v>
      </c>
      <c r="O228" s="193"/>
      <c r="P228" s="193" t="s">
        <v>1156</v>
      </c>
      <c r="Q228" s="193" t="s">
        <v>943</v>
      </c>
      <c r="R228" s="193" t="s">
        <v>1152</v>
      </c>
      <c r="S228" s="196" t="s">
        <v>1157</v>
      </c>
      <c r="T228" s="193" t="s">
        <v>974</v>
      </c>
      <c r="U228" s="193" t="s">
        <v>947</v>
      </c>
      <c r="V228" s="193" t="s">
        <v>975</v>
      </c>
      <c r="W228" s="193"/>
      <c r="X228" s="193" t="s">
        <v>976</v>
      </c>
    </row>
    <row r="229" spans="1:24">
      <c r="A229" s="193" t="s">
        <v>935</v>
      </c>
      <c r="B229" s="194">
        <v>5</v>
      </c>
      <c r="C229" s="194">
        <v>2025</v>
      </c>
      <c r="D229" s="193" t="s">
        <v>936</v>
      </c>
      <c r="E229" s="193"/>
      <c r="F229" s="193" t="s">
        <v>937</v>
      </c>
      <c r="G229" s="195">
        <v>-95436.66</v>
      </c>
      <c r="H229" s="193"/>
      <c r="I229" s="193" t="s">
        <v>820</v>
      </c>
      <c r="J229" s="193"/>
      <c r="K229" s="193" t="s">
        <v>938</v>
      </c>
      <c r="L229" s="193" t="s">
        <v>939</v>
      </c>
      <c r="M229" s="193" t="s">
        <v>988</v>
      </c>
      <c r="N229" s="193" t="s">
        <v>941</v>
      </c>
      <c r="O229" s="193"/>
      <c r="P229" s="193" t="s">
        <v>1156</v>
      </c>
      <c r="Q229" s="193" t="s">
        <v>943</v>
      </c>
      <c r="R229" s="193" t="s">
        <v>1152</v>
      </c>
      <c r="S229" s="196" t="s">
        <v>1157</v>
      </c>
      <c r="T229" s="193" t="s">
        <v>974</v>
      </c>
      <c r="U229" s="193" t="s">
        <v>947</v>
      </c>
      <c r="V229" s="193" t="s">
        <v>975</v>
      </c>
      <c r="W229" s="193"/>
      <c r="X229" s="193" t="s">
        <v>979</v>
      </c>
    </row>
    <row r="230" spans="1:24">
      <c r="A230" s="193" t="s">
        <v>935</v>
      </c>
      <c r="B230" s="194">
        <v>5</v>
      </c>
      <c r="C230" s="194">
        <v>2025</v>
      </c>
      <c r="D230" s="193" t="s">
        <v>936</v>
      </c>
      <c r="E230" s="193"/>
      <c r="F230" s="193" t="s">
        <v>937</v>
      </c>
      <c r="G230" s="195">
        <v>-199675.45</v>
      </c>
      <c r="H230" s="193"/>
      <c r="I230" s="193" t="s">
        <v>820</v>
      </c>
      <c r="J230" s="193"/>
      <c r="K230" s="193" t="s">
        <v>938</v>
      </c>
      <c r="L230" s="193" t="s">
        <v>939</v>
      </c>
      <c r="M230" s="193" t="s">
        <v>988</v>
      </c>
      <c r="N230" s="193" t="s">
        <v>941</v>
      </c>
      <c r="O230" s="193"/>
      <c r="P230" s="193" t="s">
        <v>1156</v>
      </c>
      <c r="Q230" s="193" t="s">
        <v>943</v>
      </c>
      <c r="R230" s="193" t="s">
        <v>1152</v>
      </c>
      <c r="S230" s="196" t="s">
        <v>1157</v>
      </c>
      <c r="T230" s="193" t="s">
        <v>974</v>
      </c>
      <c r="U230" s="193" t="s">
        <v>947</v>
      </c>
      <c r="V230" s="193" t="s">
        <v>975</v>
      </c>
      <c r="W230" s="193"/>
      <c r="X230" s="193" t="s">
        <v>1087</v>
      </c>
    </row>
    <row r="231" spans="1:24">
      <c r="A231" s="193" t="s">
        <v>935</v>
      </c>
      <c r="B231" s="194">
        <v>5</v>
      </c>
      <c r="C231" s="194">
        <v>2025</v>
      </c>
      <c r="D231" s="193" t="s">
        <v>936</v>
      </c>
      <c r="E231" s="193"/>
      <c r="F231" s="193" t="s">
        <v>937</v>
      </c>
      <c r="G231" s="195">
        <v>-31565.200000000001</v>
      </c>
      <c r="H231" s="193"/>
      <c r="I231" s="193" t="s">
        <v>820</v>
      </c>
      <c r="J231" s="193"/>
      <c r="K231" s="193" t="s">
        <v>938</v>
      </c>
      <c r="L231" s="193" t="s">
        <v>939</v>
      </c>
      <c r="M231" s="193" t="s">
        <v>988</v>
      </c>
      <c r="N231" s="193" t="s">
        <v>941</v>
      </c>
      <c r="O231" s="193"/>
      <c r="P231" s="193" t="s">
        <v>1156</v>
      </c>
      <c r="Q231" s="193" t="s">
        <v>943</v>
      </c>
      <c r="R231" s="193" t="s">
        <v>1152</v>
      </c>
      <c r="S231" s="196" t="s">
        <v>1157</v>
      </c>
      <c r="T231" s="193" t="s">
        <v>974</v>
      </c>
      <c r="U231" s="193" t="s">
        <v>947</v>
      </c>
      <c r="V231" s="193" t="s">
        <v>975</v>
      </c>
      <c r="W231" s="193"/>
      <c r="X231" s="193" t="s">
        <v>982</v>
      </c>
    </row>
    <row r="232" spans="1:24">
      <c r="A232" s="193" t="s">
        <v>935</v>
      </c>
      <c r="B232" s="194">
        <v>5</v>
      </c>
      <c r="C232" s="194">
        <v>2025</v>
      </c>
      <c r="D232" s="193" t="s">
        <v>936</v>
      </c>
      <c r="E232" s="193"/>
      <c r="F232" s="193" t="s">
        <v>937</v>
      </c>
      <c r="G232" s="195">
        <v>6463</v>
      </c>
      <c r="H232" s="193"/>
      <c r="I232" s="193" t="s">
        <v>820</v>
      </c>
      <c r="J232" s="193"/>
      <c r="K232" s="193" t="s">
        <v>938</v>
      </c>
      <c r="L232" s="193" t="s">
        <v>939</v>
      </c>
      <c r="M232" s="193" t="s">
        <v>997</v>
      </c>
      <c r="N232" s="193" t="s">
        <v>941</v>
      </c>
      <c r="O232" s="193"/>
      <c r="P232" s="193" t="s">
        <v>1158</v>
      </c>
      <c r="Q232" s="193" t="s">
        <v>943</v>
      </c>
      <c r="R232" s="193" t="s">
        <v>1159</v>
      </c>
      <c r="S232" s="196" t="s">
        <v>1160</v>
      </c>
      <c r="T232" s="193" t="s">
        <v>1001</v>
      </c>
      <c r="U232" s="193" t="s">
        <v>947</v>
      </c>
      <c r="V232" s="193"/>
      <c r="W232" s="193"/>
      <c r="X232" s="193" t="s">
        <v>1002</v>
      </c>
    </row>
    <row r="233" spans="1:24">
      <c r="A233" s="193" t="s">
        <v>935</v>
      </c>
      <c r="B233" s="194">
        <v>5</v>
      </c>
      <c r="C233" s="194">
        <v>2025</v>
      </c>
      <c r="D233" s="193" t="s">
        <v>936</v>
      </c>
      <c r="E233" s="193"/>
      <c r="F233" s="193" t="s">
        <v>937</v>
      </c>
      <c r="G233" s="195">
        <v>0</v>
      </c>
      <c r="H233" s="193"/>
      <c r="I233" s="193" t="s">
        <v>820</v>
      </c>
      <c r="J233" s="193"/>
      <c r="K233" s="193" t="s">
        <v>938</v>
      </c>
      <c r="L233" s="193" t="s">
        <v>939</v>
      </c>
      <c r="M233" s="193" t="s">
        <v>997</v>
      </c>
      <c r="N233" s="193" t="s">
        <v>941</v>
      </c>
      <c r="O233" s="193"/>
      <c r="P233" s="193" t="s">
        <v>1161</v>
      </c>
      <c r="Q233" s="193" t="s">
        <v>943</v>
      </c>
      <c r="R233" s="193" t="s">
        <v>1162</v>
      </c>
      <c r="S233" s="196" t="s">
        <v>1160</v>
      </c>
      <c r="T233" s="193" t="s">
        <v>1005</v>
      </c>
      <c r="U233" s="193" t="s">
        <v>947</v>
      </c>
      <c r="V233" s="193"/>
      <c r="W233" s="193"/>
      <c r="X233" s="193" t="s">
        <v>1006</v>
      </c>
    </row>
    <row r="234" spans="1:24">
      <c r="A234" s="193" t="s">
        <v>935</v>
      </c>
      <c r="B234" s="194">
        <v>5</v>
      </c>
      <c r="C234" s="194">
        <v>2025</v>
      </c>
      <c r="D234" s="193" t="s">
        <v>936</v>
      </c>
      <c r="E234" s="193"/>
      <c r="F234" s="193" t="s">
        <v>1017</v>
      </c>
      <c r="G234" s="195">
        <v>390.25</v>
      </c>
      <c r="H234" s="193"/>
      <c r="I234" s="193" t="s">
        <v>820</v>
      </c>
      <c r="J234" s="193"/>
      <c r="K234" s="193" t="s">
        <v>938</v>
      </c>
      <c r="L234" s="193" t="s">
        <v>939</v>
      </c>
      <c r="M234" s="193" t="s">
        <v>940</v>
      </c>
      <c r="N234" s="193" t="s">
        <v>941</v>
      </c>
      <c r="O234" s="193"/>
      <c r="P234" s="193" t="s">
        <v>1163</v>
      </c>
      <c r="Q234" s="193" t="s">
        <v>943</v>
      </c>
      <c r="R234" s="193" t="s">
        <v>1164</v>
      </c>
      <c r="S234" s="196" t="s">
        <v>1160</v>
      </c>
      <c r="T234" s="193" t="s">
        <v>946</v>
      </c>
      <c r="U234" s="193" t="s">
        <v>947</v>
      </c>
      <c r="V234" s="193"/>
      <c r="W234" s="193"/>
      <c r="X234" s="193" t="s">
        <v>948</v>
      </c>
    </row>
    <row r="235" spans="1:24">
      <c r="A235" s="193" t="s">
        <v>935</v>
      </c>
      <c r="B235" s="194">
        <v>5</v>
      </c>
      <c r="C235" s="194">
        <v>2025</v>
      </c>
      <c r="D235" s="193" t="s">
        <v>936</v>
      </c>
      <c r="E235" s="193"/>
      <c r="F235" s="193" t="s">
        <v>1049</v>
      </c>
      <c r="G235" s="195">
        <v>1120.45</v>
      </c>
      <c r="H235" s="193"/>
      <c r="I235" s="193" t="s">
        <v>820</v>
      </c>
      <c r="J235" s="193"/>
      <c r="K235" s="193" t="s">
        <v>938</v>
      </c>
      <c r="L235" s="193" t="s">
        <v>939</v>
      </c>
      <c r="M235" s="193" t="s">
        <v>940</v>
      </c>
      <c r="N235" s="193" t="s">
        <v>941</v>
      </c>
      <c r="O235" s="193"/>
      <c r="P235" s="193" t="s">
        <v>1163</v>
      </c>
      <c r="Q235" s="193" t="s">
        <v>943</v>
      </c>
      <c r="R235" s="193" t="s">
        <v>1164</v>
      </c>
      <c r="S235" s="196" t="s">
        <v>1160</v>
      </c>
      <c r="T235" s="193" t="s">
        <v>946</v>
      </c>
      <c r="U235" s="193" t="s">
        <v>947</v>
      </c>
      <c r="V235" s="193"/>
      <c r="W235" s="193"/>
      <c r="X235" s="193" t="s">
        <v>948</v>
      </c>
    </row>
    <row r="236" spans="1:24">
      <c r="A236" s="193" t="s">
        <v>935</v>
      </c>
      <c r="B236" s="194">
        <v>5</v>
      </c>
      <c r="C236" s="194">
        <v>2025</v>
      </c>
      <c r="D236" s="193" t="s">
        <v>936</v>
      </c>
      <c r="E236" s="193"/>
      <c r="F236" s="193" t="s">
        <v>994</v>
      </c>
      <c r="G236" s="195">
        <v>233.62</v>
      </c>
      <c r="H236" s="193"/>
      <c r="I236" s="193" t="s">
        <v>820</v>
      </c>
      <c r="J236" s="193"/>
      <c r="K236" s="193" t="s">
        <v>938</v>
      </c>
      <c r="L236" s="193" t="s">
        <v>939</v>
      </c>
      <c r="M236" s="193" t="s">
        <v>940</v>
      </c>
      <c r="N236" s="193" t="s">
        <v>941</v>
      </c>
      <c r="O236" s="193"/>
      <c r="P236" s="193" t="s">
        <v>1163</v>
      </c>
      <c r="Q236" s="193" t="s">
        <v>943</v>
      </c>
      <c r="R236" s="193" t="s">
        <v>1164</v>
      </c>
      <c r="S236" s="196" t="s">
        <v>1160</v>
      </c>
      <c r="T236" s="193" t="s">
        <v>946</v>
      </c>
      <c r="U236" s="193" t="s">
        <v>947</v>
      </c>
      <c r="V236" s="193"/>
      <c r="W236" s="193"/>
      <c r="X236" s="193" t="s">
        <v>948</v>
      </c>
    </row>
    <row r="237" spans="1:24">
      <c r="A237" s="193" t="s">
        <v>935</v>
      </c>
      <c r="B237" s="194">
        <v>5</v>
      </c>
      <c r="C237" s="194">
        <v>2025</v>
      </c>
      <c r="D237" s="193" t="s">
        <v>936</v>
      </c>
      <c r="E237" s="193"/>
      <c r="F237" s="193" t="s">
        <v>937</v>
      </c>
      <c r="G237" s="195">
        <v>661.21</v>
      </c>
      <c r="H237" s="193"/>
      <c r="I237" s="193" t="s">
        <v>820</v>
      </c>
      <c r="J237" s="193"/>
      <c r="K237" s="193" t="s">
        <v>938</v>
      </c>
      <c r="L237" s="193" t="s">
        <v>939</v>
      </c>
      <c r="M237" s="193" t="s">
        <v>940</v>
      </c>
      <c r="N237" s="193" t="s">
        <v>941</v>
      </c>
      <c r="O237" s="193"/>
      <c r="P237" s="193" t="s">
        <v>1163</v>
      </c>
      <c r="Q237" s="193" t="s">
        <v>943</v>
      </c>
      <c r="R237" s="193" t="s">
        <v>1164</v>
      </c>
      <c r="S237" s="196" t="s">
        <v>1160</v>
      </c>
      <c r="T237" s="193" t="s">
        <v>946</v>
      </c>
      <c r="U237" s="193" t="s">
        <v>947</v>
      </c>
      <c r="V237" s="193"/>
      <c r="W237" s="193"/>
      <c r="X237" s="193" t="s">
        <v>948</v>
      </c>
    </row>
    <row r="238" spans="1:24">
      <c r="A238" s="193" t="s">
        <v>935</v>
      </c>
      <c r="B238" s="194">
        <v>5</v>
      </c>
      <c r="C238" s="194">
        <v>2025</v>
      </c>
      <c r="D238" s="193" t="s">
        <v>936</v>
      </c>
      <c r="E238" s="193"/>
      <c r="F238" s="193" t="s">
        <v>1049</v>
      </c>
      <c r="G238" s="195">
        <v>4.88</v>
      </c>
      <c r="H238" s="193"/>
      <c r="I238" s="193" t="s">
        <v>820</v>
      </c>
      <c r="J238" s="193"/>
      <c r="K238" s="193" t="s">
        <v>938</v>
      </c>
      <c r="L238" s="193" t="s">
        <v>939</v>
      </c>
      <c r="M238" s="193" t="s">
        <v>957</v>
      </c>
      <c r="N238" s="193" t="s">
        <v>941</v>
      </c>
      <c r="O238" s="193"/>
      <c r="P238" s="193" t="s">
        <v>1165</v>
      </c>
      <c r="Q238" s="193" t="s">
        <v>943</v>
      </c>
      <c r="R238" s="193" t="s">
        <v>1166</v>
      </c>
      <c r="S238" s="196" t="s">
        <v>1160</v>
      </c>
      <c r="T238" s="193" t="s">
        <v>952</v>
      </c>
      <c r="U238" s="193" t="s">
        <v>947</v>
      </c>
      <c r="V238" s="193"/>
      <c r="W238" s="193"/>
      <c r="X238" s="193" t="s">
        <v>953</v>
      </c>
    </row>
    <row r="239" spans="1:24">
      <c r="A239" s="193" t="s">
        <v>935</v>
      </c>
      <c r="B239" s="194">
        <v>5</v>
      </c>
      <c r="C239" s="194">
        <v>2025</v>
      </c>
      <c r="D239" s="193" t="s">
        <v>936</v>
      </c>
      <c r="E239" s="193"/>
      <c r="F239" s="193" t="s">
        <v>937</v>
      </c>
      <c r="G239" s="195">
        <v>165.37</v>
      </c>
      <c r="H239" s="193"/>
      <c r="I239" s="193" t="s">
        <v>820</v>
      </c>
      <c r="J239" s="193"/>
      <c r="K239" s="193" t="s">
        <v>938</v>
      </c>
      <c r="L239" s="193" t="s">
        <v>939</v>
      </c>
      <c r="M239" s="193" t="s">
        <v>956</v>
      </c>
      <c r="N239" s="193" t="s">
        <v>941</v>
      </c>
      <c r="O239" s="193"/>
      <c r="P239" s="193" t="s">
        <v>1165</v>
      </c>
      <c r="Q239" s="193" t="s">
        <v>943</v>
      </c>
      <c r="R239" s="193" t="s">
        <v>1166</v>
      </c>
      <c r="S239" s="196" t="s">
        <v>1160</v>
      </c>
      <c r="T239" s="193" t="s">
        <v>952</v>
      </c>
      <c r="U239" s="193" t="s">
        <v>947</v>
      </c>
      <c r="V239" s="193"/>
      <c r="W239" s="193"/>
      <c r="X239" s="193" t="s">
        <v>953</v>
      </c>
    </row>
    <row r="240" spans="1:24">
      <c r="A240" s="193" t="s">
        <v>935</v>
      </c>
      <c r="B240" s="194">
        <v>5</v>
      </c>
      <c r="C240" s="194">
        <v>2025</v>
      </c>
      <c r="D240" s="193" t="s">
        <v>936</v>
      </c>
      <c r="E240" s="193"/>
      <c r="F240" s="193" t="s">
        <v>937</v>
      </c>
      <c r="G240" s="195">
        <v>2.88</v>
      </c>
      <c r="H240" s="193"/>
      <c r="I240" s="193" t="s">
        <v>820</v>
      </c>
      <c r="J240" s="193"/>
      <c r="K240" s="193" t="s">
        <v>938</v>
      </c>
      <c r="L240" s="193" t="s">
        <v>939</v>
      </c>
      <c r="M240" s="193" t="s">
        <v>957</v>
      </c>
      <c r="N240" s="193" t="s">
        <v>941</v>
      </c>
      <c r="O240" s="193"/>
      <c r="P240" s="193" t="s">
        <v>1165</v>
      </c>
      <c r="Q240" s="193" t="s">
        <v>943</v>
      </c>
      <c r="R240" s="193" t="s">
        <v>1166</v>
      </c>
      <c r="S240" s="196" t="s">
        <v>1160</v>
      </c>
      <c r="T240" s="193" t="s">
        <v>952</v>
      </c>
      <c r="U240" s="193" t="s">
        <v>947</v>
      </c>
      <c r="V240" s="193"/>
      <c r="W240" s="193"/>
      <c r="X240" s="193" t="s">
        <v>953</v>
      </c>
    </row>
    <row r="241" spans="1:24">
      <c r="A241" s="193" t="s">
        <v>935</v>
      </c>
      <c r="B241" s="194">
        <v>5</v>
      </c>
      <c r="C241" s="194">
        <v>2025</v>
      </c>
      <c r="D241" s="193" t="s">
        <v>936</v>
      </c>
      <c r="E241" s="193"/>
      <c r="F241" s="193" t="s">
        <v>1017</v>
      </c>
      <c r="G241" s="195">
        <v>4.16</v>
      </c>
      <c r="H241" s="193"/>
      <c r="I241" s="193" t="s">
        <v>820</v>
      </c>
      <c r="J241" s="193"/>
      <c r="K241" s="193" t="s">
        <v>938</v>
      </c>
      <c r="L241" s="193" t="s">
        <v>939</v>
      </c>
      <c r="M241" s="193" t="s">
        <v>954</v>
      </c>
      <c r="N241" s="193" t="s">
        <v>941</v>
      </c>
      <c r="O241" s="193"/>
      <c r="P241" s="193" t="s">
        <v>1165</v>
      </c>
      <c r="Q241" s="193" t="s">
        <v>943</v>
      </c>
      <c r="R241" s="193" t="s">
        <v>1166</v>
      </c>
      <c r="S241" s="196" t="s">
        <v>1160</v>
      </c>
      <c r="T241" s="193" t="s">
        <v>952</v>
      </c>
      <c r="U241" s="193" t="s">
        <v>947</v>
      </c>
      <c r="V241" s="193"/>
      <c r="W241" s="193"/>
      <c r="X241" s="193" t="s">
        <v>953</v>
      </c>
    </row>
    <row r="242" spans="1:24">
      <c r="A242" s="193" t="s">
        <v>935</v>
      </c>
      <c r="B242" s="194">
        <v>5</v>
      </c>
      <c r="C242" s="194">
        <v>2025</v>
      </c>
      <c r="D242" s="193" t="s">
        <v>936</v>
      </c>
      <c r="E242" s="193"/>
      <c r="F242" s="193" t="s">
        <v>937</v>
      </c>
      <c r="G242" s="195">
        <v>325.85000000000002</v>
      </c>
      <c r="H242" s="193"/>
      <c r="I242" s="193" t="s">
        <v>820</v>
      </c>
      <c r="J242" s="193"/>
      <c r="K242" s="193" t="s">
        <v>938</v>
      </c>
      <c r="L242" s="193" t="s">
        <v>939</v>
      </c>
      <c r="M242" s="193" t="s">
        <v>958</v>
      </c>
      <c r="N242" s="193" t="s">
        <v>941</v>
      </c>
      <c r="O242" s="193"/>
      <c r="P242" s="193" t="s">
        <v>1165</v>
      </c>
      <c r="Q242" s="193" t="s">
        <v>943</v>
      </c>
      <c r="R242" s="193" t="s">
        <v>1166</v>
      </c>
      <c r="S242" s="196" t="s">
        <v>1160</v>
      </c>
      <c r="T242" s="193" t="s">
        <v>952</v>
      </c>
      <c r="U242" s="193" t="s">
        <v>947</v>
      </c>
      <c r="V242" s="193"/>
      <c r="W242" s="193"/>
      <c r="X242" s="193" t="s">
        <v>953</v>
      </c>
    </row>
    <row r="243" spans="1:24">
      <c r="A243" s="193" t="s">
        <v>935</v>
      </c>
      <c r="B243" s="194">
        <v>5</v>
      </c>
      <c r="C243" s="194">
        <v>2025</v>
      </c>
      <c r="D243" s="193" t="s">
        <v>936</v>
      </c>
      <c r="E243" s="193"/>
      <c r="F243" s="193" t="s">
        <v>1017</v>
      </c>
      <c r="G243" s="195">
        <v>1.7</v>
      </c>
      <c r="H243" s="193"/>
      <c r="I243" s="193" t="s">
        <v>820</v>
      </c>
      <c r="J243" s="193"/>
      <c r="K243" s="193" t="s">
        <v>938</v>
      </c>
      <c r="L243" s="193" t="s">
        <v>939</v>
      </c>
      <c r="M243" s="193" t="s">
        <v>957</v>
      </c>
      <c r="N243" s="193" t="s">
        <v>941</v>
      </c>
      <c r="O243" s="193"/>
      <c r="P243" s="193" t="s">
        <v>1165</v>
      </c>
      <c r="Q243" s="193" t="s">
        <v>943</v>
      </c>
      <c r="R243" s="193" t="s">
        <v>1166</v>
      </c>
      <c r="S243" s="196" t="s">
        <v>1160</v>
      </c>
      <c r="T243" s="193" t="s">
        <v>952</v>
      </c>
      <c r="U243" s="193" t="s">
        <v>947</v>
      </c>
      <c r="V243" s="193"/>
      <c r="W243" s="193"/>
      <c r="X243" s="193" t="s">
        <v>953</v>
      </c>
    </row>
    <row r="244" spans="1:24">
      <c r="A244" s="193" t="s">
        <v>935</v>
      </c>
      <c r="B244" s="194">
        <v>5</v>
      </c>
      <c r="C244" s="194">
        <v>2025</v>
      </c>
      <c r="D244" s="193" t="s">
        <v>936</v>
      </c>
      <c r="E244" s="193"/>
      <c r="F244" s="193" t="s">
        <v>994</v>
      </c>
      <c r="G244" s="195">
        <v>2.4900000000000002</v>
      </c>
      <c r="H244" s="193"/>
      <c r="I244" s="193" t="s">
        <v>820</v>
      </c>
      <c r="J244" s="193"/>
      <c r="K244" s="193" t="s">
        <v>938</v>
      </c>
      <c r="L244" s="193" t="s">
        <v>939</v>
      </c>
      <c r="M244" s="193" t="s">
        <v>954</v>
      </c>
      <c r="N244" s="193" t="s">
        <v>941</v>
      </c>
      <c r="O244" s="193"/>
      <c r="P244" s="193" t="s">
        <v>1165</v>
      </c>
      <c r="Q244" s="193" t="s">
        <v>943</v>
      </c>
      <c r="R244" s="193" t="s">
        <v>1166</v>
      </c>
      <c r="S244" s="196" t="s">
        <v>1160</v>
      </c>
      <c r="T244" s="193" t="s">
        <v>952</v>
      </c>
      <c r="U244" s="193" t="s">
        <v>947</v>
      </c>
      <c r="V244" s="193"/>
      <c r="W244" s="193"/>
      <c r="X244" s="193" t="s">
        <v>953</v>
      </c>
    </row>
    <row r="245" spans="1:24">
      <c r="A245" s="193" t="s">
        <v>935</v>
      </c>
      <c r="B245" s="194">
        <v>5</v>
      </c>
      <c r="C245" s="194">
        <v>2025</v>
      </c>
      <c r="D245" s="193" t="s">
        <v>936</v>
      </c>
      <c r="E245" s="193"/>
      <c r="F245" s="193" t="s">
        <v>994</v>
      </c>
      <c r="G245" s="195">
        <v>9</v>
      </c>
      <c r="H245" s="193"/>
      <c r="I245" s="193" t="s">
        <v>820</v>
      </c>
      <c r="J245" s="193"/>
      <c r="K245" s="193" t="s">
        <v>938</v>
      </c>
      <c r="L245" s="193" t="s">
        <v>939</v>
      </c>
      <c r="M245" s="193" t="s">
        <v>955</v>
      </c>
      <c r="N245" s="193" t="s">
        <v>941</v>
      </c>
      <c r="O245" s="193"/>
      <c r="P245" s="193" t="s">
        <v>1165</v>
      </c>
      <c r="Q245" s="193" t="s">
        <v>943</v>
      </c>
      <c r="R245" s="193" t="s">
        <v>1166</v>
      </c>
      <c r="S245" s="196" t="s">
        <v>1160</v>
      </c>
      <c r="T245" s="193" t="s">
        <v>952</v>
      </c>
      <c r="U245" s="193" t="s">
        <v>947</v>
      </c>
      <c r="V245" s="193"/>
      <c r="W245" s="193"/>
      <c r="X245" s="193" t="s">
        <v>953</v>
      </c>
    </row>
    <row r="246" spans="1:24">
      <c r="A246" s="193" t="s">
        <v>935</v>
      </c>
      <c r="B246" s="194">
        <v>5</v>
      </c>
      <c r="C246" s="194">
        <v>2025</v>
      </c>
      <c r="D246" s="193" t="s">
        <v>936</v>
      </c>
      <c r="E246" s="193"/>
      <c r="F246" s="193" t="s">
        <v>994</v>
      </c>
      <c r="G246" s="195">
        <v>58.43</v>
      </c>
      <c r="H246" s="193"/>
      <c r="I246" s="193" t="s">
        <v>820</v>
      </c>
      <c r="J246" s="193"/>
      <c r="K246" s="193" t="s">
        <v>938</v>
      </c>
      <c r="L246" s="193" t="s">
        <v>939</v>
      </c>
      <c r="M246" s="193" t="s">
        <v>956</v>
      </c>
      <c r="N246" s="193" t="s">
        <v>941</v>
      </c>
      <c r="O246" s="193"/>
      <c r="P246" s="193" t="s">
        <v>1165</v>
      </c>
      <c r="Q246" s="193" t="s">
        <v>943</v>
      </c>
      <c r="R246" s="193" t="s">
        <v>1166</v>
      </c>
      <c r="S246" s="196" t="s">
        <v>1160</v>
      </c>
      <c r="T246" s="193" t="s">
        <v>952</v>
      </c>
      <c r="U246" s="193" t="s">
        <v>947</v>
      </c>
      <c r="V246" s="193"/>
      <c r="W246" s="193"/>
      <c r="X246" s="193" t="s">
        <v>953</v>
      </c>
    </row>
    <row r="247" spans="1:24">
      <c r="A247" s="193" t="s">
        <v>935</v>
      </c>
      <c r="B247" s="194">
        <v>5</v>
      </c>
      <c r="C247" s="194">
        <v>2025</v>
      </c>
      <c r="D247" s="193" t="s">
        <v>936</v>
      </c>
      <c r="E247" s="193"/>
      <c r="F247" s="193" t="s">
        <v>994</v>
      </c>
      <c r="G247" s="195">
        <v>115.15</v>
      </c>
      <c r="H247" s="193"/>
      <c r="I247" s="193" t="s">
        <v>820</v>
      </c>
      <c r="J247" s="193"/>
      <c r="K247" s="193" t="s">
        <v>938</v>
      </c>
      <c r="L247" s="193" t="s">
        <v>939</v>
      </c>
      <c r="M247" s="193" t="s">
        <v>958</v>
      </c>
      <c r="N247" s="193" t="s">
        <v>941</v>
      </c>
      <c r="O247" s="193"/>
      <c r="P247" s="193" t="s">
        <v>1165</v>
      </c>
      <c r="Q247" s="193" t="s">
        <v>943</v>
      </c>
      <c r="R247" s="193" t="s">
        <v>1166</v>
      </c>
      <c r="S247" s="196" t="s">
        <v>1160</v>
      </c>
      <c r="T247" s="193" t="s">
        <v>952</v>
      </c>
      <c r="U247" s="193" t="s">
        <v>947</v>
      </c>
      <c r="V247" s="193"/>
      <c r="W247" s="193"/>
      <c r="X247" s="193" t="s">
        <v>953</v>
      </c>
    </row>
    <row r="248" spans="1:24">
      <c r="A248" s="193" t="s">
        <v>935</v>
      </c>
      <c r="B248" s="194">
        <v>5</v>
      </c>
      <c r="C248" s="194">
        <v>2025</v>
      </c>
      <c r="D248" s="193" t="s">
        <v>936</v>
      </c>
      <c r="E248" s="193"/>
      <c r="F248" s="193" t="s">
        <v>1017</v>
      </c>
      <c r="G248" s="195">
        <v>97.61</v>
      </c>
      <c r="H248" s="193"/>
      <c r="I248" s="193" t="s">
        <v>820</v>
      </c>
      <c r="J248" s="193"/>
      <c r="K248" s="193" t="s">
        <v>938</v>
      </c>
      <c r="L248" s="193" t="s">
        <v>939</v>
      </c>
      <c r="M248" s="193" t="s">
        <v>956</v>
      </c>
      <c r="N248" s="193" t="s">
        <v>941</v>
      </c>
      <c r="O248" s="193"/>
      <c r="P248" s="193" t="s">
        <v>1165</v>
      </c>
      <c r="Q248" s="193" t="s">
        <v>943</v>
      </c>
      <c r="R248" s="193" t="s">
        <v>1166</v>
      </c>
      <c r="S248" s="196" t="s">
        <v>1160</v>
      </c>
      <c r="T248" s="193" t="s">
        <v>952</v>
      </c>
      <c r="U248" s="193" t="s">
        <v>947</v>
      </c>
      <c r="V248" s="193"/>
      <c r="W248" s="193"/>
      <c r="X248" s="193" t="s">
        <v>953</v>
      </c>
    </row>
    <row r="249" spans="1:24">
      <c r="A249" s="193" t="s">
        <v>935</v>
      </c>
      <c r="B249" s="194">
        <v>5</v>
      </c>
      <c r="C249" s="194">
        <v>2025</v>
      </c>
      <c r="D249" s="193" t="s">
        <v>936</v>
      </c>
      <c r="E249" s="193"/>
      <c r="F249" s="193" t="s">
        <v>1049</v>
      </c>
      <c r="G249" s="195">
        <v>552.16</v>
      </c>
      <c r="H249" s="193"/>
      <c r="I249" s="193" t="s">
        <v>820</v>
      </c>
      <c r="J249" s="193"/>
      <c r="K249" s="193" t="s">
        <v>938</v>
      </c>
      <c r="L249" s="193" t="s">
        <v>939</v>
      </c>
      <c r="M249" s="193" t="s">
        <v>958</v>
      </c>
      <c r="N249" s="193" t="s">
        <v>941</v>
      </c>
      <c r="O249" s="193"/>
      <c r="P249" s="193" t="s">
        <v>1165</v>
      </c>
      <c r="Q249" s="193" t="s">
        <v>943</v>
      </c>
      <c r="R249" s="193" t="s">
        <v>1166</v>
      </c>
      <c r="S249" s="196" t="s">
        <v>1160</v>
      </c>
      <c r="T249" s="193" t="s">
        <v>952</v>
      </c>
      <c r="U249" s="193" t="s">
        <v>947</v>
      </c>
      <c r="V249" s="193"/>
      <c r="W249" s="193"/>
      <c r="X249" s="193" t="s">
        <v>953</v>
      </c>
    </row>
    <row r="250" spans="1:24">
      <c r="A250" s="193" t="s">
        <v>935</v>
      </c>
      <c r="B250" s="194">
        <v>5</v>
      </c>
      <c r="C250" s="194">
        <v>2025</v>
      </c>
      <c r="D250" s="193" t="s">
        <v>936</v>
      </c>
      <c r="E250" s="193"/>
      <c r="F250" s="193" t="s">
        <v>1049</v>
      </c>
      <c r="G250" s="195">
        <v>11.95</v>
      </c>
      <c r="H250" s="193"/>
      <c r="I250" s="193" t="s">
        <v>820</v>
      </c>
      <c r="J250" s="193"/>
      <c r="K250" s="193" t="s">
        <v>938</v>
      </c>
      <c r="L250" s="193" t="s">
        <v>939</v>
      </c>
      <c r="M250" s="193" t="s">
        <v>954</v>
      </c>
      <c r="N250" s="193" t="s">
        <v>941</v>
      </c>
      <c r="O250" s="193"/>
      <c r="P250" s="193" t="s">
        <v>1165</v>
      </c>
      <c r="Q250" s="193" t="s">
        <v>943</v>
      </c>
      <c r="R250" s="193" t="s">
        <v>1166</v>
      </c>
      <c r="S250" s="196" t="s">
        <v>1160</v>
      </c>
      <c r="T250" s="193" t="s">
        <v>952</v>
      </c>
      <c r="U250" s="193" t="s">
        <v>947</v>
      </c>
      <c r="V250" s="193"/>
      <c r="W250" s="193"/>
      <c r="X250" s="193" t="s">
        <v>953</v>
      </c>
    </row>
    <row r="251" spans="1:24">
      <c r="A251" s="193" t="s">
        <v>935</v>
      </c>
      <c r="B251" s="194">
        <v>5</v>
      </c>
      <c r="C251" s="194">
        <v>2025</v>
      </c>
      <c r="D251" s="193" t="s">
        <v>936</v>
      </c>
      <c r="E251" s="193"/>
      <c r="F251" s="193" t="s">
        <v>1017</v>
      </c>
      <c r="G251" s="195">
        <v>15.03</v>
      </c>
      <c r="H251" s="193"/>
      <c r="I251" s="193" t="s">
        <v>820</v>
      </c>
      <c r="J251" s="193"/>
      <c r="K251" s="193" t="s">
        <v>938</v>
      </c>
      <c r="L251" s="193" t="s">
        <v>939</v>
      </c>
      <c r="M251" s="193" t="s">
        <v>955</v>
      </c>
      <c r="N251" s="193" t="s">
        <v>941</v>
      </c>
      <c r="O251" s="193"/>
      <c r="P251" s="193" t="s">
        <v>1165</v>
      </c>
      <c r="Q251" s="193" t="s">
        <v>943</v>
      </c>
      <c r="R251" s="193" t="s">
        <v>1166</v>
      </c>
      <c r="S251" s="196" t="s">
        <v>1160</v>
      </c>
      <c r="T251" s="193" t="s">
        <v>952</v>
      </c>
      <c r="U251" s="193" t="s">
        <v>947</v>
      </c>
      <c r="V251" s="193"/>
      <c r="W251" s="193"/>
      <c r="X251" s="193" t="s">
        <v>953</v>
      </c>
    </row>
    <row r="252" spans="1:24">
      <c r="A252" s="193" t="s">
        <v>935</v>
      </c>
      <c r="B252" s="194">
        <v>5</v>
      </c>
      <c r="C252" s="194">
        <v>2025</v>
      </c>
      <c r="D252" s="193" t="s">
        <v>936</v>
      </c>
      <c r="E252" s="193"/>
      <c r="F252" s="193" t="s">
        <v>1049</v>
      </c>
      <c r="G252" s="195">
        <v>43.16</v>
      </c>
      <c r="H252" s="193"/>
      <c r="I252" s="193" t="s">
        <v>820</v>
      </c>
      <c r="J252" s="193"/>
      <c r="K252" s="193" t="s">
        <v>938</v>
      </c>
      <c r="L252" s="193" t="s">
        <v>939</v>
      </c>
      <c r="M252" s="193" t="s">
        <v>955</v>
      </c>
      <c r="N252" s="193" t="s">
        <v>941</v>
      </c>
      <c r="O252" s="193"/>
      <c r="P252" s="193" t="s">
        <v>1165</v>
      </c>
      <c r="Q252" s="193" t="s">
        <v>943</v>
      </c>
      <c r="R252" s="193" t="s">
        <v>1166</v>
      </c>
      <c r="S252" s="196" t="s">
        <v>1160</v>
      </c>
      <c r="T252" s="193" t="s">
        <v>952</v>
      </c>
      <c r="U252" s="193" t="s">
        <v>947</v>
      </c>
      <c r="V252" s="193"/>
      <c r="W252" s="193"/>
      <c r="X252" s="193" t="s">
        <v>953</v>
      </c>
    </row>
    <row r="253" spans="1:24">
      <c r="A253" s="193" t="s">
        <v>935</v>
      </c>
      <c r="B253" s="194">
        <v>5</v>
      </c>
      <c r="C253" s="194">
        <v>2025</v>
      </c>
      <c r="D253" s="193" t="s">
        <v>936</v>
      </c>
      <c r="E253" s="193"/>
      <c r="F253" s="193" t="s">
        <v>1017</v>
      </c>
      <c r="G253" s="195">
        <v>192.33</v>
      </c>
      <c r="H253" s="193"/>
      <c r="I253" s="193" t="s">
        <v>820</v>
      </c>
      <c r="J253" s="193"/>
      <c r="K253" s="193" t="s">
        <v>938</v>
      </c>
      <c r="L253" s="193" t="s">
        <v>939</v>
      </c>
      <c r="M253" s="193" t="s">
        <v>958</v>
      </c>
      <c r="N253" s="193" t="s">
        <v>941</v>
      </c>
      <c r="O253" s="193"/>
      <c r="P253" s="193" t="s">
        <v>1165</v>
      </c>
      <c r="Q253" s="193" t="s">
        <v>943</v>
      </c>
      <c r="R253" s="193" t="s">
        <v>1166</v>
      </c>
      <c r="S253" s="196" t="s">
        <v>1160</v>
      </c>
      <c r="T253" s="193" t="s">
        <v>952</v>
      </c>
      <c r="U253" s="193" t="s">
        <v>947</v>
      </c>
      <c r="V253" s="193"/>
      <c r="W253" s="193"/>
      <c r="X253" s="193" t="s">
        <v>953</v>
      </c>
    </row>
    <row r="254" spans="1:24">
      <c r="A254" s="193" t="s">
        <v>935</v>
      </c>
      <c r="B254" s="194">
        <v>5</v>
      </c>
      <c r="C254" s="194">
        <v>2025</v>
      </c>
      <c r="D254" s="193" t="s">
        <v>936</v>
      </c>
      <c r="E254" s="193"/>
      <c r="F254" s="193" t="s">
        <v>994</v>
      </c>
      <c r="G254" s="195">
        <v>1.02</v>
      </c>
      <c r="H254" s="193"/>
      <c r="I254" s="193" t="s">
        <v>820</v>
      </c>
      <c r="J254" s="193"/>
      <c r="K254" s="193" t="s">
        <v>938</v>
      </c>
      <c r="L254" s="193" t="s">
        <v>939</v>
      </c>
      <c r="M254" s="193" t="s">
        <v>957</v>
      </c>
      <c r="N254" s="193" t="s">
        <v>941</v>
      </c>
      <c r="O254" s="193"/>
      <c r="P254" s="193" t="s">
        <v>1165</v>
      </c>
      <c r="Q254" s="193" t="s">
        <v>943</v>
      </c>
      <c r="R254" s="193" t="s">
        <v>1166</v>
      </c>
      <c r="S254" s="196" t="s">
        <v>1160</v>
      </c>
      <c r="T254" s="193" t="s">
        <v>952</v>
      </c>
      <c r="U254" s="193" t="s">
        <v>947</v>
      </c>
      <c r="V254" s="193"/>
      <c r="W254" s="193"/>
      <c r="X254" s="193" t="s">
        <v>953</v>
      </c>
    </row>
    <row r="255" spans="1:24">
      <c r="A255" s="193" t="s">
        <v>935</v>
      </c>
      <c r="B255" s="194">
        <v>5</v>
      </c>
      <c r="C255" s="194">
        <v>2025</v>
      </c>
      <c r="D255" s="193" t="s">
        <v>936</v>
      </c>
      <c r="E255" s="193"/>
      <c r="F255" s="193" t="s">
        <v>937</v>
      </c>
      <c r="G255" s="195">
        <v>7.05</v>
      </c>
      <c r="H255" s="193"/>
      <c r="I255" s="193" t="s">
        <v>820</v>
      </c>
      <c r="J255" s="193"/>
      <c r="K255" s="193" t="s">
        <v>938</v>
      </c>
      <c r="L255" s="193" t="s">
        <v>939</v>
      </c>
      <c r="M255" s="193" t="s">
        <v>954</v>
      </c>
      <c r="N255" s="193" t="s">
        <v>941</v>
      </c>
      <c r="O255" s="193"/>
      <c r="P255" s="193" t="s">
        <v>1165</v>
      </c>
      <c r="Q255" s="193" t="s">
        <v>943</v>
      </c>
      <c r="R255" s="193" t="s">
        <v>1166</v>
      </c>
      <c r="S255" s="196" t="s">
        <v>1160</v>
      </c>
      <c r="T255" s="193" t="s">
        <v>952</v>
      </c>
      <c r="U255" s="193" t="s">
        <v>947</v>
      </c>
      <c r="V255" s="193"/>
      <c r="W255" s="193"/>
      <c r="X255" s="193" t="s">
        <v>953</v>
      </c>
    </row>
    <row r="256" spans="1:24">
      <c r="A256" s="193" t="s">
        <v>935</v>
      </c>
      <c r="B256" s="194">
        <v>5</v>
      </c>
      <c r="C256" s="194">
        <v>2025</v>
      </c>
      <c r="D256" s="193" t="s">
        <v>936</v>
      </c>
      <c r="E256" s="193"/>
      <c r="F256" s="193" t="s">
        <v>1049</v>
      </c>
      <c r="G256" s="195">
        <v>280.23</v>
      </c>
      <c r="H256" s="193"/>
      <c r="I256" s="193" t="s">
        <v>820</v>
      </c>
      <c r="J256" s="193"/>
      <c r="K256" s="193" t="s">
        <v>938</v>
      </c>
      <c r="L256" s="193" t="s">
        <v>939</v>
      </c>
      <c r="M256" s="193" t="s">
        <v>956</v>
      </c>
      <c r="N256" s="193" t="s">
        <v>941</v>
      </c>
      <c r="O256" s="193"/>
      <c r="P256" s="193" t="s">
        <v>1165</v>
      </c>
      <c r="Q256" s="193" t="s">
        <v>943</v>
      </c>
      <c r="R256" s="193" t="s">
        <v>1166</v>
      </c>
      <c r="S256" s="196" t="s">
        <v>1160</v>
      </c>
      <c r="T256" s="193" t="s">
        <v>952</v>
      </c>
      <c r="U256" s="193" t="s">
        <v>947</v>
      </c>
      <c r="V256" s="193"/>
      <c r="W256" s="193"/>
      <c r="X256" s="193" t="s">
        <v>953</v>
      </c>
    </row>
    <row r="257" spans="1:24">
      <c r="A257" s="193" t="s">
        <v>935</v>
      </c>
      <c r="B257" s="194">
        <v>5</v>
      </c>
      <c r="C257" s="194">
        <v>2025</v>
      </c>
      <c r="D257" s="193" t="s">
        <v>936</v>
      </c>
      <c r="E257" s="193"/>
      <c r="F257" s="193" t="s">
        <v>937</v>
      </c>
      <c r="G257" s="195">
        <v>25.47</v>
      </c>
      <c r="H257" s="193"/>
      <c r="I257" s="193" t="s">
        <v>820</v>
      </c>
      <c r="J257" s="193"/>
      <c r="K257" s="193" t="s">
        <v>938</v>
      </c>
      <c r="L257" s="193" t="s">
        <v>939</v>
      </c>
      <c r="M257" s="193" t="s">
        <v>955</v>
      </c>
      <c r="N257" s="193" t="s">
        <v>941</v>
      </c>
      <c r="O257" s="193"/>
      <c r="P257" s="193" t="s">
        <v>1165</v>
      </c>
      <c r="Q257" s="193" t="s">
        <v>943</v>
      </c>
      <c r="R257" s="193" t="s">
        <v>1166</v>
      </c>
      <c r="S257" s="196" t="s">
        <v>1160</v>
      </c>
      <c r="T257" s="193" t="s">
        <v>952</v>
      </c>
      <c r="U257" s="193" t="s">
        <v>947</v>
      </c>
      <c r="V257" s="193"/>
      <c r="W257" s="193"/>
      <c r="X257" s="193" t="s">
        <v>953</v>
      </c>
    </row>
    <row r="258" spans="1:24">
      <c r="A258" s="193" t="s">
        <v>935</v>
      </c>
      <c r="B258" s="194">
        <v>5</v>
      </c>
      <c r="C258" s="194">
        <v>2025</v>
      </c>
      <c r="D258" s="193" t="s">
        <v>936</v>
      </c>
      <c r="E258" s="193"/>
      <c r="F258" s="193" t="s">
        <v>937</v>
      </c>
      <c r="G258" s="195">
        <v>139422.38</v>
      </c>
      <c r="H258" s="193"/>
      <c r="I258" s="193" t="s">
        <v>820</v>
      </c>
      <c r="J258" s="193"/>
      <c r="K258" s="193" t="s">
        <v>938</v>
      </c>
      <c r="L258" s="193" t="s">
        <v>939</v>
      </c>
      <c r="M258" s="193" t="s">
        <v>997</v>
      </c>
      <c r="N258" s="193" t="s">
        <v>941</v>
      </c>
      <c r="O258" s="193"/>
      <c r="P258" s="193" t="s">
        <v>1167</v>
      </c>
      <c r="Q258" s="193" t="s">
        <v>943</v>
      </c>
      <c r="R258" s="193" t="s">
        <v>1168</v>
      </c>
      <c r="S258" s="196" t="s">
        <v>1169</v>
      </c>
      <c r="T258" s="193" t="s">
        <v>1001</v>
      </c>
      <c r="U258" s="193" t="s">
        <v>947</v>
      </c>
      <c r="V258" s="193"/>
      <c r="W258" s="193"/>
      <c r="X258" s="193" t="s">
        <v>1002</v>
      </c>
    </row>
    <row r="259" spans="1:24">
      <c r="A259" s="193" t="s">
        <v>935</v>
      </c>
      <c r="B259" s="194">
        <v>5</v>
      </c>
      <c r="C259" s="194">
        <v>2025</v>
      </c>
      <c r="D259" s="193" t="s">
        <v>936</v>
      </c>
      <c r="E259" s="193"/>
      <c r="F259" s="193" t="s">
        <v>937</v>
      </c>
      <c r="G259" s="195">
        <v>0</v>
      </c>
      <c r="H259" s="193"/>
      <c r="I259" s="193" t="s">
        <v>820</v>
      </c>
      <c r="J259" s="193"/>
      <c r="K259" s="193" t="s">
        <v>938</v>
      </c>
      <c r="L259" s="193" t="s">
        <v>939</v>
      </c>
      <c r="M259" s="193" t="s">
        <v>997</v>
      </c>
      <c r="N259" s="193" t="s">
        <v>941</v>
      </c>
      <c r="O259" s="193"/>
      <c r="P259" s="193" t="s">
        <v>1170</v>
      </c>
      <c r="Q259" s="193" t="s">
        <v>943</v>
      </c>
      <c r="R259" s="193" t="s">
        <v>1171</v>
      </c>
      <c r="S259" s="196" t="s">
        <v>1169</v>
      </c>
      <c r="T259" s="193" t="s">
        <v>1005</v>
      </c>
      <c r="U259" s="193" t="s">
        <v>947</v>
      </c>
      <c r="V259" s="193"/>
      <c r="W259" s="193"/>
      <c r="X259" s="193" t="s">
        <v>1006</v>
      </c>
    </row>
    <row r="260" spans="1:24">
      <c r="A260" s="193" t="s">
        <v>935</v>
      </c>
      <c r="B260" s="194">
        <v>5</v>
      </c>
      <c r="C260" s="194">
        <v>2025</v>
      </c>
      <c r="D260" s="193" t="s">
        <v>936</v>
      </c>
      <c r="E260" s="193"/>
      <c r="F260" s="193" t="s">
        <v>937</v>
      </c>
      <c r="G260" s="195">
        <v>10245.209999999999</v>
      </c>
      <c r="H260" s="193"/>
      <c r="I260" s="193" t="s">
        <v>820</v>
      </c>
      <c r="J260" s="193"/>
      <c r="K260" s="193" t="s">
        <v>938</v>
      </c>
      <c r="L260" s="193" t="s">
        <v>939</v>
      </c>
      <c r="M260" s="193" t="s">
        <v>997</v>
      </c>
      <c r="N260" s="193" t="s">
        <v>941</v>
      </c>
      <c r="O260" s="193"/>
      <c r="P260" s="193" t="s">
        <v>1172</v>
      </c>
      <c r="Q260" s="193" t="s">
        <v>943</v>
      </c>
      <c r="R260" s="193" t="s">
        <v>1173</v>
      </c>
      <c r="S260" s="196" t="s">
        <v>1174</v>
      </c>
      <c r="T260" s="193" t="s">
        <v>1001</v>
      </c>
      <c r="U260" s="193" t="s">
        <v>947</v>
      </c>
      <c r="V260" s="193"/>
      <c r="W260" s="193"/>
      <c r="X260" s="193" t="s">
        <v>1002</v>
      </c>
    </row>
    <row r="261" spans="1:24">
      <c r="A261" s="193" t="s">
        <v>935</v>
      </c>
      <c r="B261" s="194">
        <v>5</v>
      </c>
      <c r="C261" s="194">
        <v>2025</v>
      </c>
      <c r="D261" s="193" t="s">
        <v>936</v>
      </c>
      <c r="E261" s="193"/>
      <c r="F261" s="193" t="s">
        <v>937</v>
      </c>
      <c r="G261" s="195">
        <v>0</v>
      </c>
      <c r="H261" s="193"/>
      <c r="I261" s="193" t="s">
        <v>820</v>
      </c>
      <c r="J261" s="193"/>
      <c r="K261" s="193" t="s">
        <v>938</v>
      </c>
      <c r="L261" s="193" t="s">
        <v>939</v>
      </c>
      <c r="M261" s="193" t="s">
        <v>997</v>
      </c>
      <c r="N261" s="193" t="s">
        <v>941</v>
      </c>
      <c r="O261" s="193"/>
      <c r="P261" s="193" t="s">
        <v>1175</v>
      </c>
      <c r="Q261" s="193" t="s">
        <v>943</v>
      </c>
      <c r="R261" s="193" t="s">
        <v>1176</v>
      </c>
      <c r="S261" s="196" t="s">
        <v>1174</v>
      </c>
      <c r="T261" s="193" t="s">
        <v>1005</v>
      </c>
      <c r="U261" s="193" t="s">
        <v>947</v>
      </c>
      <c r="V261" s="193"/>
      <c r="W261" s="193"/>
      <c r="X261" s="193" t="s">
        <v>1006</v>
      </c>
    </row>
    <row r="262" spans="1:24">
      <c r="A262" s="193" t="s">
        <v>935</v>
      </c>
      <c r="B262" s="194">
        <v>5</v>
      </c>
      <c r="C262" s="194">
        <v>2025</v>
      </c>
      <c r="D262" s="193" t="s">
        <v>936</v>
      </c>
      <c r="E262" s="193"/>
      <c r="F262" s="193" t="s">
        <v>937</v>
      </c>
      <c r="G262" s="195">
        <v>781.43</v>
      </c>
      <c r="H262" s="193"/>
      <c r="I262" s="193" t="s">
        <v>820</v>
      </c>
      <c r="J262" s="193"/>
      <c r="K262" s="193" t="s">
        <v>938</v>
      </c>
      <c r="L262" s="193" t="s">
        <v>939</v>
      </c>
      <c r="M262" s="193" t="s">
        <v>940</v>
      </c>
      <c r="N262" s="193" t="s">
        <v>941</v>
      </c>
      <c r="O262" s="193"/>
      <c r="P262" s="193" t="s">
        <v>1177</v>
      </c>
      <c r="Q262" s="193" t="s">
        <v>943</v>
      </c>
      <c r="R262" s="193" t="s">
        <v>1178</v>
      </c>
      <c r="S262" s="196" t="s">
        <v>1179</v>
      </c>
      <c r="T262" s="193" t="s">
        <v>946</v>
      </c>
      <c r="U262" s="193" t="s">
        <v>947</v>
      </c>
      <c r="V262" s="193"/>
      <c r="W262" s="193"/>
      <c r="X262" s="193" t="s">
        <v>948</v>
      </c>
    </row>
    <row r="263" spans="1:24">
      <c r="A263" s="193" t="s">
        <v>935</v>
      </c>
      <c r="B263" s="194">
        <v>5</v>
      </c>
      <c r="C263" s="194">
        <v>2025</v>
      </c>
      <c r="D263" s="193" t="s">
        <v>936</v>
      </c>
      <c r="E263" s="193"/>
      <c r="F263" s="193" t="s">
        <v>1017</v>
      </c>
      <c r="G263" s="195">
        <v>334.51</v>
      </c>
      <c r="H263" s="193"/>
      <c r="I263" s="193" t="s">
        <v>820</v>
      </c>
      <c r="J263" s="193"/>
      <c r="K263" s="193" t="s">
        <v>938</v>
      </c>
      <c r="L263" s="193" t="s">
        <v>939</v>
      </c>
      <c r="M263" s="193" t="s">
        <v>940</v>
      </c>
      <c r="N263" s="193" t="s">
        <v>941</v>
      </c>
      <c r="O263" s="193"/>
      <c r="P263" s="193" t="s">
        <v>1177</v>
      </c>
      <c r="Q263" s="193" t="s">
        <v>943</v>
      </c>
      <c r="R263" s="193" t="s">
        <v>1178</v>
      </c>
      <c r="S263" s="196" t="s">
        <v>1179</v>
      </c>
      <c r="T263" s="193" t="s">
        <v>946</v>
      </c>
      <c r="U263" s="193" t="s">
        <v>947</v>
      </c>
      <c r="V263" s="193"/>
      <c r="W263" s="193"/>
      <c r="X263" s="193" t="s">
        <v>948</v>
      </c>
    </row>
    <row r="264" spans="1:24">
      <c r="A264" s="193" t="s">
        <v>935</v>
      </c>
      <c r="B264" s="194">
        <v>5</v>
      </c>
      <c r="C264" s="194">
        <v>2025</v>
      </c>
      <c r="D264" s="193" t="s">
        <v>936</v>
      </c>
      <c r="E264" s="193"/>
      <c r="F264" s="193" t="s">
        <v>1049</v>
      </c>
      <c r="G264" s="195">
        <v>1155.47</v>
      </c>
      <c r="H264" s="193"/>
      <c r="I264" s="193" t="s">
        <v>820</v>
      </c>
      <c r="J264" s="193"/>
      <c r="K264" s="193" t="s">
        <v>938</v>
      </c>
      <c r="L264" s="193" t="s">
        <v>939</v>
      </c>
      <c r="M264" s="193" t="s">
        <v>940</v>
      </c>
      <c r="N264" s="193" t="s">
        <v>941</v>
      </c>
      <c r="O264" s="193"/>
      <c r="P264" s="193" t="s">
        <v>1177</v>
      </c>
      <c r="Q264" s="193" t="s">
        <v>943</v>
      </c>
      <c r="R264" s="193" t="s">
        <v>1178</v>
      </c>
      <c r="S264" s="196" t="s">
        <v>1179</v>
      </c>
      <c r="T264" s="193" t="s">
        <v>946</v>
      </c>
      <c r="U264" s="193" t="s">
        <v>947</v>
      </c>
      <c r="V264" s="193"/>
      <c r="W264" s="193"/>
      <c r="X264" s="193" t="s">
        <v>948</v>
      </c>
    </row>
    <row r="265" spans="1:24">
      <c r="A265" s="193" t="s">
        <v>935</v>
      </c>
      <c r="B265" s="194">
        <v>5</v>
      </c>
      <c r="C265" s="194">
        <v>2025</v>
      </c>
      <c r="D265" s="193" t="s">
        <v>936</v>
      </c>
      <c r="E265" s="193"/>
      <c r="F265" s="193" t="s">
        <v>937</v>
      </c>
      <c r="G265" s="195">
        <v>54107.5</v>
      </c>
      <c r="H265" s="193"/>
      <c r="I265" s="193" t="s">
        <v>820</v>
      </c>
      <c r="J265" s="193"/>
      <c r="K265" s="193" t="s">
        <v>938</v>
      </c>
      <c r="L265" s="193" t="s">
        <v>939</v>
      </c>
      <c r="M265" s="193" t="s">
        <v>997</v>
      </c>
      <c r="N265" s="193" t="s">
        <v>941</v>
      </c>
      <c r="O265" s="193"/>
      <c r="P265" s="193" t="s">
        <v>1180</v>
      </c>
      <c r="Q265" s="193" t="s">
        <v>943</v>
      </c>
      <c r="R265" s="193" t="s">
        <v>1181</v>
      </c>
      <c r="S265" s="196" t="s">
        <v>1182</v>
      </c>
      <c r="T265" s="193" t="s">
        <v>1001</v>
      </c>
      <c r="U265" s="193" t="s">
        <v>947</v>
      </c>
      <c r="V265" s="193"/>
      <c r="W265" s="193"/>
      <c r="X265" s="193" t="s">
        <v>1002</v>
      </c>
    </row>
    <row r="266" spans="1:24">
      <c r="A266" s="193" t="s">
        <v>935</v>
      </c>
      <c r="B266" s="194">
        <v>5</v>
      </c>
      <c r="C266" s="194">
        <v>2025</v>
      </c>
      <c r="D266" s="193" t="s">
        <v>936</v>
      </c>
      <c r="E266" s="193"/>
      <c r="F266" s="193" t="s">
        <v>937</v>
      </c>
      <c r="G266" s="195">
        <v>0</v>
      </c>
      <c r="H266" s="193"/>
      <c r="I266" s="193" t="s">
        <v>820</v>
      </c>
      <c r="J266" s="193"/>
      <c r="K266" s="193" t="s">
        <v>938</v>
      </c>
      <c r="L266" s="193" t="s">
        <v>939</v>
      </c>
      <c r="M266" s="193" t="s">
        <v>997</v>
      </c>
      <c r="N266" s="193" t="s">
        <v>941</v>
      </c>
      <c r="O266" s="193"/>
      <c r="P266" s="193" t="s">
        <v>1183</v>
      </c>
      <c r="Q266" s="193" t="s">
        <v>943</v>
      </c>
      <c r="R266" s="193" t="s">
        <v>1184</v>
      </c>
      <c r="S266" s="196" t="s">
        <v>1182</v>
      </c>
      <c r="T266" s="193" t="s">
        <v>1005</v>
      </c>
      <c r="U266" s="193" t="s">
        <v>947</v>
      </c>
      <c r="V266" s="193"/>
      <c r="W266" s="193"/>
      <c r="X266" s="193" t="s">
        <v>1006</v>
      </c>
    </row>
    <row r="267" spans="1:24">
      <c r="A267" s="193" t="s">
        <v>935</v>
      </c>
      <c r="B267" s="194">
        <v>5</v>
      </c>
      <c r="C267" s="194">
        <v>2025</v>
      </c>
      <c r="D267" s="193" t="s">
        <v>936</v>
      </c>
      <c r="E267" s="193"/>
      <c r="F267" s="193" t="s">
        <v>937</v>
      </c>
      <c r="G267" s="195">
        <v>7.54</v>
      </c>
      <c r="H267" s="193"/>
      <c r="I267" s="193" t="s">
        <v>820</v>
      </c>
      <c r="J267" s="193"/>
      <c r="K267" s="193" t="s">
        <v>938</v>
      </c>
      <c r="L267" s="193" t="s">
        <v>939</v>
      </c>
      <c r="M267" s="193" t="s">
        <v>954</v>
      </c>
      <c r="N267" s="193" t="s">
        <v>941</v>
      </c>
      <c r="O267" s="193"/>
      <c r="P267" s="193" t="s">
        <v>1185</v>
      </c>
      <c r="Q267" s="193" t="s">
        <v>943</v>
      </c>
      <c r="R267" s="193" t="s">
        <v>1186</v>
      </c>
      <c r="S267" s="196" t="s">
        <v>1179</v>
      </c>
      <c r="T267" s="193" t="s">
        <v>952</v>
      </c>
      <c r="U267" s="193" t="s">
        <v>947</v>
      </c>
      <c r="V267" s="193"/>
      <c r="W267" s="193"/>
      <c r="X267" s="193" t="s">
        <v>953</v>
      </c>
    </row>
    <row r="268" spans="1:24">
      <c r="A268" s="193" t="s">
        <v>935</v>
      </c>
      <c r="B268" s="194">
        <v>5</v>
      </c>
      <c r="C268" s="194">
        <v>2025</v>
      </c>
      <c r="D268" s="193" t="s">
        <v>936</v>
      </c>
      <c r="E268" s="193"/>
      <c r="F268" s="193" t="s">
        <v>937</v>
      </c>
      <c r="G268" s="195">
        <v>27.23</v>
      </c>
      <c r="H268" s="193"/>
      <c r="I268" s="193" t="s">
        <v>820</v>
      </c>
      <c r="J268" s="193"/>
      <c r="K268" s="193" t="s">
        <v>938</v>
      </c>
      <c r="L268" s="193" t="s">
        <v>939</v>
      </c>
      <c r="M268" s="193" t="s">
        <v>955</v>
      </c>
      <c r="N268" s="193" t="s">
        <v>941</v>
      </c>
      <c r="O268" s="193"/>
      <c r="P268" s="193" t="s">
        <v>1185</v>
      </c>
      <c r="Q268" s="193" t="s">
        <v>943</v>
      </c>
      <c r="R268" s="193" t="s">
        <v>1186</v>
      </c>
      <c r="S268" s="196" t="s">
        <v>1179</v>
      </c>
      <c r="T268" s="193" t="s">
        <v>952</v>
      </c>
      <c r="U268" s="193" t="s">
        <v>947</v>
      </c>
      <c r="V268" s="193"/>
      <c r="W268" s="193"/>
      <c r="X268" s="193" t="s">
        <v>953</v>
      </c>
    </row>
    <row r="269" spans="1:24">
      <c r="A269" s="193" t="s">
        <v>935</v>
      </c>
      <c r="B269" s="194">
        <v>5</v>
      </c>
      <c r="C269" s="194">
        <v>2025</v>
      </c>
      <c r="D269" s="193" t="s">
        <v>936</v>
      </c>
      <c r="E269" s="193"/>
      <c r="F269" s="193" t="s">
        <v>937</v>
      </c>
      <c r="G269" s="195">
        <v>172.14</v>
      </c>
      <c r="H269" s="193"/>
      <c r="I269" s="193" t="s">
        <v>820</v>
      </c>
      <c r="J269" s="193"/>
      <c r="K269" s="193" t="s">
        <v>938</v>
      </c>
      <c r="L269" s="193" t="s">
        <v>939</v>
      </c>
      <c r="M269" s="193" t="s">
        <v>956</v>
      </c>
      <c r="N269" s="193" t="s">
        <v>941</v>
      </c>
      <c r="O269" s="193"/>
      <c r="P269" s="193" t="s">
        <v>1185</v>
      </c>
      <c r="Q269" s="193" t="s">
        <v>943</v>
      </c>
      <c r="R269" s="193" t="s">
        <v>1186</v>
      </c>
      <c r="S269" s="196" t="s">
        <v>1179</v>
      </c>
      <c r="T269" s="193" t="s">
        <v>952</v>
      </c>
      <c r="U269" s="193" t="s">
        <v>947</v>
      </c>
      <c r="V269" s="193"/>
      <c r="W269" s="193"/>
      <c r="X269" s="193" t="s">
        <v>953</v>
      </c>
    </row>
    <row r="270" spans="1:24">
      <c r="A270" s="193" t="s">
        <v>935</v>
      </c>
      <c r="B270" s="194">
        <v>5</v>
      </c>
      <c r="C270" s="194">
        <v>2025</v>
      </c>
      <c r="D270" s="193" t="s">
        <v>936</v>
      </c>
      <c r="E270" s="193"/>
      <c r="F270" s="193" t="s">
        <v>937</v>
      </c>
      <c r="G270" s="195">
        <v>3.07</v>
      </c>
      <c r="H270" s="193"/>
      <c r="I270" s="193" t="s">
        <v>820</v>
      </c>
      <c r="J270" s="193"/>
      <c r="K270" s="193" t="s">
        <v>938</v>
      </c>
      <c r="L270" s="193" t="s">
        <v>939</v>
      </c>
      <c r="M270" s="193" t="s">
        <v>957</v>
      </c>
      <c r="N270" s="193" t="s">
        <v>941</v>
      </c>
      <c r="O270" s="193"/>
      <c r="P270" s="193" t="s">
        <v>1185</v>
      </c>
      <c r="Q270" s="193" t="s">
        <v>943</v>
      </c>
      <c r="R270" s="193" t="s">
        <v>1186</v>
      </c>
      <c r="S270" s="196" t="s">
        <v>1179</v>
      </c>
      <c r="T270" s="193" t="s">
        <v>952</v>
      </c>
      <c r="U270" s="193" t="s">
        <v>947</v>
      </c>
      <c r="V270" s="193"/>
      <c r="W270" s="193"/>
      <c r="X270" s="193" t="s">
        <v>953</v>
      </c>
    </row>
    <row r="271" spans="1:24">
      <c r="A271" s="193" t="s">
        <v>935</v>
      </c>
      <c r="B271" s="194">
        <v>5</v>
      </c>
      <c r="C271" s="194">
        <v>2025</v>
      </c>
      <c r="D271" s="193" t="s">
        <v>936</v>
      </c>
      <c r="E271" s="193"/>
      <c r="F271" s="193" t="s">
        <v>937</v>
      </c>
      <c r="G271" s="195">
        <v>375.91</v>
      </c>
      <c r="H271" s="193"/>
      <c r="I271" s="193" t="s">
        <v>820</v>
      </c>
      <c r="J271" s="193"/>
      <c r="K271" s="193" t="s">
        <v>938</v>
      </c>
      <c r="L271" s="193" t="s">
        <v>939</v>
      </c>
      <c r="M271" s="193" t="s">
        <v>958</v>
      </c>
      <c r="N271" s="193" t="s">
        <v>941</v>
      </c>
      <c r="O271" s="193"/>
      <c r="P271" s="193" t="s">
        <v>1185</v>
      </c>
      <c r="Q271" s="193" t="s">
        <v>943</v>
      </c>
      <c r="R271" s="193" t="s">
        <v>1186</v>
      </c>
      <c r="S271" s="196" t="s">
        <v>1179</v>
      </c>
      <c r="T271" s="193" t="s">
        <v>952</v>
      </c>
      <c r="U271" s="193" t="s">
        <v>947</v>
      </c>
      <c r="V271" s="193"/>
      <c r="W271" s="193"/>
      <c r="X271" s="193" t="s">
        <v>953</v>
      </c>
    </row>
    <row r="272" spans="1:24">
      <c r="A272" s="193" t="s">
        <v>935</v>
      </c>
      <c r="B272" s="194">
        <v>5</v>
      </c>
      <c r="C272" s="194">
        <v>2025</v>
      </c>
      <c r="D272" s="193" t="s">
        <v>936</v>
      </c>
      <c r="E272" s="193"/>
      <c r="F272" s="193" t="s">
        <v>1049</v>
      </c>
      <c r="G272" s="195">
        <v>11.14</v>
      </c>
      <c r="H272" s="193"/>
      <c r="I272" s="193" t="s">
        <v>820</v>
      </c>
      <c r="J272" s="193"/>
      <c r="K272" s="193" t="s">
        <v>938</v>
      </c>
      <c r="L272" s="193" t="s">
        <v>939</v>
      </c>
      <c r="M272" s="193" t="s">
        <v>954</v>
      </c>
      <c r="N272" s="193" t="s">
        <v>941</v>
      </c>
      <c r="O272" s="193"/>
      <c r="P272" s="193" t="s">
        <v>1185</v>
      </c>
      <c r="Q272" s="193" t="s">
        <v>943</v>
      </c>
      <c r="R272" s="193" t="s">
        <v>1186</v>
      </c>
      <c r="S272" s="196" t="s">
        <v>1179</v>
      </c>
      <c r="T272" s="193" t="s">
        <v>952</v>
      </c>
      <c r="U272" s="193" t="s">
        <v>947</v>
      </c>
      <c r="V272" s="193"/>
      <c r="W272" s="193"/>
      <c r="X272" s="193" t="s">
        <v>953</v>
      </c>
    </row>
    <row r="273" spans="1:24">
      <c r="A273" s="193" t="s">
        <v>935</v>
      </c>
      <c r="B273" s="194">
        <v>5</v>
      </c>
      <c r="C273" s="194">
        <v>2025</v>
      </c>
      <c r="D273" s="193" t="s">
        <v>936</v>
      </c>
      <c r="E273" s="193"/>
      <c r="F273" s="193" t="s">
        <v>1049</v>
      </c>
      <c r="G273" s="195">
        <v>40.26</v>
      </c>
      <c r="H273" s="193"/>
      <c r="I273" s="193" t="s">
        <v>820</v>
      </c>
      <c r="J273" s="193"/>
      <c r="K273" s="193" t="s">
        <v>938</v>
      </c>
      <c r="L273" s="193" t="s">
        <v>939</v>
      </c>
      <c r="M273" s="193" t="s">
        <v>955</v>
      </c>
      <c r="N273" s="193" t="s">
        <v>941</v>
      </c>
      <c r="O273" s="193"/>
      <c r="P273" s="193" t="s">
        <v>1185</v>
      </c>
      <c r="Q273" s="193" t="s">
        <v>943</v>
      </c>
      <c r="R273" s="193" t="s">
        <v>1186</v>
      </c>
      <c r="S273" s="196" t="s">
        <v>1179</v>
      </c>
      <c r="T273" s="193" t="s">
        <v>952</v>
      </c>
      <c r="U273" s="193" t="s">
        <v>947</v>
      </c>
      <c r="V273" s="193"/>
      <c r="W273" s="193"/>
      <c r="X273" s="193" t="s">
        <v>953</v>
      </c>
    </row>
    <row r="274" spans="1:24">
      <c r="A274" s="193" t="s">
        <v>935</v>
      </c>
      <c r="B274" s="194">
        <v>5</v>
      </c>
      <c r="C274" s="194">
        <v>2025</v>
      </c>
      <c r="D274" s="193" t="s">
        <v>936</v>
      </c>
      <c r="E274" s="193"/>
      <c r="F274" s="193" t="s">
        <v>1049</v>
      </c>
      <c r="G274" s="195">
        <v>254.56</v>
      </c>
      <c r="H274" s="193"/>
      <c r="I274" s="193" t="s">
        <v>820</v>
      </c>
      <c r="J274" s="193"/>
      <c r="K274" s="193" t="s">
        <v>938</v>
      </c>
      <c r="L274" s="193" t="s">
        <v>939</v>
      </c>
      <c r="M274" s="193" t="s">
        <v>956</v>
      </c>
      <c r="N274" s="193" t="s">
        <v>941</v>
      </c>
      <c r="O274" s="193"/>
      <c r="P274" s="193" t="s">
        <v>1185</v>
      </c>
      <c r="Q274" s="193" t="s">
        <v>943</v>
      </c>
      <c r="R274" s="193" t="s">
        <v>1186</v>
      </c>
      <c r="S274" s="196" t="s">
        <v>1179</v>
      </c>
      <c r="T274" s="193" t="s">
        <v>952</v>
      </c>
      <c r="U274" s="193" t="s">
        <v>947</v>
      </c>
      <c r="V274" s="193"/>
      <c r="W274" s="193"/>
      <c r="X274" s="193" t="s">
        <v>953</v>
      </c>
    </row>
    <row r="275" spans="1:24">
      <c r="A275" s="193" t="s">
        <v>935</v>
      </c>
      <c r="B275" s="194">
        <v>5</v>
      </c>
      <c r="C275" s="194">
        <v>2025</v>
      </c>
      <c r="D275" s="193" t="s">
        <v>936</v>
      </c>
      <c r="E275" s="193"/>
      <c r="F275" s="193" t="s">
        <v>1049</v>
      </c>
      <c r="G275" s="195">
        <v>4.55</v>
      </c>
      <c r="H275" s="193"/>
      <c r="I275" s="193" t="s">
        <v>820</v>
      </c>
      <c r="J275" s="193"/>
      <c r="K275" s="193" t="s">
        <v>938</v>
      </c>
      <c r="L275" s="193" t="s">
        <v>939</v>
      </c>
      <c r="M275" s="193" t="s">
        <v>957</v>
      </c>
      <c r="N275" s="193" t="s">
        <v>941</v>
      </c>
      <c r="O275" s="193"/>
      <c r="P275" s="193" t="s">
        <v>1185</v>
      </c>
      <c r="Q275" s="193" t="s">
        <v>943</v>
      </c>
      <c r="R275" s="193" t="s">
        <v>1186</v>
      </c>
      <c r="S275" s="196" t="s">
        <v>1179</v>
      </c>
      <c r="T275" s="193" t="s">
        <v>952</v>
      </c>
      <c r="U275" s="193" t="s">
        <v>947</v>
      </c>
      <c r="V275" s="193"/>
      <c r="W275" s="193"/>
      <c r="X275" s="193" t="s">
        <v>953</v>
      </c>
    </row>
    <row r="276" spans="1:24">
      <c r="A276" s="193" t="s">
        <v>935</v>
      </c>
      <c r="B276" s="194">
        <v>5</v>
      </c>
      <c r="C276" s="194">
        <v>2025</v>
      </c>
      <c r="D276" s="193" t="s">
        <v>936</v>
      </c>
      <c r="E276" s="193"/>
      <c r="F276" s="193" t="s">
        <v>1049</v>
      </c>
      <c r="G276" s="195">
        <v>555.82000000000005</v>
      </c>
      <c r="H276" s="193"/>
      <c r="I276" s="193" t="s">
        <v>820</v>
      </c>
      <c r="J276" s="193"/>
      <c r="K276" s="193" t="s">
        <v>938</v>
      </c>
      <c r="L276" s="193" t="s">
        <v>939</v>
      </c>
      <c r="M276" s="193" t="s">
        <v>958</v>
      </c>
      <c r="N276" s="193" t="s">
        <v>941</v>
      </c>
      <c r="O276" s="193"/>
      <c r="P276" s="193" t="s">
        <v>1185</v>
      </c>
      <c r="Q276" s="193" t="s">
        <v>943</v>
      </c>
      <c r="R276" s="193" t="s">
        <v>1186</v>
      </c>
      <c r="S276" s="196" t="s">
        <v>1179</v>
      </c>
      <c r="T276" s="193" t="s">
        <v>952</v>
      </c>
      <c r="U276" s="193" t="s">
        <v>947</v>
      </c>
      <c r="V276" s="193"/>
      <c r="W276" s="193"/>
      <c r="X276" s="193" t="s">
        <v>953</v>
      </c>
    </row>
    <row r="277" spans="1:24">
      <c r="A277" s="193" t="s">
        <v>935</v>
      </c>
      <c r="B277" s="194">
        <v>5</v>
      </c>
      <c r="C277" s="194">
        <v>2025</v>
      </c>
      <c r="D277" s="193" t="s">
        <v>936</v>
      </c>
      <c r="E277" s="193"/>
      <c r="F277" s="193" t="s">
        <v>1017</v>
      </c>
      <c r="G277" s="195">
        <v>11.66</v>
      </c>
      <c r="H277" s="193"/>
      <c r="I277" s="193" t="s">
        <v>820</v>
      </c>
      <c r="J277" s="193"/>
      <c r="K277" s="193" t="s">
        <v>938</v>
      </c>
      <c r="L277" s="193" t="s">
        <v>939</v>
      </c>
      <c r="M277" s="193" t="s">
        <v>955</v>
      </c>
      <c r="N277" s="193" t="s">
        <v>941</v>
      </c>
      <c r="O277" s="193"/>
      <c r="P277" s="193" t="s">
        <v>1185</v>
      </c>
      <c r="Q277" s="193" t="s">
        <v>943</v>
      </c>
      <c r="R277" s="193" t="s">
        <v>1186</v>
      </c>
      <c r="S277" s="196" t="s">
        <v>1179</v>
      </c>
      <c r="T277" s="193" t="s">
        <v>952</v>
      </c>
      <c r="U277" s="193" t="s">
        <v>947</v>
      </c>
      <c r="V277" s="193"/>
      <c r="W277" s="193"/>
      <c r="X277" s="193" t="s">
        <v>953</v>
      </c>
    </row>
    <row r="278" spans="1:24">
      <c r="A278" s="193" t="s">
        <v>935</v>
      </c>
      <c r="B278" s="194">
        <v>5</v>
      </c>
      <c r="C278" s="194">
        <v>2025</v>
      </c>
      <c r="D278" s="193" t="s">
        <v>936</v>
      </c>
      <c r="E278" s="193"/>
      <c r="F278" s="193" t="s">
        <v>1017</v>
      </c>
      <c r="G278" s="195">
        <v>3.23</v>
      </c>
      <c r="H278" s="193"/>
      <c r="I278" s="193" t="s">
        <v>820</v>
      </c>
      <c r="J278" s="193"/>
      <c r="K278" s="193" t="s">
        <v>938</v>
      </c>
      <c r="L278" s="193" t="s">
        <v>939</v>
      </c>
      <c r="M278" s="193" t="s">
        <v>954</v>
      </c>
      <c r="N278" s="193" t="s">
        <v>941</v>
      </c>
      <c r="O278" s="193"/>
      <c r="P278" s="193" t="s">
        <v>1185</v>
      </c>
      <c r="Q278" s="193" t="s">
        <v>943</v>
      </c>
      <c r="R278" s="193" t="s">
        <v>1186</v>
      </c>
      <c r="S278" s="196" t="s">
        <v>1179</v>
      </c>
      <c r="T278" s="193" t="s">
        <v>952</v>
      </c>
      <c r="U278" s="193" t="s">
        <v>947</v>
      </c>
      <c r="V278" s="193"/>
      <c r="W278" s="193"/>
      <c r="X278" s="193" t="s">
        <v>953</v>
      </c>
    </row>
    <row r="279" spans="1:24">
      <c r="A279" s="193" t="s">
        <v>935</v>
      </c>
      <c r="B279" s="194">
        <v>5</v>
      </c>
      <c r="C279" s="194">
        <v>2025</v>
      </c>
      <c r="D279" s="193" t="s">
        <v>936</v>
      </c>
      <c r="E279" s="193"/>
      <c r="F279" s="193" t="s">
        <v>1017</v>
      </c>
      <c r="G279" s="195">
        <v>73.69</v>
      </c>
      <c r="H279" s="193"/>
      <c r="I279" s="193" t="s">
        <v>820</v>
      </c>
      <c r="J279" s="193"/>
      <c r="K279" s="193" t="s">
        <v>938</v>
      </c>
      <c r="L279" s="193" t="s">
        <v>939</v>
      </c>
      <c r="M279" s="193" t="s">
        <v>956</v>
      </c>
      <c r="N279" s="193" t="s">
        <v>941</v>
      </c>
      <c r="O279" s="193"/>
      <c r="P279" s="193" t="s">
        <v>1185</v>
      </c>
      <c r="Q279" s="193" t="s">
        <v>943</v>
      </c>
      <c r="R279" s="193" t="s">
        <v>1186</v>
      </c>
      <c r="S279" s="196" t="s">
        <v>1179</v>
      </c>
      <c r="T279" s="193" t="s">
        <v>952</v>
      </c>
      <c r="U279" s="193" t="s">
        <v>947</v>
      </c>
      <c r="V279" s="193"/>
      <c r="W279" s="193"/>
      <c r="X279" s="193" t="s">
        <v>953</v>
      </c>
    </row>
    <row r="280" spans="1:24">
      <c r="A280" s="193" t="s">
        <v>935</v>
      </c>
      <c r="B280" s="194">
        <v>5</v>
      </c>
      <c r="C280" s="194">
        <v>2025</v>
      </c>
      <c r="D280" s="193" t="s">
        <v>936</v>
      </c>
      <c r="E280" s="193"/>
      <c r="F280" s="193" t="s">
        <v>1017</v>
      </c>
      <c r="G280" s="195">
        <v>1.32</v>
      </c>
      <c r="H280" s="193"/>
      <c r="I280" s="193" t="s">
        <v>820</v>
      </c>
      <c r="J280" s="193"/>
      <c r="K280" s="193" t="s">
        <v>938</v>
      </c>
      <c r="L280" s="193" t="s">
        <v>939</v>
      </c>
      <c r="M280" s="193" t="s">
        <v>957</v>
      </c>
      <c r="N280" s="193" t="s">
        <v>941</v>
      </c>
      <c r="O280" s="193"/>
      <c r="P280" s="193" t="s">
        <v>1185</v>
      </c>
      <c r="Q280" s="193" t="s">
        <v>943</v>
      </c>
      <c r="R280" s="193" t="s">
        <v>1186</v>
      </c>
      <c r="S280" s="196" t="s">
        <v>1179</v>
      </c>
      <c r="T280" s="193" t="s">
        <v>952</v>
      </c>
      <c r="U280" s="193" t="s">
        <v>947</v>
      </c>
      <c r="V280" s="193"/>
      <c r="W280" s="193"/>
      <c r="X280" s="193" t="s">
        <v>953</v>
      </c>
    </row>
    <row r="281" spans="1:24">
      <c r="A281" s="193" t="s">
        <v>935</v>
      </c>
      <c r="B281" s="194">
        <v>5</v>
      </c>
      <c r="C281" s="194">
        <v>2025</v>
      </c>
      <c r="D281" s="193" t="s">
        <v>936</v>
      </c>
      <c r="E281" s="193"/>
      <c r="F281" s="193" t="s">
        <v>1017</v>
      </c>
      <c r="G281" s="195">
        <v>160.91</v>
      </c>
      <c r="H281" s="193"/>
      <c r="I281" s="193" t="s">
        <v>820</v>
      </c>
      <c r="J281" s="193"/>
      <c r="K281" s="193" t="s">
        <v>938</v>
      </c>
      <c r="L281" s="193" t="s">
        <v>939</v>
      </c>
      <c r="M281" s="193" t="s">
        <v>958</v>
      </c>
      <c r="N281" s="193" t="s">
        <v>941</v>
      </c>
      <c r="O281" s="193"/>
      <c r="P281" s="193" t="s">
        <v>1185</v>
      </c>
      <c r="Q281" s="193" t="s">
        <v>943</v>
      </c>
      <c r="R281" s="193" t="s">
        <v>1186</v>
      </c>
      <c r="S281" s="196" t="s">
        <v>1179</v>
      </c>
      <c r="T281" s="193" t="s">
        <v>952</v>
      </c>
      <c r="U281" s="193" t="s">
        <v>947</v>
      </c>
      <c r="V281" s="193"/>
      <c r="W281" s="193"/>
      <c r="X281" s="193" t="s">
        <v>953</v>
      </c>
    </row>
    <row r="282" spans="1:24">
      <c r="A282" s="193" t="s">
        <v>935</v>
      </c>
      <c r="B282" s="194">
        <v>5</v>
      </c>
      <c r="C282" s="194">
        <v>2025</v>
      </c>
      <c r="D282" s="193" t="s">
        <v>936</v>
      </c>
      <c r="E282" s="193"/>
      <c r="F282" s="193" t="s">
        <v>1049</v>
      </c>
      <c r="G282" s="195">
        <v>1155.47</v>
      </c>
      <c r="H282" s="193"/>
      <c r="I282" s="193" t="s">
        <v>820</v>
      </c>
      <c r="J282" s="193"/>
      <c r="K282" s="193" t="s">
        <v>938</v>
      </c>
      <c r="L282" s="193" t="s">
        <v>939</v>
      </c>
      <c r="M282" s="193" t="s">
        <v>940</v>
      </c>
      <c r="N282" s="193" t="s">
        <v>941</v>
      </c>
      <c r="O282" s="193"/>
      <c r="P282" s="193" t="s">
        <v>1187</v>
      </c>
      <c r="Q282" s="193" t="s">
        <v>943</v>
      </c>
      <c r="R282" s="193" t="s">
        <v>1188</v>
      </c>
      <c r="S282" s="196" t="s">
        <v>1189</v>
      </c>
      <c r="T282" s="193" t="s">
        <v>946</v>
      </c>
      <c r="U282" s="193" t="s">
        <v>947</v>
      </c>
      <c r="V282" s="193"/>
      <c r="W282" s="193"/>
      <c r="X282" s="193" t="s">
        <v>948</v>
      </c>
    </row>
    <row r="283" spans="1:24">
      <c r="A283" s="193" t="s">
        <v>935</v>
      </c>
      <c r="B283" s="194">
        <v>5</v>
      </c>
      <c r="C283" s="194">
        <v>2025</v>
      </c>
      <c r="D283" s="193" t="s">
        <v>936</v>
      </c>
      <c r="E283" s="193"/>
      <c r="F283" s="193" t="s">
        <v>937</v>
      </c>
      <c r="G283" s="195">
        <v>687.05</v>
      </c>
      <c r="H283" s="193"/>
      <c r="I283" s="193" t="s">
        <v>820</v>
      </c>
      <c r="J283" s="193"/>
      <c r="K283" s="193" t="s">
        <v>938</v>
      </c>
      <c r="L283" s="193" t="s">
        <v>939</v>
      </c>
      <c r="M283" s="193" t="s">
        <v>940</v>
      </c>
      <c r="N283" s="193" t="s">
        <v>941</v>
      </c>
      <c r="O283" s="193"/>
      <c r="P283" s="193" t="s">
        <v>1187</v>
      </c>
      <c r="Q283" s="193" t="s">
        <v>943</v>
      </c>
      <c r="R283" s="193" t="s">
        <v>1188</v>
      </c>
      <c r="S283" s="196" t="s">
        <v>1189</v>
      </c>
      <c r="T283" s="193" t="s">
        <v>946</v>
      </c>
      <c r="U283" s="193" t="s">
        <v>947</v>
      </c>
      <c r="V283" s="193"/>
      <c r="W283" s="193"/>
      <c r="X283" s="193" t="s">
        <v>948</v>
      </c>
    </row>
    <row r="284" spans="1:24">
      <c r="A284" s="193" t="s">
        <v>935</v>
      </c>
      <c r="B284" s="194">
        <v>5</v>
      </c>
      <c r="C284" s="194">
        <v>2025</v>
      </c>
      <c r="D284" s="193" t="s">
        <v>936</v>
      </c>
      <c r="E284" s="193"/>
      <c r="F284" s="193" t="s">
        <v>994</v>
      </c>
      <c r="G284" s="195">
        <v>66.75</v>
      </c>
      <c r="H284" s="193"/>
      <c r="I284" s="193" t="s">
        <v>820</v>
      </c>
      <c r="J284" s="193"/>
      <c r="K284" s="193" t="s">
        <v>938</v>
      </c>
      <c r="L284" s="193" t="s">
        <v>939</v>
      </c>
      <c r="M284" s="193" t="s">
        <v>940</v>
      </c>
      <c r="N284" s="193" t="s">
        <v>941</v>
      </c>
      <c r="O284" s="193"/>
      <c r="P284" s="193" t="s">
        <v>1187</v>
      </c>
      <c r="Q284" s="193" t="s">
        <v>943</v>
      </c>
      <c r="R284" s="193" t="s">
        <v>1188</v>
      </c>
      <c r="S284" s="196" t="s">
        <v>1189</v>
      </c>
      <c r="T284" s="193" t="s">
        <v>946</v>
      </c>
      <c r="U284" s="193" t="s">
        <v>947</v>
      </c>
      <c r="V284" s="193"/>
      <c r="W284" s="193"/>
      <c r="X284" s="193" t="s">
        <v>948</v>
      </c>
    </row>
    <row r="285" spans="1:24">
      <c r="A285" s="193" t="s">
        <v>935</v>
      </c>
      <c r="B285" s="194">
        <v>5</v>
      </c>
      <c r="C285" s="194">
        <v>2025</v>
      </c>
      <c r="D285" s="193" t="s">
        <v>936</v>
      </c>
      <c r="E285" s="193"/>
      <c r="F285" s="193" t="s">
        <v>1017</v>
      </c>
      <c r="G285" s="195">
        <v>83.64</v>
      </c>
      <c r="H285" s="193"/>
      <c r="I285" s="193" t="s">
        <v>820</v>
      </c>
      <c r="J285" s="193"/>
      <c r="K285" s="193" t="s">
        <v>938</v>
      </c>
      <c r="L285" s="193" t="s">
        <v>939</v>
      </c>
      <c r="M285" s="193" t="s">
        <v>940</v>
      </c>
      <c r="N285" s="193" t="s">
        <v>941</v>
      </c>
      <c r="O285" s="193"/>
      <c r="P285" s="193" t="s">
        <v>1187</v>
      </c>
      <c r="Q285" s="193" t="s">
        <v>943</v>
      </c>
      <c r="R285" s="193" t="s">
        <v>1188</v>
      </c>
      <c r="S285" s="196" t="s">
        <v>1189</v>
      </c>
      <c r="T285" s="193" t="s">
        <v>946</v>
      </c>
      <c r="U285" s="193" t="s">
        <v>947</v>
      </c>
      <c r="V285" s="193"/>
      <c r="W285" s="193"/>
      <c r="X285" s="193" t="s">
        <v>948</v>
      </c>
    </row>
    <row r="286" spans="1:24">
      <c r="A286" s="193" t="s">
        <v>935</v>
      </c>
      <c r="B286" s="194">
        <v>5</v>
      </c>
      <c r="C286" s="194">
        <v>2025</v>
      </c>
      <c r="D286" s="193" t="s">
        <v>936</v>
      </c>
      <c r="E286" s="193"/>
      <c r="F286" s="193" t="s">
        <v>1017</v>
      </c>
      <c r="G286" s="195">
        <v>0.61</v>
      </c>
      <c r="H286" s="193"/>
      <c r="I286" s="193" t="s">
        <v>820</v>
      </c>
      <c r="J286" s="193"/>
      <c r="K286" s="193" t="s">
        <v>938</v>
      </c>
      <c r="L286" s="193" t="s">
        <v>939</v>
      </c>
      <c r="M286" s="193" t="s">
        <v>954</v>
      </c>
      <c r="N286" s="193" t="s">
        <v>941</v>
      </c>
      <c r="O286" s="193"/>
      <c r="P286" s="193" t="s">
        <v>1190</v>
      </c>
      <c r="Q286" s="193" t="s">
        <v>943</v>
      </c>
      <c r="R286" s="193" t="s">
        <v>1191</v>
      </c>
      <c r="S286" s="196" t="s">
        <v>1189</v>
      </c>
      <c r="T286" s="193" t="s">
        <v>952</v>
      </c>
      <c r="U286" s="193" t="s">
        <v>947</v>
      </c>
      <c r="V286" s="193"/>
      <c r="W286" s="193"/>
      <c r="X286" s="193" t="s">
        <v>953</v>
      </c>
    </row>
    <row r="287" spans="1:24">
      <c r="A287" s="193" t="s">
        <v>935</v>
      </c>
      <c r="B287" s="194">
        <v>5</v>
      </c>
      <c r="C287" s="194">
        <v>2025</v>
      </c>
      <c r="D287" s="193" t="s">
        <v>936</v>
      </c>
      <c r="E287" s="193"/>
      <c r="F287" s="193" t="s">
        <v>1049</v>
      </c>
      <c r="G287" s="195">
        <v>563.59</v>
      </c>
      <c r="H287" s="193"/>
      <c r="I287" s="193" t="s">
        <v>820</v>
      </c>
      <c r="J287" s="193"/>
      <c r="K287" s="193" t="s">
        <v>938</v>
      </c>
      <c r="L287" s="193" t="s">
        <v>939</v>
      </c>
      <c r="M287" s="193" t="s">
        <v>958</v>
      </c>
      <c r="N287" s="193" t="s">
        <v>941</v>
      </c>
      <c r="O287" s="193"/>
      <c r="P287" s="193" t="s">
        <v>1190</v>
      </c>
      <c r="Q287" s="193" t="s">
        <v>943</v>
      </c>
      <c r="R287" s="193" t="s">
        <v>1191</v>
      </c>
      <c r="S287" s="196" t="s">
        <v>1189</v>
      </c>
      <c r="T287" s="193" t="s">
        <v>952</v>
      </c>
      <c r="U287" s="193" t="s">
        <v>947</v>
      </c>
      <c r="V287" s="193"/>
      <c r="W287" s="193"/>
      <c r="X287" s="193" t="s">
        <v>953</v>
      </c>
    </row>
    <row r="288" spans="1:24">
      <c r="A288" s="193" t="s">
        <v>935</v>
      </c>
      <c r="B288" s="194">
        <v>5</v>
      </c>
      <c r="C288" s="194">
        <v>2025</v>
      </c>
      <c r="D288" s="193" t="s">
        <v>936</v>
      </c>
      <c r="E288" s="193"/>
      <c r="F288" s="193" t="s">
        <v>1049</v>
      </c>
      <c r="G288" s="195">
        <v>3.44</v>
      </c>
      <c r="H288" s="193"/>
      <c r="I288" s="193" t="s">
        <v>820</v>
      </c>
      <c r="J288" s="193"/>
      <c r="K288" s="193" t="s">
        <v>938</v>
      </c>
      <c r="L288" s="193" t="s">
        <v>939</v>
      </c>
      <c r="M288" s="193" t="s">
        <v>957</v>
      </c>
      <c r="N288" s="193" t="s">
        <v>941</v>
      </c>
      <c r="O288" s="193"/>
      <c r="P288" s="193" t="s">
        <v>1190</v>
      </c>
      <c r="Q288" s="193" t="s">
        <v>943</v>
      </c>
      <c r="R288" s="193" t="s">
        <v>1191</v>
      </c>
      <c r="S288" s="196" t="s">
        <v>1189</v>
      </c>
      <c r="T288" s="193" t="s">
        <v>952</v>
      </c>
      <c r="U288" s="193" t="s">
        <v>947</v>
      </c>
      <c r="V288" s="193"/>
      <c r="W288" s="193"/>
      <c r="X288" s="193" t="s">
        <v>953</v>
      </c>
    </row>
    <row r="289" spans="1:24">
      <c r="A289" s="193" t="s">
        <v>935</v>
      </c>
      <c r="B289" s="194">
        <v>5</v>
      </c>
      <c r="C289" s="194">
        <v>2025</v>
      </c>
      <c r="D289" s="193" t="s">
        <v>936</v>
      </c>
      <c r="E289" s="193"/>
      <c r="F289" s="193" t="s">
        <v>1049</v>
      </c>
      <c r="G289" s="195">
        <v>274.2</v>
      </c>
      <c r="H289" s="193"/>
      <c r="I289" s="193" t="s">
        <v>820</v>
      </c>
      <c r="J289" s="193"/>
      <c r="K289" s="193" t="s">
        <v>938</v>
      </c>
      <c r="L289" s="193" t="s">
        <v>939</v>
      </c>
      <c r="M289" s="193" t="s">
        <v>956</v>
      </c>
      <c r="N289" s="193" t="s">
        <v>941</v>
      </c>
      <c r="O289" s="193"/>
      <c r="P289" s="193" t="s">
        <v>1190</v>
      </c>
      <c r="Q289" s="193" t="s">
        <v>943</v>
      </c>
      <c r="R289" s="193" t="s">
        <v>1191</v>
      </c>
      <c r="S289" s="196" t="s">
        <v>1189</v>
      </c>
      <c r="T289" s="193" t="s">
        <v>952</v>
      </c>
      <c r="U289" s="193" t="s">
        <v>947</v>
      </c>
      <c r="V289" s="193"/>
      <c r="W289" s="193"/>
      <c r="X289" s="193" t="s">
        <v>953</v>
      </c>
    </row>
    <row r="290" spans="1:24">
      <c r="A290" s="193" t="s">
        <v>935</v>
      </c>
      <c r="B290" s="194">
        <v>5</v>
      </c>
      <c r="C290" s="194">
        <v>2025</v>
      </c>
      <c r="D290" s="193" t="s">
        <v>936</v>
      </c>
      <c r="E290" s="193"/>
      <c r="F290" s="193" t="s">
        <v>1049</v>
      </c>
      <c r="G290" s="195">
        <v>30.37</v>
      </c>
      <c r="H290" s="193"/>
      <c r="I290" s="193" t="s">
        <v>820</v>
      </c>
      <c r="J290" s="193"/>
      <c r="K290" s="193" t="s">
        <v>938</v>
      </c>
      <c r="L290" s="193" t="s">
        <v>939</v>
      </c>
      <c r="M290" s="193" t="s">
        <v>955</v>
      </c>
      <c r="N290" s="193" t="s">
        <v>941</v>
      </c>
      <c r="O290" s="193"/>
      <c r="P290" s="193" t="s">
        <v>1190</v>
      </c>
      <c r="Q290" s="193" t="s">
        <v>943</v>
      </c>
      <c r="R290" s="193" t="s">
        <v>1191</v>
      </c>
      <c r="S290" s="196" t="s">
        <v>1189</v>
      </c>
      <c r="T290" s="193" t="s">
        <v>952</v>
      </c>
      <c r="U290" s="193" t="s">
        <v>947</v>
      </c>
      <c r="V290" s="193"/>
      <c r="W290" s="193"/>
      <c r="X290" s="193" t="s">
        <v>953</v>
      </c>
    </row>
    <row r="291" spans="1:24">
      <c r="A291" s="193" t="s">
        <v>935</v>
      </c>
      <c r="B291" s="194">
        <v>5</v>
      </c>
      <c r="C291" s="194">
        <v>2025</v>
      </c>
      <c r="D291" s="193" t="s">
        <v>936</v>
      </c>
      <c r="E291" s="193"/>
      <c r="F291" s="193" t="s">
        <v>1049</v>
      </c>
      <c r="G291" s="195">
        <v>8.41</v>
      </c>
      <c r="H291" s="193"/>
      <c r="I291" s="193" t="s">
        <v>820</v>
      </c>
      <c r="J291" s="193"/>
      <c r="K291" s="193" t="s">
        <v>938</v>
      </c>
      <c r="L291" s="193" t="s">
        <v>939</v>
      </c>
      <c r="M291" s="193" t="s">
        <v>954</v>
      </c>
      <c r="N291" s="193" t="s">
        <v>941</v>
      </c>
      <c r="O291" s="193"/>
      <c r="P291" s="193" t="s">
        <v>1190</v>
      </c>
      <c r="Q291" s="193" t="s">
        <v>943</v>
      </c>
      <c r="R291" s="193" t="s">
        <v>1191</v>
      </c>
      <c r="S291" s="196" t="s">
        <v>1189</v>
      </c>
      <c r="T291" s="193" t="s">
        <v>952</v>
      </c>
      <c r="U291" s="193" t="s">
        <v>947</v>
      </c>
      <c r="V291" s="193"/>
      <c r="W291" s="193"/>
      <c r="X291" s="193" t="s">
        <v>953</v>
      </c>
    </row>
    <row r="292" spans="1:24">
      <c r="A292" s="193" t="s">
        <v>935</v>
      </c>
      <c r="B292" s="194">
        <v>5</v>
      </c>
      <c r="C292" s="194">
        <v>2025</v>
      </c>
      <c r="D292" s="193" t="s">
        <v>936</v>
      </c>
      <c r="E292" s="193"/>
      <c r="F292" s="193" t="s">
        <v>1049</v>
      </c>
      <c r="G292" s="195">
        <v>7.96</v>
      </c>
      <c r="H292" s="193"/>
      <c r="I292" s="193" t="s">
        <v>820</v>
      </c>
      <c r="J292" s="193"/>
      <c r="K292" s="193" t="s">
        <v>938</v>
      </c>
      <c r="L292" s="193" t="s">
        <v>939</v>
      </c>
      <c r="M292" s="193" t="s">
        <v>949</v>
      </c>
      <c r="N292" s="193" t="s">
        <v>941</v>
      </c>
      <c r="O292" s="193"/>
      <c r="P292" s="193" t="s">
        <v>1190</v>
      </c>
      <c r="Q292" s="193" t="s">
        <v>943</v>
      </c>
      <c r="R292" s="193" t="s">
        <v>1191</v>
      </c>
      <c r="S292" s="196" t="s">
        <v>1189</v>
      </c>
      <c r="T292" s="193" t="s">
        <v>952</v>
      </c>
      <c r="U292" s="193" t="s">
        <v>947</v>
      </c>
      <c r="V292" s="193"/>
      <c r="W292" s="193"/>
      <c r="X292" s="193" t="s">
        <v>953</v>
      </c>
    </row>
    <row r="293" spans="1:24">
      <c r="A293" s="193" t="s">
        <v>935</v>
      </c>
      <c r="B293" s="194">
        <v>5</v>
      </c>
      <c r="C293" s="194">
        <v>2025</v>
      </c>
      <c r="D293" s="193" t="s">
        <v>936</v>
      </c>
      <c r="E293" s="193"/>
      <c r="F293" s="193" t="s">
        <v>994</v>
      </c>
      <c r="G293" s="195">
        <v>32.56</v>
      </c>
      <c r="H293" s="193"/>
      <c r="I293" s="193" t="s">
        <v>820</v>
      </c>
      <c r="J293" s="193"/>
      <c r="K293" s="193" t="s">
        <v>938</v>
      </c>
      <c r="L293" s="193" t="s">
        <v>939</v>
      </c>
      <c r="M293" s="193" t="s">
        <v>958</v>
      </c>
      <c r="N293" s="193" t="s">
        <v>941</v>
      </c>
      <c r="O293" s="193"/>
      <c r="P293" s="193" t="s">
        <v>1190</v>
      </c>
      <c r="Q293" s="193" t="s">
        <v>943</v>
      </c>
      <c r="R293" s="193" t="s">
        <v>1191</v>
      </c>
      <c r="S293" s="196" t="s">
        <v>1189</v>
      </c>
      <c r="T293" s="193" t="s">
        <v>952</v>
      </c>
      <c r="U293" s="193" t="s">
        <v>947</v>
      </c>
      <c r="V293" s="193"/>
      <c r="W293" s="193"/>
      <c r="X293" s="193" t="s">
        <v>953</v>
      </c>
    </row>
    <row r="294" spans="1:24">
      <c r="A294" s="193" t="s">
        <v>935</v>
      </c>
      <c r="B294" s="194">
        <v>5</v>
      </c>
      <c r="C294" s="194">
        <v>2025</v>
      </c>
      <c r="D294" s="193" t="s">
        <v>936</v>
      </c>
      <c r="E294" s="193"/>
      <c r="F294" s="193" t="s">
        <v>994</v>
      </c>
      <c r="G294" s="195">
        <v>0.2</v>
      </c>
      <c r="H294" s="193"/>
      <c r="I294" s="193" t="s">
        <v>820</v>
      </c>
      <c r="J294" s="193"/>
      <c r="K294" s="193" t="s">
        <v>938</v>
      </c>
      <c r="L294" s="193" t="s">
        <v>939</v>
      </c>
      <c r="M294" s="193" t="s">
        <v>957</v>
      </c>
      <c r="N294" s="193" t="s">
        <v>941</v>
      </c>
      <c r="O294" s="193"/>
      <c r="P294" s="193" t="s">
        <v>1190</v>
      </c>
      <c r="Q294" s="193" t="s">
        <v>943</v>
      </c>
      <c r="R294" s="193" t="s">
        <v>1191</v>
      </c>
      <c r="S294" s="196" t="s">
        <v>1189</v>
      </c>
      <c r="T294" s="193" t="s">
        <v>952</v>
      </c>
      <c r="U294" s="193" t="s">
        <v>947</v>
      </c>
      <c r="V294" s="193"/>
      <c r="W294" s="193"/>
      <c r="X294" s="193" t="s">
        <v>953</v>
      </c>
    </row>
    <row r="295" spans="1:24">
      <c r="A295" s="193" t="s">
        <v>935</v>
      </c>
      <c r="B295" s="194">
        <v>5</v>
      </c>
      <c r="C295" s="194">
        <v>2025</v>
      </c>
      <c r="D295" s="193" t="s">
        <v>936</v>
      </c>
      <c r="E295" s="193"/>
      <c r="F295" s="193" t="s">
        <v>994</v>
      </c>
      <c r="G295" s="195">
        <v>15.85</v>
      </c>
      <c r="H295" s="193"/>
      <c r="I295" s="193" t="s">
        <v>820</v>
      </c>
      <c r="J295" s="193"/>
      <c r="K295" s="193" t="s">
        <v>938</v>
      </c>
      <c r="L295" s="193" t="s">
        <v>939</v>
      </c>
      <c r="M295" s="193" t="s">
        <v>956</v>
      </c>
      <c r="N295" s="193" t="s">
        <v>941</v>
      </c>
      <c r="O295" s="193"/>
      <c r="P295" s="193" t="s">
        <v>1190</v>
      </c>
      <c r="Q295" s="193" t="s">
        <v>943</v>
      </c>
      <c r="R295" s="193" t="s">
        <v>1191</v>
      </c>
      <c r="S295" s="196" t="s">
        <v>1189</v>
      </c>
      <c r="T295" s="193" t="s">
        <v>952</v>
      </c>
      <c r="U295" s="193" t="s">
        <v>947</v>
      </c>
      <c r="V295" s="193"/>
      <c r="W295" s="193"/>
      <c r="X295" s="193" t="s">
        <v>953</v>
      </c>
    </row>
    <row r="296" spans="1:24">
      <c r="A296" s="193" t="s">
        <v>935</v>
      </c>
      <c r="B296" s="194">
        <v>5</v>
      </c>
      <c r="C296" s="194">
        <v>2025</v>
      </c>
      <c r="D296" s="193" t="s">
        <v>936</v>
      </c>
      <c r="E296" s="193"/>
      <c r="F296" s="193" t="s">
        <v>994</v>
      </c>
      <c r="G296" s="195">
        <v>1.75</v>
      </c>
      <c r="H296" s="193"/>
      <c r="I296" s="193" t="s">
        <v>820</v>
      </c>
      <c r="J296" s="193"/>
      <c r="K296" s="193" t="s">
        <v>938</v>
      </c>
      <c r="L296" s="193" t="s">
        <v>939</v>
      </c>
      <c r="M296" s="193" t="s">
        <v>955</v>
      </c>
      <c r="N296" s="193" t="s">
        <v>941</v>
      </c>
      <c r="O296" s="193"/>
      <c r="P296" s="193" t="s">
        <v>1190</v>
      </c>
      <c r="Q296" s="193" t="s">
        <v>943</v>
      </c>
      <c r="R296" s="193" t="s">
        <v>1191</v>
      </c>
      <c r="S296" s="196" t="s">
        <v>1189</v>
      </c>
      <c r="T296" s="193" t="s">
        <v>952</v>
      </c>
      <c r="U296" s="193" t="s">
        <v>947</v>
      </c>
      <c r="V296" s="193"/>
      <c r="W296" s="193"/>
      <c r="X296" s="193" t="s">
        <v>953</v>
      </c>
    </row>
    <row r="297" spans="1:24">
      <c r="A297" s="193" t="s">
        <v>935</v>
      </c>
      <c r="B297" s="194">
        <v>5</v>
      </c>
      <c r="C297" s="194">
        <v>2025</v>
      </c>
      <c r="D297" s="193" t="s">
        <v>936</v>
      </c>
      <c r="E297" s="193"/>
      <c r="F297" s="193" t="s">
        <v>994</v>
      </c>
      <c r="G297" s="195">
        <v>0.49</v>
      </c>
      <c r="H297" s="193"/>
      <c r="I297" s="193" t="s">
        <v>820</v>
      </c>
      <c r="J297" s="193"/>
      <c r="K297" s="193" t="s">
        <v>938</v>
      </c>
      <c r="L297" s="193" t="s">
        <v>939</v>
      </c>
      <c r="M297" s="193" t="s">
        <v>954</v>
      </c>
      <c r="N297" s="193" t="s">
        <v>941</v>
      </c>
      <c r="O297" s="193"/>
      <c r="P297" s="193" t="s">
        <v>1190</v>
      </c>
      <c r="Q297" s="193" t="s">
        <v>943</v>
      </c>
      <c r="R297" s="193" t="s">
        <v>1191</v>
      </c>
      <c r="S297" s="196" t="s">
        <v>1189</v>
      </c>
      <c r="T297" s="193" t="s">
        <v>952</v>
      </c>
      <c r="U297" s="193" t="s">
        <v>947</v>
      </c>
      <c r="V297" s="193"/>
      <c r="W297" s="193"/>
      <c r="X297" s="193" t="s">
        <v>953</v>
      </c>
    </row>
    <row r="298" spans="1:24">
      <c r="A298" s="193" t="s">
        <v>935</v>
      </c>
      <c r="B298" s="194">
        <v>5</v>
      </c>
      <c r="C298" s="194">
        <v>2025</v>
      </c>
      <c r="D298" s="193" t="s">
        <v>936</v>
      </c>
      <c r="E298" s="193"/>
      <c r="F298" s="193" t="s">
        <v>937</v>
      </c>
      <c r="G298" s="195">
        <v>335.11</v>
      </c>
      <c r="H298" s="193"/>
      <c r="I298" s="193" t="s">
        <v>820</v>
      </c>
      <c r="J298" s="193"/>
      <c r="K298" s="193" t="s">
        <v>938</v>
      </c>
      <c r="L298" s="193" t="s">
        <v>939</v>
      </c>
      <c r="M298" s="193" t="s">
        <v>958</v>
      </c>
      <c r="N298" s="193" t="s">
        <v>941</v>
      </c>
      <c r="O298" s="193"/>
      <c r="P298" s="193" t="s">
        <v>1190</v>
      </c>
      <c r="Q298" s="193" t="s">
        <v>943</v>
      </c>
      <c r="R298" s="193" t="s">
        <v>1191</v>
      </c>
      <c r="S298" s="196" t="s">
        <v>1189</v>
      </c>
      <c r="T298" s="193" t="s">
        <v>952</v>
      </c>
      <c r="U298" s="193" t="s">
        <v>947</v>
      </c>
      <c r="V298" s="193"/>
      <c r="W298" s="193"/>
      <c r="X298" s="193" t="s">
        <v>953</v>
      </c>
    </row>
    <row r="299" spans="1:24">
      <c r="A299" s="193" t="s">
        <v>935</v>
      </c>
      <c r="B299" s="194">
        <v>5</v>
      </c>
      <c r="C299" s="194">
        <v>2025</v>
      </c>
      <c r="D299" s="193" t="s">
        <v>936</v>
      </c>
      <c r="E299" s="193"/>
      <c r="F299" s="193" t="s">
        <v>937</v>
      </c>
      <c r="G299" s="195">
        <v>2.0499999999999998</v>
      </c>
      <c r="H299" s="193"/>
      <c r="I299" s="193" t="s">
        <v>820</v>
      </c>
      <c r="J299" s="193"/>
      <c r="K299" s="193" t="s">
        <v>938</v>
      </c>
      <c r="L299" s="193" t="s">
        <v>939</v>
      </c>
      <c r="M299" s="193" t="s">
        <v>957</v>
      </c>
      <c r="N299" s="193" t="s">
        <v>941</v>
      </c>
      <c r="O299" s="193"/>
      <c r="P299" s="193" t="s">
        <v>1190</v>
      </c>
      <c r="Q299" s="193" t="s">
        <v>943</v>
      </c>
      <c r="R299" s="193" t="s">
        <v>1191</v>
      </c>
      <c r="S299" s="196" t="s">
        <v>1189</v>
      </c>
      <c r="T299" s="193" t="s">
        <v>952</v>
      </c>
      <c r="U299" s="193" t="s">
        <v>947</v>
      </c>
      <c r="V299" s="193"/>
      <c r="W299" s="193"/>
      <c r="X299" s="193" t="s">
        <v>953</v>
      </c>
    </row>
    <row r="300" spans="1:24">
      <c r="A300" s="193" t="s">
        <v>935</v>
      </c>
      <c r="B300" s="194">
        <v>5</v>
      </c>
      <c r="C300" s="194">
        <v>2025</v>
      </c>
      <c r="D300" s="193" t="s">
        <v>936</v>
      </c>
      <c r="E300" s="193"/>
      <c r="F300" s="193" t="s">
        <v>937</v>
      </c>
      <c r="G300" s="195">
        <v>163.04</v>
      </c>
      <c r="H300" s="193"/>
      <c r="I300" s="193" t="s">
        <v>820</v>
      </c>
      <c r="J300" s="193"/>
      <c r="K300" s="193" t="s">
        <v>938</v>
      </c>
      <c r="L300" s="193" t="s">
        <v>939</v>
      </c>
      <c r="M300" s="193" t="s">
        <v>956</v>
      </c>
      <c r="N300" s="193" t="s">
        <v>941</v>
      </c>
      <c r="O300" s="193"/>
      <c r="P300" s="193" t="s">
        <v>1190</v>
      </c>
      <c r="Q300" s="193" t="s">
        <v>943</v>
      </c>
      <c r="R300" s="193" t="s">
        <v>1191</v>
      </c>
      <c r="S300" s="196" t="s">
        <v>1189</v>
      </c>
      <c r="T300" s="193" t="s">
        <v>952</v>
      </c>
      <c r="U300" s="193" t="s">
        <v>947</v>
      </c>
      <c r="V300" s="193"/>
      <c r="W300" s="193"/>
      <c r="X300" s="193" t="s">
        <v>953</v>
      </c>
    </row>
    <row r="301" spans="1:24">
      <c r="A301" s="193" t="s">
        <v>935</v>
      </c>
      <c r="B301" s="194">
        <v>5</v>
      </c>
      <c r="C301" s="194">
        <v>2025</v>
      </c>
      <c r="D301" s="193" t="s">
        <v>936</v>
      </c>
      <c r="E301" s="193"/>
      <c r="F301" s="193" t="s">
        <v>937</v>
      </c>
      <c r="G301" s="195">
        <v>18.059999999999999</v>
      </c>
      <c r="H301" s="193"/>
      <c r="I301" s="193" t="s">
        <v>820</v>
      </c>
      <c r="J301" s="193"/>
      <c r="K301" s="193" t="s">
        <v>938</v>
      </c>
      <c r="L301" s="193" t="s">
        <v>939</v>
      </c>
      <c r="M301" s="193" t="s">
        <v>955</v>
      </c>
      <c r="N301" s="193" t="s">
        <v>941</v>
      </c>
      <c r="O301" s="193"/>
      <c r="P301" s="193" t="s">
        <v>1190</v>
      </c>
      <c r="Q301" s="193" t="s">
        <v>943</v>
      </c>
      <c r="R301" s="193" t="s">
        <v>1191</v>
      </c>
      <c r="S301" s="196" t="s">
        <v>1189</v>
      </c>
      <c r="T301" s="193" t="s">
        <v>952</v>
      </c>
      <c r="U301" s="193" t="s">
        <v>947</v>
      </c>
      <c r="V301" s="193"/>
      <c r="W301" s="193"/>
      <c r="X301" s="193" t="s">
        <v>953</v>
      </c>
    </row>
    <row r="302" spans="1:24">
      <c r="A302" s="193" t="s">
        <v>935</v>
      </c>
      <c r="B302" s="194">
        <v>5</v>
      </c>
      <c r="C302" s="194">
        <v>2025</v>
      </c>
      <c r="D302" s="193" t="s">
        <v>936</v>
      </c>
      <c r="E302" s="193"/>
      <c r="F302" s="193" t="s">
        <v>937</v>
      </c>
      <c r="G302" s="195">
        <v>5</v>
      </c>
      <c r="H302" s="193"/>
      <c r="I302" s="193" t="s">
        <v>820</v>
      </c>
      <c r="J302" s="193"/>
      <c r="K302" s="193" t="s">
        <v>938</v>
      </c>
      <c r="L302" s="193" t="s">
        <v>939</v>
      </c>
      <c r="M302" s="193" t="s">
        <v>954</v>
      </c>
      <c r="N302" s="193" t="s">
        <v>941</v>
      </c>
      <c r="O302" s="193"/>
      <c r="P302" s="193" t="s">
        <v>1190</v>
      </c>
      <c r="Q302" s="193" t="s">
        <v>943</v>
      </c>
      <c r="R302" s="193" t="s">
        <v>1191</v>
      </c>
      <c r="S302" s="196" t="s">
        <v>1189</v>
      </c>
      <c r="T302" s="193" t="s">
        <v>952</v>
      </c>
      <c r="U302" s="193" t="s">
        <v>947</v>
      </c>
      <c r="V302" s="193"/>
      <c r="W302" s="193"/>
      <c r="X302" s="193" t="s">
        <v>953</v>
      </c>
    </row>
    <row r="303" spans="1:24">
      <c r="A303" s="193" t="s">
        <v>935</v>
      </c>
      <c r="B303" s="194">
        <v>5</v>
      </c>
      <c r="C303" s="194">
        <v>2025</v>
      </c>
      <c r="D303" s="193" t="s">
        <v>936</v>
      </c>
      <c r="E303" s="193"/>
      <c r="F303" s="193" t="s">
        <v>937</v>
      </c>
      <c r="G303" s="195">
        <v>4.7300000000000004</v>
      </c>
      <c r="H303" s="193"/>
      <c r="I303" s="193" t="s">
        <v>820</v>
      </c>
      <c r="J303" s="193"/>
      <c r="K303" s="193" t="s">
        <v>938</v>
      </c>
      <c r="L303" s="193" t="s">
        <v>939</v>
      </c>
      <c r="M303" s="193" t="s">
        <v>949</v>
      </c>
      <c r="N303" s="193" t="s">
        <v>941</v>
      </c>
      <c r="O303" s="193"/>
      <c r="P303" s="193" t="s">
        <v>1190</v>
      </c>
      <c r="Q303" s="193" t="s">
        <v>943</v>
      </c>
      <c r="R303" s="193" t="s">
        <v>1191</v>
      </c>
      <c r="S303" s="196" t="s">
        <v>1189</v>
      </c>
      <c r="T303" s="193" t="s">
        <v>952</v>
      </c>
      <c r="U303" s="193" t="s">
        <v>947</v>
      </c>
      <c r="V303" s="193"/>
      <c r="W303" s="193"/>
      <c r="X303" s="193" t="s">
        <v>953</v>
      </c>
    </row>
    <row r="304" spans="1:24">
      <c r="A304" s="193" t="s">
        <v>935</v>
      </c>
      <c r="B304" s="194">
        <v>5</v>
      </c>
      <c r="C304" s="194">
        <v>2025</v>
      </c>
      <c r="D304" s="193" t="s">
        <v>936</v>
      </c>
      <c r="E304" s="193"/>
      <c r="F304" s="193" t="s">
        <v>1017</v>
      </c>
      <c r="G304" s="195">
        <v>40.799999999999997</v>
      </c>
      <c r="H304" s="193"/>
      <c r="I304" s="193" t="s">
        <v>820</v>
      </c>
      <c r="J304" s="193"/>
      <c r="K304" s="193" t="s">
        <v>938</v>
      </c>
      <c r="L304" s="193" t="s">
        <v>939</v>
      </c>
      <c r="M304" s="193" t="s">
        <v>958</v>
      </c>
      <c r="N304" s="193" t="s">
        <v>941</v>
      </c>
      <c r="O304" s="193"/>
      <c r="P304" s="193" t="s">
        <v>1190</v>
      </c>
      <c r="Q304" s="193" t="s">
        <v>943</v>
      </c>
      <c r="R304" s="193" t="s">
        <v>1191</v>
      </c>
      <c r="S304" s="196" t="s">
        <v>1189</v>
      </c>
      <c r="T304" s="193" t="s">
        <v>952</v>
      </c>
      <c r="U304" s="193" t="s">
        <v>947</v>
      </c>
      <c r="V304" s="193"/>
      <c r="W304" s="193"/>
      <c r="X304" s="193" t="s">
        <v>953</v>
      </c>
    </row>
    <row r="305" spans="1:24">
      <c r="A305" s="193" t="s">
        <v>935</v>
      </c>
      <c r="B305" s="194">
        <v>5</v>
      </c>
      <c r="C305" s="194">
        <v>2025</v>
      </c>
      <c r="D305" s="193" t="s">
        <v>936</v>
      </c>
      <c r="E305" s="193"/>
      <c r="F305" s="193" t="s">
        <v>1017</v>
      </c>
      <c r="G305" s="195">
        <v>0.25</v>
      </c>
      <c r="H305" s="193"/>
      <c r="I305" s="193" t="s">
        <v>820</v>
      </c>
      <c r="J305" s="193"/>
      <c r="K305" s="193" t="s">
        <v>938</v>
      </c>
      <c r="L305" s="193" t="s">
        <v>939</v>
      </c>
      <c r="M305" s="193" t="s">
        <v>957</v>
      </c>
      <c r="N305" s="193" t="s">
        <v>941</v>
      </c>
      <c r="O305" s="193"/>
      <c r="P305" s="193" t="s">
        <v>1190</v>
      </c>
      <c r="Q305" s="193" t="s">
        <v>943</v>
      </c>
      <c r="R305" s="193" t="s">
        <v>1191</v>
      </c>
      <c r="S305" s="196" t="s">
        <v>1189</v>
      </c>
      <c r="T305" s="193" t="s">
        <v>952</v>
      </c>
      <c r="U305" s="193" t="s">
        <v>947</v>
      </c>
      <c r="V305" s="193"/>
      <c r="W305" s="193"/>
      <c r="X305" s="193" t="s">
        <v>953</v>
      </c>
    </row>
    <row r="306" spans="1:24">
      <c r="A306" s="193" t="s">
        <v>935</v>
      </c>
      <c r="B306" s="194">
        <v>5</v>
      </c>
      <c r="C306" s="194">
        <v>2025</v>
      </c>
      <c r="D306" s="193" t="s">
        <v>936</v>
      </c>
      <c r="E306" s="193"/>
      <c r="F306" s="193" t="s">
        <v>1017</v>
      </c>
      <c r="G306" s="195">
        <v>19.84</v>
      </c>
      <c r="H306" s="193"/>
      <c r="I306" s="193" t="s">
        <v>820</v>
      </c>
      <c r="J306" s="193"/>
      <c r="K306" s="193" t="s">
        <v>938</v>
      </c>
      <c r="L306" s="193" t="s">
        <v>939</v>
      </c>
      <c r="M306" s="193" t="s">
        <v>956</v>
      </c>
      <c r="N306" s="193" t="s">
        <v>941</v>
      </c>
      <c r="O306" s="193"/>
      <c r="P306" s="193" t="s">
        <v>1190</v>
      </c>
      <c r="Q306" s="193" t="s">
        <v>943</v>
      </c>
      <c r="R306" s="193" t="s">
        <v>1191</v>
      </c>
      <c r="S306" s="196" t="s">
        <v>1189</v>
      </c>
      <c r="T306" s="193" t="s">
        <v>952</v>
      </c>
      <c r="U306" s="193" t="s">
        <v>947</v>
      </c>
      <c r="V306" s="193"/>
      <c r="W306" s="193"/>
      <c r="X306" s="193" t="s">
        <v>953</v>
      </c>
    </row>
    <row r="307" spans="1:24">
      <c r="A307" s="193" t="s">
        <v>935</v>
      </c>
      <c r="B307" s="194">
        <v>5</v>
      </c>
      <c r="C307" s="194">
        <v>2025</v>
      </c>
      <c r="D307" s="193" t="s">
        <v>936</v>
      </c>
      <c r="E307" s="193"/>
      <c r="F307" s="193" t="s">
        <v>1017</v>
      </c>
      <c r="G307" s="195">
        <v>2.2000000000000002</v>
      </c>
      <c r="H307" s="193"/>
      <c r="I307" s="193" t="s">
        <v>820</v>
      </c>
      <c r="J307" s="193"/>
      <c r="K307" s="193" t="s">
        <v>938</v>
      </c>
      <c r="L307" s="193" t="s">
        <v>939</v>
      </c>
      <c r="M307" s="193" t="s">
        <v>955</v>
      </c>
      <c r="N307" s="193" t="s">
        <v>941</v>
      </c>
      <c r="O307" s="193"/>
      <c r="P307" s="193" t="s">
        <v>1190</v>
      </c>
      <c r="Q307" s="193" t="s">
        <v>943</v>
      </c>
      <c r="R307" s="193" t="s">
        <v>1191</v>
      </c>
      <c r="S307" s="196" t="s">
        <v>1189</v>
      </c>
      <c r="T307" s="193" t="s">
        <v>952</v>
      </c>
      <c r="U307" s="193" t="s">
        <v>947</v>
      </c>
      <c r="V307" s="193"/>
      <c r="W307" s="193"/>
      <c r="X307" s="193" t="s">
        <v>953</v>
      </c>
    </row>
    <row r="308" spans="1:24">
      <c r="A308" s="193" t="s">
        <v>935</v>
      </c>
      <c r="B308" s="194">
        <v>5</v>
      </c>
      <c r="C308" s="194">
        <v>2025</v>
      </c>
      <c r="D308" s="193" t="s">
        <v>936</v>
      </c>
      <c r="E308" s="193"/>
      <c r="F308" s="193" t="s">
        <v>937</v>
      </c>
      <c r="G308" s="195">
        <v>27814.83</v>
      </c>
      <c r="H308" s="193"/>
      <c r="I308" s="193" t="s">
        <v>820</v>
      </c>
      <c r="J308" s="193"/>
      <c r="K308" s="193" t="s">
        <v>938</v>
      </c>
      <c r="L308" s="193" t="s">
        <v>939</v>
      </c>
      <c r="M308" s="193" t="s">
        <v>997</v>
      </c>
      <c r="N308" s="193" t="s">
        <v>941</v>
      </c>
      <c r="O308" s="193"/>
      <c r="P308" s="193" t="s">
        <v>1192</v>
      </c>
      <c r="Q308" s="193" t="s">
        <v>943</v>
      </c>
      <c r="R308" s="193" t="s">
        <v>1193</v>
      </c>
      <c r="S308" s="196" t="s">
        <v>1194</v>
      </c>
      <c r="T308" s="193" t="s">
        <v>1001</v>
      </c>
      <c r="U308" s="193" t="s">
        <v>947</v>
      </c>
      <c r="V308" s="193"/>
      <c r="W308" s="193"/>
      <c r="X308" s="193" t="s">
        <v>1002</v>
      </c>
    </row>
    <row r="309" spans="1:24">
      <c r="A309" s="193" t="s">
        <v>935</v>
      </c>
      <c r="B309" s="194">
        <v>5</v>
      </c>
      <c r="C309" s="194">
        <v>2025</v>
      </c>
      <c r="D309" s="193" t="s">
        <v>936</v>
      </c>
      <c r="E309" s="193"/>
      <c r="F309" s="193" t="s">
        <v>937</v>
      </c>
      <c r="G309" s="195">
        <v>0</v>
      </c>
      <c r="H309" s="193"/>
      <c r="I309" s="193" t="s">
        <v>820</v>
      </c>
      <c r="J309" s="193"/>
      <c r="K309" s="193" t="s">
        <v>938</v>
      </c>
      <c r="L309" s="193" t="s">
        <v>939</v>
      </c>
      <c r="M309" s="193" t="s">
        <v>997</v>
      </c>
      <c r="N309" s="193" t="s">
        <v>941</v>
      </c>
      <c r="O309" s="193"/>
      <c r="P309" s="193" t="s">
        <v>1195</v>
      </c>
      <c r="Q309" s="193" t="s">
        <v>943</v>
      </c>
      <c r="R309" s="193" t="s">
        <v>1196</v>
      </c>
      <c r="S309" s="196" t="s">
        <v>1194</v>
      </c>
      <c r="T309" s="193" t="s">
        <v>1005</v>
      </c>
      <c r="U309" s="193" t="s">
        <v>947</v>
      </c>
      <c r="V309" s="193"/>
      <c r="W309" s="193"/>
      <c r="X309" s="193" t="s">
        <v>1006</v>
      </c>
    </row>
    <row r="310" spans="1:24">
      <c r="A310" s="193" t="s">
        <v>935</v>
      </c>
      <c r="B310" s="194">
        <v>5</v>
      </c>
      <c r="C310" s="194">
        <v>2025</v>
      </c>
      <c r="D310" s="193" t="s">
        <v>936</v>
      </c>
      <c r="E310" s="193"/>
      <c r="F310" s="193" t="s">
        <v>937</v>
      </c>
      <c r="G310" s="195">
        <v>486500</v>
      </c>
      <c r="H310" s="193"/>
      <c r="I310" s="193" t="s">
        <v>820</v>
      </c>
      <c r="J310" s="193"/>
      <c r="K310" s="193" t="s">
        <v>938</v>
      </c>
      <c r="L310" s="193" t="s">
        <v>939</v>
      </c>
      <c r="M310" s="193" t="s">
        <v>997</v>
      </c>
      <c r="N310" s="193" t="s">
        <v>941</v>
      </c>
      <c r="O310" s="193"/>
      <c r="P310" s="193" t="s">
        <v>1197</v>
      </c>
      <c r="Q310" s="193" t="s">
        <v>943</v>
      </c>
      <c r="R310" s="193" t="s">
        <v>1198</v>
      </c>
      <c r="S310" s="196" t="s">
        <v>1199</v>
      </c>
      <c r="T310" s="193" t="s">
        <v>1001</v>
      </c>
      <c r="U310" s="193" t="s">
        <v>947</v>
      </c>
      <c r="V310" s="193"/>
      <c r="W310" s="193"/>
      <c r="X310" s="193" t="s">
        <v>1002</v>
      </c>
    </row>
    <row r="311" spans="1:24">
      <c r="A311" s="193" t="s">
        <v>935</v>
      </c>
      <c r="B311" s="194">
        <v>5</v>
      </c>
      <c r="C311" s="194">
        <v>2025</v>
      </c>
      <c r="D311" s="193" t="s">
        <v>936</v>
      </c>
      <c r="E311" s="193"/>
      <c r="F311" s="193" t="s">
        <v>1049</v>
      </c>
      <c r="G311" s="195">
        <v>461.6</v>
      </c>
      <c r="H311" s="193" t="s">
        <v>959</v>
      </c>
      <c r="I311" s="193" t="s">
        <v>820</v>
      </c>
      <c r="J311" s="193"/>
      <c r="K311" s="193" t="s">
        <v>938</v>
      </c>
      <c r="L311" s="193" t="s">
        <v>939</v>
      </c>
      <c r="M311" s="193" t="s">
        <v>960</v>
      </c>
      <c r="N311" s="193" t="s">
        <v>941</v>
      </c>
      <c r="O311" s="193"/>
      <c r="P311" s="193" t="s">
        <v>1200</v>
      </c>
      <c r="Q311" s="193" t="s">
        <v>943</v>
      </c>
      <c r="R311" s="193" t="s">
        <v>1201</v>
      </c>
      <c r="S311" s="196" t="s">
        <v>1202</v>
      </c>
      <c r="T311" s="193" t="s">
        <v>964</v>
      </c>
      <c r="U311" s="193" t="s">
        <v>947</v>
      </c>
      <c r="V311" s="193"/>
      <c r="W311" s="193"/>
      <c r="X311" s="193" t="s">
        <v>965</v>
      </c>
    </row>
    <row r="312" spans="1:24">
      <c r="A312" s="193" t="s">
        <v>935</v>
      </c>
      <c r="B312" s="194">
        <v>5</v>
      </c>
      <c r="C312" s="194">
        <v>2025</v>
      </c>
      <c r="D312" s="193" t="s">
        <v>936</v>
      </c>
      <c r="E312" s="193"/>
      <c r="F312" s="193" t="s">
        <v>1017</v>
      </c>
      <c r="G312" s="195">
        <v>292.75</v>
      </c>
      <c r="H312" s="193" t="s">
        <v>959</v>
      </c>
      <c r="I312" s="193" t="s">
        <v>820</v>
      </c>
      <c r="J312" s="193"/>
      <c r="K312" s="193" t="s">
        <v>938</v>
      </c>
      <c r="L312" s="193" t="s">
        <v>939</v>
      </c>
      <c r="M312" s="193" t="s">
        <v>960</v>
      </c>
      <c r="N312" s="193" t="s">
        <v>941</v>
      </c>
      <c r="O312" s="193"/>
      <c r="P312" s="193" t="s">
        <v>1200</v>
      </c>
      <c r="Q312" s="193" t="s">
        <v>943</v>
      </c>
      <c r="R312" s="193" t="s">
        <v>1201</v>
      </c>
      <c r="S312" s="196" t="s">
        <v>1202</v>
      </c>
      <c r="T312" s="193" t="s">
        <v>964</v>
      </c>
      <c r="U312" s="193" t="s">
        <v>947</v>
      </c>
      <c r="V312" s="193"/>
      <c r="W312" s="193"/>
      <c r="X312" s="193" t="s">
        <v>965</v>
      </c>
    </row>
    <row r="313" spans="1:24">
      <c r="A313" s="193" t="s">
        <v>935</v>
      </c>
      <c r="B313" s="194">
        <v>5</v>
      </c>
      <c r="C313" s="194">
        <v>2025</v>
      </c>
      <c r="D313" s="193" t="s">
        <v>936</v>
      </c>
      <c r="E313" s="193"/>
      <c r="F313" s="193" t="s">
        <v>937</v>
      </c>
      <c r="G313" s="195">
        <v>60.8</v>
      </c>
      <c r="H313" s="193" t="s">
        <v>959</v>
      </c>
      <c r="I313" s="193" t="s">
        <v>820</v>
      </c>
      <c r="J313" s="193"/>
      <c r="K313" s="193" t="s">
        <v>938</v>
      </c>
      <c r="L313" s="193" t="s">
        <v>939</v>
      </c>
      <c r="M313" s="193" t="s">
        <v>960</v>
      </c>
      <c r="N313" s="193" t="s">
        <v>941</v>
      </c>
      <c r="O313" s="193"/>
      <c r="P313" s="193" t="s">
        <v>1200</v>
      </c>
      <c r="Q313" s="193" t="s">
        <v>943</v>
      </c>
      <c r="R313" s="193" t="s">
        <v>1201</v>
      </c>
      <c r="S313" s="196" t="s">
        <v>1202</v>
      </c>
      <c r="T313" s="193" t="s">
        <v>964</v>
      </c>
      <c r="U313" s="193" t="s">
        <v>947</v>
      </c>
      <c r="V313" s="193"/>
      <c r="W313" s="193"/>
      <c r="X313" s="193" t="s">
        <v>965</v>
      </c>
    </row>
    <row r="314" spans="1:24">
      <c r="A314" s="193" t="s">
        <v>935</v>
      </c>
      <c r="B314" s="194">
        <v>5</v>
      </c>
      <c r="C314" s="194">
        <v>2025</v>
      </c>
      <c r="D314" s="193" t="s">
        <v>936</v>
      </c>
      <c r="E314" s="193"/>
      <c r="F314" s="193" t="s">
        <v>994</v>
      </c>
      <c r="G314" s="195">
        <v>6.09</v>
      </c>
      <c r="H314" s="193" t="s">
        <v>959</v>
      </c>
      <c r="I314" s="193" t="s">
        <v>820</v>
      </c>
      <c r="J314" s="193"/>
      <c r="K314" s="193" t="s">
        <v>938</v>
      </c>
      <c r="L314" s="193" t="s">
        <v>939</v>
      </c>
      <c r="M314" s="193" t="s">
        <v>960</v>
      </c>
      <c r="N314" s="193" t="s">
        <v>941</v>
      </c>
      <c r="O314" s="193"/>
      <c r="P314" s="193" t="s">
        <v>1200</v>
      </c>
      <c r="Q314" s="193" t="s">
        <v>943</v>
      </c>
      <c r="R314" s="193" t="s">
        <v>1201</v>
      </c>
      <c r="S314" s="196" t="s">
        <v>1202</v>
      </c>
      <c r="T314" s="193" t="s">
        <v>964</v>
      </c>
      <c r="U314" s="193" t="s">
        <v>947</v>
      </c>
      <c r="V314" s="193"/>
      <c r="W314" s="193"/>
      <c r="X314" s="193" t="s">
        <v>965</v>
      </c>
    </row>
    <row r="315" spans="1:24">
      <c r="A315" s="193" t="s">
        <v>935</v>
      </c>
      <c r="B315" s="194">
        <v>5</v>
      </c>
      <c r="C315" s="194">
        <v>2025</v>
      </c>
      <c r="D315" s="193" t="s">
        <v>936</v>
      </c>
      <c r="E315" s="193"/>
      <c r="F315" s="193" t="s">
        <v>1017</v>
      </c>
      <c r="G315" s="195">
        <v>0.19</v>
      </c>
      <c r="H315" s="193"/>
      <c r="I315" s="193" t="s">
        <v>820</v>
      </c>
      <c r="J315" s="193"/>
      <c r="K315" s="193" t="s">
        <v>938</v>
      </c>
      <c r="L315" s="193" t="s">
        <v>939</v>
      </c>
      <c r="M315" s="193" t="s">
        <v>966</v>
      </c>
      <c r="N315" s="193" t="s">
        <v>941</v>
      </c>
      <c r="O315" s="193"/>
      <c r="P315" s="193" t="s">
        <v>1203</v>
      </c>
      <c r="Q315" s="193" t="s">
        <v>943</v>
      </c>
      <c r="R315" s="193" t="s">
        <v>1204</v>
      </c>
      <c r="S315" s="196" t="s">
        <v>1202</v>
      </c>
      <c r="T315" s="193" t="s">
        <v>969</v>
      </c>
      <c r="U315" s="193" t="s">
        <v>947</v>
      </c>
      <c r="V315" s="193"/>
      <c r="W315" s="193"/>
      <c r="X315" s="193" t="s">
        <v>970</v>
      </c>
    </row>
    <row r="316" spans="1:24">
      <c r="A316" s="193" t="s">
        <v>935</v>
      </c>
      <c r="B316" s="194">
        <v>5</v>
      </c>
      <c r="C316" s="194">
        <v>2025</v>
      </c>
      <c r="D316" s="193" t="s">
        <v>936</v>
      </c>
      <c r="E316" s="193"/>
      <c r="F316" s="193" t="s">
        <v>994</v>
      </c>
      <c r="G316" s="195">
        <v>3.17</v>
      </c>
      <c r="H316" s="193"/>
      <c r="I316" s="193" t="s">
        <v>820</v>
      </c>
      <c r="J316" s="193"/>
      <c r="K316" s="193" t="s">
        <v>938</v>
      </c>
      <c r="L316" s="193" t="s">
        <v>939</v>
      </c>
      <c r="M316" s="193" t="s">
        <v>966</v>
      </c>
      <c r="N316" s="193" t="s">
        <v>941</v>
      </c>
      <c r="O316" s="193"/>
      <c r="P316" s="193" t="s">
        <v>1203</v>
      </c>
      <c r="Q316" s="193" t="s">
        <v>943</v>
      </c>
      <c r="R316" s="193" t="s">
        <v>1204</v>
      </c>
      <c r="S316" s="196" t="s">
        <v>1202</v>
      </c>
      <c r="T316" s="193" t="s">
        <v>969</v>
      </c>
      <c r="U316" s="193" t="s">
        <v>947</v>
      </c>
      <c r="V316" s="193"/>
      <c r="W316" s="193"/>
      <c r="X316" s="193" t="s">
        <v>970</v>
      </c>
    </row>
    <row r="317" spans="1:24">
      <c r="A317" s="193" t="s">
        <v>935</v>
      </c>
      <c r="B317" s="194">
        <v>5</v>
      </c>
      <c r="C317" s="194">
        <v>2025</v>
      </c>
      <c r="D317" s="193" t="s">
        <v>936</v>
      </c>
      <c r="E317" s="193"/>
      <c r="F317" s="193" t="s">
        <v>937</v>
      </c>
      <c r="G317" s="195">
        <v>0.24</v>
      </c>
      <c r="H317" s="193"/>
      <c r="I317" s="193" t="s">
        <v>820</v>
      </c>
      <c r="J317" s="193"/>
      <c r="K317" s="193" t="s">
        <v>938</v>
      </c>
      <c r="L317" s="193" t="s">
        <v>939</v>
      </c>
      <c r="M317" s="193" t="s">
        <v>966</v>
      </c>
      <c r="N317" s="193" t="s">
        <v>941</v>
      </c>
      <c r="O317" s="193"/>
      <c r="P317" s="193" t="s">
        <v>1203</v>
      </c>
      <c r="Q317" s="193" t="s">
        <v>943</v>
      </c>
      <c r="R317" s="193" t="s">
        <v>1204</v>
      </c>
      <c r="S317" s="196" t="s">
        <v>1202</v>
      </c>
      <c r="T317" s="193" t="s">
        <v>969</v>
      </c>
      <c r="U317" s="193" t="s">
        <v>947</v>
      </c>
      <c r="V317" s="193"/>
      <c r="W317" s="193"/>
      <c r="X317" s="193" t="s">
        <v>970</v>
      </c>
    </row>
    <row r="318" spans="1:24">
      <c r="A318" s="193" t="s">
        <v>935</v>
      </c>
      <c r="B318" s="194">
        <v>5</v>
      </c>
      <c r="C318" s="194">
        <v>2025</v>
      </c>
      <c r="D318" s="193" t="s">
        <v>936</v>
      </c>
      <c r="E318" s="193"/>
      <c r="F318" s="193" t="s">
        <v>1049</v>
      </c>
      <c r="G318" s="195">
        <v>18.62</v>
      </c>
      <c r="H318" s="193"/>
      <c r="I318" s="193" t="s">
        <v>820</v>
      </c>
      <c r="J318" s="193"/>
      <c r="K318" s="193" t="s">
        <v>938</v>
      </c>
      <c r="L318" s="193" t="s">
        <v>939</v>
      </c>
      <c r="M318" s="193" t="s">
        <v>966</v>
      </c>
      <c r="N318" s="193" t="s">
        <v>941</v>
      </c>
      <c r="O318" s="193"/>
      <c r="P318" s="193" t="s">
        <v>1203</v>
      </c>
      <c r="Q318" s="193" t="s">
        <v>943</v>
      </c>
      <c r="R318" s="193" t="s">
        <v>1204</v>
      </c>
      <c r="S318" s="196" t="s">
        <v>1202</v>
      </c>
      <c r="T318" s="193" t="s">
        <v>969</v>
      </c>
      <c r="U318" s="193" t="s">
        <v>947</v>
      </c>
      <c r="V318" s="193"/>
      <c r="W318" s="193"/>
      <c r="X318" s="193" t="s">
        <v>970</v>
      </c>
    </row>
    <row r="319" spans="1:24">
      <c r="A319" s="193" t="s">
        <v>935</v>
      </c>
      <c r="B319" s="194">
        <v>5</v>
      </c>
      <c r="C319" s="194">
        <v>2025</v>
      </c>
      <c r="D319" s="193" t="s">
        <v>936</v>
      </c>
      <c r="E319" s="193"/>
      <c r="F319" s="193" t="s">
        <v>937</v>
      </c>
      <c r="G319" s="195">
        <v>15514.64</v>
      </c>
      <c r="H319" s="193"/>
      <c r="I319" s="193" t="s">
        <v>820</v>
      </c>
      <c r="J319" s="193"/>
      <c r="K319" s="193" t="s">
        <v>938</v>
      </c>
      <c r="L319" s="193" t="s">
        <v>939</v>
      </c>
      <c r="M319" s="193" t="s">
        <v>971</v>
      </c>
      <c r="N319" s="193" t="s">
        <v>941</v>
      </c>
      <c r="O319" s="193"/>
      <c r="P319" s="193" t="s">
        <v>1205</v>
      </c>
      <c r="Q319" s="193" t="s">
        <v>943</v>
      </c>
      <c r="R319" s="193" t="s">
        <v>1206</v>
      </c>
      <c r="S319" s="196" t="s">
        <v>1202</v>
      </c>
      <c r="T319" s="193" t="s">
        <v>974</v>
      </c>
      <c r="U319" s="193" t="s">
        <v>947</v>
      </c>
      <c r="V319" s="193" t="s">
        <v>975</v>
      </c>
      <c r="W319" s="193"/>
      <c r="X319" s="193" t="s">
        <v>982</v>
      </c>
    </row>
    <row r="320" spans="1:24">
      <c r="A320" s="193" t="s">
        <v>935</v>
      </c>
      <c r="B320" s="194">
        <v>5</v>
      </c>
      <c r="C320" s="194">
        <v>2025</v>
      </c>
      <c r="D320" s="193" t="s">
        <v>936</v>
      </c>
      <c r="E320" s="193"/>
      <c r="F320" s="193" t="s">
        <v>937</v>
      </c>
      <c r="G320" s="195">
        <v>8050</v>
      </c>
      <c r="H320" s="193"/>
      <c r="I320" s="193" t="s">
        <v>820</v>
      </c>
      <c r="J320" s="193"/>
      <c r="K320" s="193" t="s">
        <v>938</v>
      </c>
      <c r="L320" s="193" t="s">
        <v>939</v>
      </c>
      <c r="M320" s="193" t="s">
        <v>971</v>
      </c>
      <c r="N320" s="193" t="s">
        <v>941</v>
      </c>
      <c r="O320" s="193"/>
      <c r="P320" s="193" t="s">
        <v>1205</v>
      </c>
      <c r="Q320" s="193" t="s">
        <v>943</v>
      </c>
      <c r="R320" s="193" t="s">
        <v>1206</v>
      </c>
      <c r="S320" s="196" t="s">
        <v>1202</v>
      </c>
      <c r="T320" s="193" t="s">
        <v>974</v>
      </c>
      <c r="U320" s="193" t="s">
        <v>947</v>
      </c>
      <c r="V320" s="193" t="s">
        <v>975</v>
      </c>
      <c r="W320" s="193"/>
      <c r="X320" s="193" t="s">
        <v>1088</v>
      </c>
    </row>
    <row r="321" spans="1:24">
      <c r="A321" s="193" t="s">
        <v>935</v>
      </c>
      <c r="B321" s="194">
        <v>5</v>
      </c>
      <c r="C321" s="194">
        <v>2025</v>
      </c>
      <c r="D321" s="193" t="s">
        <v>936</v>
      </c>
      <c r="E321" s="193"/>
      <c r="F321" s="193" t="s">
        <v>937</v>
      </c>
      <c r="G321" s="195">
        <v>6527.16</v>
      </c>
      <c r="H321" s="193"/>
      <c r="I321" s="193" t="s">
        <v>820</v>
      </c>
      <c r="J321" s="193"/>
      <c r="K321" s="193" t="s">
        <v>938</v>
      </c>
      <c r="L321" s="193" t="s">
        <v>939</v>
      </c>
      <c r="M321" s="193" t="s">
        <v>971</v>
      </c>
      <c r="N321" s="193" t="s">
        <v>941</v>
      </c>
      <c r="O321" s="193"/>
      <c r="P321" s="193" t="s">
        <v>1205</v>
      </c>
      <c r="Q321" s="193" t="s">
        <v>943</v>
      </c>
      <c r="R321" s="193" t="s">
        <v>1206</v>
      </c>
      <c r="S321" s="196" t="s">
        <v>1202</v>
      </c>
      <c r="T321" s="193" t="s">
        <v>974</v>
      </c>
      <c r="U321" s="193" t="s">
        <v>947</v>
      </c>
      <c r="V321" s="193" t="s">
        <v>975</v>
      </c>
      <c r="W321" s="193"/>
      <c r="X321" s="193" t="s">
        <v>976</v>
      </c>
    </row>
    <row r="322" spans="1:24">
      <c r="A322" s="193" t="s">
        <v>935</v>
      </c>
      <c r="B322" s="194">
        <v>5</v>
      </c>
      <c r="C322" s="194">
        <v>2025</v>
      </c>
      <c r="D322" s="193" t="s">
        <v>936</v>
      </c>
      <c r="E322" s="193"/>
      <c r="F322" s="193" t="s">
        <v>937</v>
      </c>
      <c r="G322" s="195">
        <v>11952.6</v>
      </c>
      <c r="H322" s="193"/>
      <c r="I322" s="193" t="s">
        <v>820</v>
      </c>
      <c r="J322" s="193"/>
      <c r="K322" s="193" t="s">
        <v>938</v>
      </c>
      <c r="L322" s="193" t="s">
        <v>939</v>
      </c>
      <c r="M322" s="193" t="s">
        <v>971</v>
      </c>
      <c r="N322" s="193" t="s">
        <v>941</v>
      </c>
      <c r="O322" s="193"/>
      <c r="P322" s="193" t="s">
        <v>1205</v>
      </c>
      <c r="Q322" s="193" t="s">
        <v>943</v>
      </c>
      <c r="R322" s="193" t="s">
        <v>1206</v>
      </c>
      <c r="S322" s="196" t="s">
        <v>1202</v>
      </c>
      <c r="T322" s="193" t="s">
        <v>974</v>
      </c>
      <c r="U322" s="193" t="s">
        <v>947</v>
      </c>
      <c r="V322" s="193" t="s">
        <v>975</v>
      </c>
      <c r="W322" s="193"/>
      <c r="X322" s="193" t="s">
        <v>1153</v>
      </c>
    </row>
    <row r="323" spans="1:24">
      <c r="A323" s="193" t="s">
        <v>935</v>
      </c>
      <c r="B323" s="194">
        <v>5</v>
      </c>
      <c r="C323" s="194">
        <v>2025</v>
      </c>
      <c r="D323" s="193" t="s">
        <v>936</v>
      </c>
      <c r="E323" s="193"/>
      <c r="F323" s="193" t="s">
        <v>937</v>
      </c>
      <c r="G323" s="195">
        <v>395443.22</v>
      </c>
      <c r="H323" s="193"/>
      <c r="I323" s="193" t="s">
        <v>820</v>
      </c>
      <c r="J323" s="193"/>
      <c r="K323" s="193" t="s">
        <v>938</v>
      </c>
      <c r="L323" s="193" t="s">
        <v>939</v>
      </c>
      <c r="M323" s="193" t="s">
        <v>971</v>
      </c>
      <c r="N323" s="193" t="s">
        <v>941</v>
      </c>
      <c r="O323" s="193"/>
      <c r="P323" s="193" t="s">
        <v>1205</v>
      </c>
      <c r="Q323" s="193" t="s">
        <v>943</v>
      </c>
      <c r="R323" s="193" t="s">
        <v>1206</v>
      </c>
      <c r="S323" s="196" t="s">
        <v>1202</v>
      </c>
      <c r="T323" s="193" t="s">
        <v>974</v>
      </c>
      <c r="U323" s="193" t="s">
        <v>947</v>
      </c>
      <c r="V323" s="193" t="s">
        <v>975</v>
      </c>
      <c r="W323" s="193"/>
      <c r="X323" s="193" t="s">
        <v>1087</v>
      </c>
    </row>
    <row r="324" spans="1:24">
      <c r="A324" s="193" t="s">
        <v>935</v>
      </c>
      <c r="B324" s="194">
        <v>5</v>
      </c>
      <c r="C324" s="194">
        <v>2025</v>
      </c>
      <c r="D324" s="193" t="s">
        <v>936</v>
      </c>
      <c r="E324" s="193"/>
      <c r="F324" s="193" t="s">
        <v>937</v>
      </c>
      <c r="G324" s="195">
        <v>948692.6</v>
      </c>
      <c r="H324" s="193"/>
      <c r="I324" s="193" t="s">
        <v>820</v>
      </c>
      <c r="J324" s="193"/>
      <c r="K324" s="193" t="s">
        <v>938</v>
      </c>
      <c r="L324" s="193" t="s">
        <v>939</v>
      </c>
      <c r="M324" s="193" t="s">
        <v>971</v>
      </c>
      <c r="N324" s="193" t="s">
        <v>941</v>
      </c>
      <c r="O324" s="193"/>
      <c r="P324" s="193" t="s">
        <v>1205</v>
      </c>
      <c r="Q324" s="193" t="s">
        <v>943</v>
      </c>
      <c r="R324" s="193" t="s">
        <v>1206</v>
      </c>
      <c r="S324" s="196" t="s">
        <v>1202</v>
      </c>
      <c r="T324" s="193" t="s">
        <v>974</v>
      </c>
      <c r="U324" s="193" t="s">
        <v>947</v>
      </c>
      <c r="V324" s="193" t="s">
        <v>975</v>
      </c>
      <c r="W324" s="193"/>
      <c r="X324" s="193" t="s">
        <v>981</v>
      </c>
    </row>
    <row r="325" spans="1:24">
      <c r="A325" s="193" t="s">
        <v>935</v>
      </c>
      <c r="B325" s="194">
        <v>5</v>
      </c>
      <c r="C325" s="194">
        <v>2025</v>
      </c>
      <c r="D325" s="193" t="s">
        <v>936</v>
      </c>
      <c r="E325" s="193"/>
      <c r="F325" s="193" t="s">
        <v>937</v>
      </c>
      <c r="G325" s="195">
        <v>31476.17</v>
      </c>
      <c r="H325" s="193"/>
      <c r="I325" s="193" t="s">
        <v>820</v>
      </c>
      <c r="J325" s="193"/>
      <c r="K325" s="193" t="s">
        <v>938</v>
      </c>
      <c r="L325" s="193" t="s">
        <v>939</v>
      </c>
      <c r="M325" s="193" t="s">
        <v>971</v>
      </c>
      <c r="N325" s="193" t="s">
        <v>941</v>
      </c>
      <c r="O325" s="193"/>
      <c r="P325" s="193" t="s">
        <v>1205</v>
      </c>
      <c r="Q325" s="193" t="s">
        <v>943</v>
      </c>
      <c r="R325" s="193" t="s">
        <v>1206</v>
      </c>
      <c r="S325" s="196" t="s">
        <v>1202</v>
      </c>
      <c r="T325" s="193" t="s">
        <v>974</v>
      </c>
      <c r="U325" s="193" t="s">
        <v>947</v>
      </c>
      <c r="V325" s="193" t="s">
        <v>975</v>
      </c>
      <c r="W325" s="193"/>
      <c r="X325" s="193" t="s">
        <v>979</v>
      </c>
    </row>
    <row r="326" spans="1:24">
      <c r="A326" s="193" t="s">
        <v>935</v>
      </c>
      <c r="B326" s="194">
        <v>5</v>
      </c>
      <c r="C326" s="194">
        <v>2025</v>
      </c>
      <c r="D326" s="193" t="s">
        <v>936</v>
      </c>
      <c r="E326" s="193"/>
      <c r="F326" s="193" t="s">
        <v>994</v>
      </c>
      <c r="G326" s="195">
        <v>-8.64</v>
      </c>
      <c r="H326" s="193" t="s">
        <v>959</v>
      </c>
      <c r="I326" s="193" t="s">
        <v>820</v>
      </c>
      <c r="J326" s="193"/>
      <c r="K326" s="193" t="s">
        <v>938</v>
      </c>
      <c r="L326" s="193" t="s">
        <v>939</v>
      </c>
      <c r="M326" s="193" t="s">
        <v>983</v>
      </c>
      <c r="N326" s="193" t="s">
        <v>941</v>
      </c>
      <c r="O326" s="193"/>
      <c r="P326" s="193" t="s">
        <v>1207</v>
      </c>
      <c r="Q326" s="193" t="s">
        <v>943</v>
      </c>
      <c r="R326" s="193" t="s">
        <v>1208</v>
      </c>
      <c r="S326" s="196" t="s">
        <v>1202</v>
      </c>
      <c r="T326" s="193" t="s">
        <v>986</v>
      </c>
      <c r="U326" s="193" t="s">
        <v>947</v>
      </c>
      <c r="V326" s="193"/>
      <c r="W326" s="193"/>
      <c r="X326" s="193" t="s">
        <v>987</v>
      </c>
    </row>
    <row r="327" spans="1:24">
      <c r="A327" s="193" t="s">
        <v>935</v>
      </c>
      <c r="B327" s="194">
        <v>5</v>
      </c>
      <c r="C327" s="194">
        <v>2025</v>
      </c>
      <c r="D327" s="193" t="s">
        <v>936</v>
      </c>
      <c r="E327" s="193"/>
      <c r="F327" s="193" t="s">
        <v>1017</v>
      </c>
      <c r="G327" s="195">
        <v>-23.25</v>
      </c>
      <c r="H327" s="193" t="s">
        <v>959</v>
      </c>
      <c r="I327" s="193" t="s">
        <v>820</v>
      </c>
      <c r="J327" s="193"/>
      <c r="K327" s="193" t="s">
        <v>938</v>
      </c>
      <c r="L327" s="193" t="s">
        <v>939</v>
      </c>
      <c r="M327" s="193" t="s">
        <v>983</v>
      </c>
      <c r="N327" s="193" t="s">
        <v>941</v>
      </c>
      <c r="O327" s="193"/>
      <c r="P327" s="193" t="s">
        <v>1207</v>
      </c>
      <c r="Q327" s="193" t="s">
        <v>943</v>
      </c>
      <c r="R327" s="193" t="s">
        <v>1208</v>
      </c>
      <c r="S327" s="196" t="s">
        <v>1202</v>
      </c>
      <c r="T327" s="193" t="s">
        <v>986</v>
      </c>
      <c r="U327" s="193" t="s">
        <v>947</v>
      </c>
      <c r="V327" s="193"/>
      <c r="W327" s="193"/>
      <c r="X327" s="193" t="s">
        <v>987</v>
      </c>
    </row>
    <row r="328" spans="1:24">
      <c r="A328" s="193" t="s">
        <v>935</v>
      </c>
      <c r="B328" s="194">
        <v>5</v>
      </c>
      <c r="C328" s="194">
        <v>2025</v>
      </c>
      <c r="D328" s="193" t="s">
        <v>936</v>
      </c>
      <c r="E328" s="193"/>
      <c r="F328" s="193" t="s">
        <v>937</v>
      </c>
      <c r="G328" s="195">
        <v>-61.26</v>
      </c>
      <c r="H328" s="193" t="s">
        <v>959</v>
      </c>
      <c r="I328" s="193" t="s">
        <v>820</v>
      </c>
      <c r="J328" s="193"/>
      <c r="K328" s="193" t="s">
        <v>938</v>
      </c>
      <c r="L328" s="193" t="s">
        <v>939</v>
      </c>
      <c r="M328" s="193" t="s">
        <v>983</v>
      </c>
      <c r="N328" s="193" t="s">
        <v>941</v>
      </c>
      <c r="O328" s="193"/>
      <c r="P328" s="193" t="s">
        <v>1207</v>
      </c>
      <c r="Q328" s="193" t="s">
        <v>943</v>
      </c>
      <c r="R328" s="193" t="s">
        <v>1208</v>
      </c>
      <c r="S328" s="196" t="s">
        <v>1202</v>
      </c>
      <c r="T328" s="193" t="s">
        <v>986</v>
      </c>
      <c r="U328" s="193" t="s">
        <v>947</v>
      </c>
      <c r="V328" s="193"/>
      <c r="W328" s="193"/>
      <c r="X328" s="193" t="s">
        <v>987</v>
      </c>
    </row>
    <row r="329" spans="1:24">
      <c r="A329" s="193" t="s">
        <v>935</v>
      </c>
      <c r="B329" s="194">
        <v>5</v>
      </c>
      <c r="C329" s="194">
        <v>2025</v>
      </c>
      <c r="D329" s="193" t="s">
        <v>936</v>
      </c>
      <c r="E329" s="193"/>
      <c r="F329" s="193" t="s">
        <v>937</v>
      </c>
      <c r="G329" s="195">
        <v>50649.1</v>
      </c>
      <c r="H329" s="193"/>
      <c r="I329" s="193" t="s">
        <v>820</v>
      </c>
      <c r="J329" s="193"/>
      <c r="K329" s="193" t="s">
        <v>938</v>
      </c>
      <c r="L329" s="193" t="s">
        <v>939</v>
      </c>
      <c r="M329" s="193" t="s">
        <v>971</v>
      </c>
      <c r="N329" s="193" t="s">
        <v>941</v>
      </c>
      <c r="O329" s="193"/>
      <c r="P329" s="193" t="s">
        <v>1209</v>
      </c>
      <c r="Q329" s="193" t="s">
        <v>943</v>
      </c>
      <c r="R329" s="193" t="s">
        <v>1210</v>
      </c>
      <c r="S329" s="196" t="s">
        <v>1202</v>
      </c>
      <c r="T329" s="193" t="s">
        <v>974</v>
      </c>
      <c r="U329" s="193" t="s">
        <v>947</v>
      </c>
      <c r="V329" s="193" t="s">
        <v>975</v>
      </c>
      <c r="W329" s="193"/>
      <c r="X329" s="193" t="s">
        <v>981</v>
      </c>
    </row>
    <row r="331" spans="1:24">
      <c r="G331" s="197">
        <f>SUM(G2:G330)</f>
        <v>3709344.5000000005</v>
      </c>
      <c r="H331" s="198"/>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BC985-D58B-449D-B88B-4486384174F9}">
  <dimension ref="A1:X141"/>
  <sheetViews>
    <sheetView workbookViewId="0">
      <pane ySplit="1" topLeftCell="A2" activePane="bottomLeft" state="frozen"/>
      <selection activeCell="H171" sqref="H171"/>
      <selection pane="bottomLeft" activeCell="H171" sqref="H171"/>
    </sheetView>
  </sheetViews>
  <sheetFormatPr defaultColWidth="9.140625" defaultRowHeight="15"/>
  <cols>
    <col min="1" max="1" width="5.140625" style="276" bestFit="1" customWidth="1"/>
    <col min="2" max="2" width="7.85546875" style="276" bestFit="1" customWidth="1"/>
    <col min="3" max="3" width="6" style="276" bestFit="1" customWidth="1"/>
    <col min="4" max="4" width="9.140625" style="276" bestFit="1" customWidth="1"/>
    <col min="5" max="5" width="15.5703125" style="276" bestFit="1" customWidth="1"/>
    <col min="6" max="6" width="8.85546875" style="276" bestFit="1" customWidth="1"/>
    <col min="7" max="7" width="13.5703125" style="276" bestFit="1" customWidth="1"/>
    <col min="8" max="8" width="8.85546875" style="276" bestFit="1" customWidth="1"/>
    <col min="9" max="9" width="10.140625" style="276" bestFit="1" customWidth="1"/>
    <col min="10" max="10" width="8.7109375" style="276" bestFit="1" customWidth="1"/>
    <col min="11" max="11" width="6" style="276" bestFit="1" customWidth="1"/>
    <col min="12" max="12" width="11.85546875" style="276" bestFit="1" customWidth="1"/>
    <col min="13" max="13" width="5.7109375" style="276" bestFit="1" customWidth="1"/>
    <col min="14" max="14" width="5.85546875" style="276" bestFit="1" customWidth="1"/>
    <col min="15" max="15" width="14" style="276" bestFit="1" customWidth="1"/>
    <col min="16" max="16" width="12.140625" style="276" bestFit="1" customWidth="1"/>
    <col min="17" max="17" width="7.42578125" style="276" bestFit="1" customWidth="1"/>
    <col min="18" max="18" width="25.28515625" style="276" bestFit="1" customWidth="1"/>
    <col min="19" max="19" width="10.42578125" style="276" bestFit="1" customWidth="1"/>
    <col min="20" max="20" width="8.28515625" style="276" bestFit="1" customWidth="1"/>
    <col min="21" max="21" width="9" style="276" bestFit="1" customWidth="1"/>
    <col min="22" max="22" width="8" style="276" bestFit="1" customWidth="1"/>
    <col min="23" max="23" width="4.7109375" style="276" bestFit="1" customWidth="1"/>
    <col min="24" max="24" width="33.5703125" style="276" bestFit="1" customWidth="1"/>
    <col min="25" max="36" width="28.28515625" style="271" customWidth="1"/>
    <col min="37" max="16384" width="9.140625" style="271"/>
  </cols>
  <sheetData>
    <row r="1" spans="1:24" ht="45.75" thickBot="1">
      <c r="A1" s="191" t="s">
        <v>913</v>
      </c>
      <c r="B1" s="191" t="s">
        <v>914</v>
      </c>
      <c r="C1" s="191" t="s">
        <v>915</v>
      </c>
      <c r="D1" s="191" t="s">
        <v>857</v>
      </c>
      <c r="E1" s="191" t="s">
        <v>916</v>
      </c>
      <c r="F1" s="191" t="s">
        <v>917</v>
      </c>
      <c r="G1" s="191" t="s">
        <v>918</v>
      </c>
      <c r="H1" s="191" t="s">
        <v>919</v>
      </c>
      <c r="I1" s="191" t="s">
        <v>878</v>
      </c>
      <c r="J1" s="191" t="s">
        <v>920</v>
      </c>
      <c r="K1" s="191" t="s">
        <v>921</v>
      </c>
      <c r="L1" s="191" t="s">
        <v>922</v>
      </c>
      <c r="M1" s="191" t="s">
        <v>923</v>
      </c>
      <c r="N1" s="191" t="s">
        <v>924</v>
      </c>
      <c r="O1" s="191" t="s">
        <v>925</v>
      </c>
      <c r="P1" s="191" t="s">
        <v>926</v>
      </c>
      <c r="Q1" s="191" t="s">
        <v>927</v>
      </c>
      <c r="R1" s="191" t="s">
        <v>928</v>
      </c>
      <c r="S1" s="191" t="s">
        <v>929</v>
      </c>
      <c r="T1" s="191" t="s">
        <v>930</v>
      </c>
      <c r="U1" s="191" t="s">
        <v>931</v>
      </c>
      <c r="V1" s="191" t="s">
        <v>932</v>
      </c>
      <c r="W1" s="191" t="s">
        <v>933</v>
      </c>
      <c r="X1" s="191" t="s">
        <v>934</v>
      </c>
    </row>
    <row r="2" spans="1:24">
      <c r="A2" s="272" t="s">
        <v>935</v>
      </c>
      <c r="B2" s="273">
        <v>1</v>
      </c>
      <c r="C2" s="273">
        <v>2026</v>
      </c>
      <c r="D2" s="272" t="s">
        <v>936</v>
      </c>
      <c r="E2" s="272"/>
      <c r="F2" s="272" t="s">
        <v>937</v>
      </c>
      <c r="G2" s="274">
        <v>0</v>
      </c>
      <c r="H2" s="272"/>
      <c r="I2" s="272" t="s">
        <v>1211</v>
      </c>
      <c r="J2" s="272"/>
      <c r="K2" s="272" t="s">
        <v>938</v>
      </c>
      <c r="L2" s="272" t="s">
        <v>1212</v>
      </c>
      <c r="M2" s="272" t="s">
        <v>997</v>
      </c>
      <c r="N2" s="272" t="s">
        <v>941</v>
      </c>
      <c r="O2" s="272"/>
      <c r="P2" s="272" t="s">
        <v>1213</v>
      </c>
      <c r="Q2" s="272" t="s">
        <v>943</v>
      </c>
      <c r="R2" s="272" t="s">
        <v>1214</v>
      </c>
      <c r="S2" s="275" t="s">
        <v>1215</v>
      </c>
      <c r="T2" s="272" t="s">
        <v>1005</v>
      </c>
      <c r="U2" s="272" t="s">
        <v>947</v>
      </c>
      <c r="V2" s="272"/>
      <c r="W2" s="272"/>
      <c r="X2" s="272" t="s">
        <v>1006</v>
      </c>
    </row>
    <row r="3" spans="1:24">
      <c r="A3" s="272" t="s">
        <v>935</v>
      </c>
      <c r="B3" s="273">
        <v>1</v>
      </c>
      <c r="C3" s="273">
        <v>2026</v>
      </c>
      <c r="D3" s="272" t="s">
        <v>936</v>
      </c>
      <c r="E3" s="272"/>
      <c r="F3" s="272" t="s">
        <v>1017</v>
      </c>
      <c r="G3" s="274">
        <v>1780.56</v>
      </c>
      <c r="H3" s="272"/>
      <c r="I3" s="272" t="s">
        <v>1211</v>
      </c>
      <c r="J3" s="272"/>
      <c r="K3" s="272" t="s">
        <v>938</v>
      </c>
      <c r="L3" s="272" t="s">
        <v>1212</v>
      </c>
      <c r="M3" s="272" t="s">
        <v>940</v>
      </c>
      <c r="N3" s="272" t="s">
        <v>941</v>
      </c>
      <c r="O3" s="272"/>
      <c r="P3" s="272" t="s">
        <v>1216</v>
      </c>
      <c r="Q3" s="272" t="s">
        <v>943</v>
      </c>
      <c r="R3" s="272" t="s">
        <v>1217</v>
      </c>
      <c r="S3" s="275" t="s">
        <v>1218</v>
      </c>
      <c r="T3" s="272" t="s">
        <v>946</v>
      </c>
      <c r="U3" s="272" t="s">
        <v>947</v>
      </c>
      <c r="V3" s="272"/>
      <c r="W3" s="272"/>
      <c r="X3" s="272" t="s">
        <v>948</v>
      </c>
    </row>
    <row r="4" spans="1:24">
      <c r="A4" s="272" t="s">
        <v>935</v>
      </c>
      <c r="B4" s="273">
        <v>1</v>
      </c>
      <c r="C4" s="273">
        <v>2026</v>
      </c>
      <c r="D4" s="272" t="s">
        <v>936</v>
      </c>
      <c r="E4" s="272"/>
      <c r="F4" s="272" t="s">
        <v>1049</v>
      </c>
      <c r="G4" s="274">
        <v>840.35</v>
      </c>
      <c r="H4" s="272"/>
      <c r="I4" s="272" t="s">
        <v>1211</v>
      </c>
      <c r="J4" s="272"/>
      <c r="K4" s="272" t="s">
        <v>938</v>
      </c>
      <c r="L4" s="272" t="s">
        <v>1212</v>
      </c>
      <c r="M4" s="272" t="s">
        <v>940</v>
      </c>
      <c r="N4" s="272" t="s">
        <v>941</v>
      </c>
      <c r="O4" s="272"/>
      <c r="P4" s="272" t="s">
        <v>1216</v>
      </c>
      <c r="Q4" s="272" t="s">
        <v>943</v>
      </c>
      <c r="R4" s="272" t="s">
        <v>1217</v>
      </c>
      <c r="S4" s="275" t="s">
        <v>1218</v>
      </c>
      <c r="T4" s="272" t="s">
        <v>946</v>
      </c>
      <c r="U4" s="272" t="s">
        <v>947</v>
      </c>
      <c r="V4" s="272"/>
      <c r="W4" s="272"/>
      <c r="X4" s="272" t="s">
        <v>948</v>
      </c>
    </row>
    <row r="5" spans="1:24">
      <c r="A5" s="272" t="s">
        <v>935</v>
      </c>
      <c r="B5" s="273">
        <v>1</v>
      </c>
      <c r="C5" s="273">
        <v>2026</v>
      </c>
      <c r="D5" s="272" t="s">
        <v>936</v>
      </c>
      <c r="E5" s="272"/>
      <c r="F5" s="272" t="s">
        <v>937</v>
      </c>
      <c r="G5" s="274">
        <v>601.1</v>
      </c>
      <c r="H5" s="272"/>
      <c r="I5" s="272" t="s">
        <v>1211</v>
      </c>
      <c r="J5" s="272"/>
      <c r="K5" s="272" t="s">
        <v>938</v>
      </c>
      <c r="L5" s="272" t="s">
        <v>1212</v>
      </c>
      <c r="M5" s="272" t="s">
        <v>940</v>
      </c>
      <c r="N5" s="272" t="s">
        <v>941</v>
      </c>
      <c r="O5" s="272"/>
      <c r="P5" s="272" t="s">
        <v>1216</v>
      </c>
      <c r="Q5" s="272" t="s">
        <v>943</v>
      </c>
      <c r="R5" s="272" t="s">
        <v>1217</v>
      </c>
      <c r="S5" s="275" t="s">
        <v>1218</v>
      </c>
      <c r="T5" s="272" t="s">
        <v>946</v>
      </c>
      <c r="U5" s="272" t="s">
        <v>947</v>
      </c>
      <c r="V5" s="272"/>
      <c r="W5" s="272"/>
      <c r="X5" s="272" t="s">
        <v>948</v>
      </c>
    </row>
    <row r="6" spans="1:24">
      <c r="A6" s="272" t="s">
        <v>935</v>
      </c>
      <c r="B6" s="273">
        <v>1</v>
      </c>
      <c r="C6" s="273">
        <v>2026</v>
      </c>
      <c r="D6" s="272" t="s">
        <v>936</v>
      </c>
      <c r="E6" s="272"/>
      <c r="F6" s="272" t="s">
        <v>994</v>
      </c>
      <c r="G6" s="274">
        <v>166.84</v>
      </c>
      <c r="H6" s="272"/>
      <c r="I6" s="272" t="s">
        <v>1211</v>
      </c>
      <c r="J6" s="272"/>
      <c r="K6" s="272" t="s">
        <v>938</v>
      </c>
      <c r="L6" s="272" t="s">
        <v>1212</v>
      </c>
      <c r="M6" s="272" t="s">
        <v>940</v>
      </c>
      <c r="N6" s="272" t="s">
        <v>941</v>
      </c>
      <c r="O6" s="272"/>
      <c r="P6" s="272" t="s">
        <v>1216</v>
      </c>
      <c r="Q6" s="272" t="s">
        <v>943</v>
      </c>
      <c r="R6" s="272" t="s">
        <v>1217</v>
      </c>
      <c r="S6" s="275" t="s">
        <v>1218</v>
      </c>
      <c r="T6" s="272" t="s">
        <v>946</v>
      </c>
      <c r="U6" s="272" t="s">
        <v>947</v>
      </c>
      <c r="V6" s="272"/>
      <c r="W6" s="272"/>
      <c r="X6" s="272" t="s">
        <v>948</v>
      </c>
    </row>
    <row r="7" spans="1:24">
      <c r="A7" s="272" t="s">
        <v>935</v>
      </c>
      <c r="B7" s="273">
        <v>1</v>
      </c>
      <c r="C7" s="273">
        <v>2026</v>
      </c>
      <c r="D7" s="272" t="s">
        <v>936</v>
      </c>
      <c r="E7" s="272"/>
      <c r="F7" s="272" t="s">
        <v>937</v>
      </c>
      <c r="G7" s="274">
        <v>4.5999999999999996</v>
      </c>
      <c r="H7" s="272"/>
      <c r="I7" s="272" t="s">
        <v>1211</v>
      </c>
      <c r="J7" s="272"/>
      <c r="K7" s="272" t="s">
        <v>938</v>
      </c>
      <c r="L7" s="272" t="s">
        <v>1212</v>
      </c>
      <c r="M7" s="272" t="s">
        <v>949</v>
      </c>
      <c r="N7" s="272" t="s">
        <v>941</v>
      </c>
      <c r="O7" s="272"/>
      <c r="P7" s="272" t="s">
        <v>1219</v>
      </c>
      <c r="Q7" s="272" t="s">
        <v>943</v>
      </c>
      <c r="R7" s="272" t="s">
        <v>1220</v>
      </c>
      <c r="S7" s="275" t="s">
        <v>1218</v>
      </c>
      <c r="T7" s="272" t="s">
        <v>952</v>
      </c>
      <c r="U7" s="272" t="s">
        <v>947</v>
      </c>
      <c r="V7" s="272"/>
      <c r="W7" s="272"/>
      <c r="X7" s="272" t="s">
        <v>953</v>
      </c>
    </row>
    <row r="8" spans="1:24">
      <c r="A8" s="272" t="s">
        <v>935</v>
      </c>
      <c r="B8" s="273">
        <v>1</v>
      </c>
      <c r="C8" s="273">
        <v>2026</v>
      </c>
      <c r="D8" s="272" t="s">
        <v>936</v>
      </c>
      <c r="E8" s="272"/>
      <c r="F8" s="272" t="s">
        <v>937</v>
      </c>
      <c r="G8" s="274">
        <v>16.66</v>
      </c>
      <c r="H8" s="272"/>
      <c r="I8" s="272" t="s">
        <v>1211</v>
      </c>
      <c r="J8" s="272"/>
      <c r="K8" s="272" t="s">
        <v>938</v>
      </c>
      <c r="L8" s="272" t="s">
        <v>1212</v>
      </c>
      <c r="M8" s="272" t="s">
        <v>954</v>
      </c>
      <c r="N8" s="272" t="s">
        <v>941</v>
      </c>
      <c r="O8" s="272"/>
      <c r="P8" s="272" t="s">
        <v>1219</v>
      </c>
      <c r="Q8" s="272" t="s">
        <v>943</v>
      </c>
      <c r="R8" s="272" t="s">
        <v>1220</v>
      </c>
      <c r="S8" s="275" t="s">
        <v>1218</v>
      </c>
      <c r="T8" s="272" t="s">
        <v>952</v>
      </c>
      <c r="U8" s="272" t="s">
        <v>947</v>
      </c>
      <c r="V8" s="272"/>
      <c r="W8" s="272"/>
      <c r="X8" s="272" t="s">
        <v>953</v>
      </c>
    </row>
    <row r="9" spans="1:24">
      <c r="A9" s="272" t="s">
        <v>935</v>
      </c>
      <c r="B9" s="273">
        <v>1</v>
      </c>
      <c r="C9" s="273">
        <v>2026</v>
      </c>
      <c r="D9" s="272" t="s">
        <v>936</v>
      </c>
      <c r="E9" s="272"/>
      <c r="F9" s="272" t="s">
        <v>937</v>
      </c>
      <c r="G9" s="274">
        <v>134.9</v>
      </c>
      <c r="H9" s="272"/>
      <c r="I9" s="272" t="s">
        <v>1211</v>
      </c>
      <c r="J9" s="272"/>
      <c r="K9" s="272" t="s">
        <v>938</v>
      </c>
      <c r="L9" s="272" t="s">
        <v>1212</v>
      </c>
      <c r="M9" s="272" t="s">
        <v>955</v>
      </c>
      <c r="N9" s="272" t="s">
        <v>941</v>
      </c>
      <c r="O9" s="272"/>
      <c r="P9" s="272" t="s">
        <v>1219</v>
      </c>
      <c r="Q9" s="272" t="s">
        <v>943</v>
      </c>
      <c r="R9" s="272" t="s">
        <v>1220</v>
      </c>
      <c r="S9" s="275" t="s">
        <v>1218</v>
      </c>
      <c r="T9" s="272" t="s">
        <v>952</v>
      </c>
      <c r="U9" s="272" t="s">
        <v>947</v>
      </c>
      <c r="V9" s="272"/>
      <c r="W9" s="272"/>
      <c r="X9" s="272" t="s">
        <v>953</v>
      </c>
    </row>
    <row r="10" spans="1:24">
      <c r="A10" s="272" t="s">
        <v>935</v>
      </c>
      <c r="B10" s="273">
        <v>1</v>
      </c>
      <c r="C10" s="273">
        <v>2026</v>
      </c>
      <c r="D10" s="272" t="s">
        <v>936</v>
      </c>
      <c r="E10" s="272"/>
      <c r="F10" s="272" t="s">
        <v>937</v>
      </c>
      <c r="G10" s="274">
        <v>107.9</v>
      </c>
      <c r="H10" s="272"/>
      <c r="I10" s="272" t="s">
        <v>1211</v>
      </c>
      <c r="J10" s="272"/>
      <c r="K10" s="272" t="s">
        <v>938</v>
      </c>
      <c r="L10" s="272" t="s">
        <v>1212</v>
      </c>
      <c r="M10" s="272" t="s">
        <v>956</v>
      </c>
      <c r="N10" s="272" t="s">
        <v>941</v>
      </c>
      <c r="O10" s="272"/>
      <c r="P10" s="272" t="s">
        <v>1219</v>
      </c>
      <c r="Q10" s="272" t="s">
        <v>943</v>
      </c>
      <c r="R10" s="272" t="s">
        <v>1220</v>
      </c>
      <c r="S10" s="275" t="s">
        <v>1218</v>
      </c>
      <c r="T10" s="272" t="s">
        <v>952</v>
      </c>
      <c r="U10" s="272" t="s">
        <v>947</v>
      </c>
      <c r="V10" s="272"/>
      <c r="W10" s="272"/>
      <c r="X10" s="272" t="s">
        <v>953</v>
      </c>
    </row>
    <row r="11" spans="1:24">
      <c r="A11" s="272" t="s">
        <v>935</v>
      </c>
      <c r="B11" s="273">
        <v>1</v>
      </c>
      <c r="C11" s="273">
        <v>2026</v>
      </c>
      <c r="D11" s="272" t="s">
        <v>936</v>
      </c>
      <c r="E11" s="272"/>
      <c r="F11" s="272" t="s">
        <v>937</v>
      </c>
      <c r="G11" s="274">
        <v>15.24</v>
      </c>
      <c r="H11" s="272"/>
      <c r="I11" s="272" t="s">
        <v>1211</v>
      </c>
      <c r="J11" s="272"/>
      <c r="K11" s="272" t="s">
        <v>938</v>
      </c>
      <c r="L11" s="272" t="s">
        <v>1212</v>
      </c>
      <c r="M11" s="272" t="s">
        <v>957</v>
      </c>
      <c r="N11" s="272" t="s">
        <v>941</v>
      </c>
      <c r="O11" s="272"/>
      <c r="P11" s="272" t="s">
        <v>1219</v>
      </c>
      <c r="Q11" s="272" t="s">
        <v>943</v>
      </c>
      <c r="R11" s="272" t="s">
        <v>1220</v>
      </c>
      <c r="S11" s="275" t="s">
        <v>1218</v>
      </c>
      <c r="T11" s="272" t="s">
        <v>952</v>
      </c>
      <c r="U11" s="272" t="s">
        <v>947</v>
      </c>
      <c r="V11" s="272"/>
      <c r="W11" s="272"/>
      <c r="X11" s="272" t="s">
        <v>953</v>
      </c>
    </row>
    <row r="12" spans="1:24">
      <c r="A12" s="272" t="s">
        <v>935</v>
      </c>
      <c r="B12" s="273">
        <v>1</v>
      </c>
      <c r="C12" s="273">
        <v>2026</v>
      </c>
      <c r="D12" s="272" t="s">
        <v>936</v>
      </c>
      <c r="E12" s="272"/>
      <c r="F12" s="272" t="s">
        <v>937</v>
      </c>
      <c r="G12" s="274">
        <v>256.3</v>
      </c>
      <c r="H12" s="272"/>
      <c r="I12" s="272" t="s">
        <v>1211</v>
      </c>
      <c r="J12" s="272"/>
      <c r="K12" s="272" t="s">
        <v>938</v>
      </c>
      <c r="L12" s="272" t="s">
        <v>1212</v>
      </c>
      <c r="M12" s="272" t="s">
        <v>958</v>
      </c>
      <c r="N12" s="272" t="s">
        <v>941</v>
      </c>
      <c r="O12" s="272"/>
      <c r="P12" s="272" t="s">
        <v>1219</v>
      </c>
      <c r="Q12" s="272" t="s">
        <v>943</v>
      </c>
      <c r="R12" s="272" t="s">
        <v>1220</v>
      </c>
      <c r="S12" s="275" t="s">
        <v>1218</v>
      </c>
      <c r="T12" s="272" t="s">
        <v>952</v>
      </c>
      <c r="U12" s="272" t="s">
        <v>947</v>
      </c>
      <c r="V12" s="272"/>
      <c r="W12" s="272"/>
      <c r="X12" s="272" t="s">
        <v>953</v>
      </c>
    </row>
    <row r="13" spans="1:24">
      <c r="A13" s="272" t="s">
        <v>935</v>
      </c>
      <c r="B13" s="273">
        <v>1</v>
      </c>
      <c r="C13" s="273">
        <v>2026</v>
      </c>
      <c r="D13" s="272" t="s">
        <v>936</v>
      </c>
      <c r="E13" s="272"/>
      <c r="F13" s="272" t="s">
        <v>994</v>
      </c>
      <c r="G13" s="274">
        <v>4.62</v>
      </c>
      <c r="H13" s="272"/>
      <c r="I13" s="272" t="s">
        <v>1211</v>
      </c>
      <c r="J13" s="272"/>
      <c r="K13" s="272" t="s">
        <v>938</v>
      </c>
      <c r="L13" s="272" t="s">
        <v>1212</v>
      </c>
      <c r="M13" s="272" t="s">
        <v>954</v>
      </c>
      <c r="N13" s="272" t="s">
        <v>941</v>
      </c>
      <c r="O13" s="272"/>
      <c r="P13" s="272" t="s">
        <v>1219</v>
      </c>
      <c r="Q13" s="272" t="s">
        <v>943</v>
      </c>
      <c r="R13" s="272" t="s">
        <v>1220</v>
      </c>
      <c r="S13" s="275" t="s">
        <v>1218</v>
      </c>
      <c r="T13" s="272" t="s">
        <v>952</v>
      </c>
      <c r="U13" s="272" t="s">
        <v>947</v>
      </c>
      <c r="V13" s="272"/>
      <c r="W13" s="272"/>
      <c r="X13" s="272" t="s">
        <v>953</v>
      </c>
    </row>
    <row r="14" spans="1:24">
      <c r="A14" s="272" t="s">
        <v>935</v>
      </c>
      <c r="B14" s="273">
        <v>1</v>
      </c>
      <c r="C14" s="273">
        <v>2026</v>
      </c>
      <c r="D14" s="272" t="s">
        <v>936</v>
      </c>
      <c r="E14" s="272"/>
      <c r="F14" s="272" t="s">
        <v>994</v>
      </c>
      <c r="G14" s="274">
        <v>37.44</v>
      </c>
      <c r="H14" s="272"/>
      <c r="I14" s="272" t="s">
        <v>1211</v>
      </c>
      <c r="J14" s="272"/>
      <c r="K14" s="272" t="s">
        <v>938</v>
      </c>
      <c r="L14" s="272" t="s">
        <v>1212</v>
      </c>
      <c r="M14" s="272" t="s">
        <v>955</v>
      </c>
      <c r="N14" s="272" t="s">
        <v>941</v>
      </c>
      <c r="O14" s="272"/>
      <c r="P14" s="272" t="s">
        <v>1219</v>
      </c>
      <c r="Q14" s="272" t="s">
        <v>943</v>
      </c>
      <c r="R14" s="272" t="s">
        <v>1220</v>
      </c>
      <c r="S14" s="275" t="s">
        <v>1218</v>
      </c>
      <c r="T14" s="272" t="s">
        <v>952</v>
      </c>
      <c r="U14" s="272" t="s">
        <v>947</v>
      </c>
      <c r="V14" s="272"/>
      <c r="W14" s="272"/>
      <c r="X14" s="272" t="s">
        <v>953</v>
      </c>
    </row>
    <row r="15" spans="1:24">
      <c r="A15" s="272" t="s">
        <v>935</v>
      </c>
      <c r="B15" s="273">
        <v>1</v>
      </c>
      <c r="C15" s="273">
        <v>2026</v>
      </c>
      <c r="D15" s="272" t="s">
        <v>936</v>
      </c>
      <c r="E15" s="272"/>
      <c r="F15" s="272" t="s">
        <v>994</v>
      </c>
      <c r="G15" s="274">
        <v>29.94</v>
      </c>
      <c r="H15" s="272"/>
      <c r="I15" s="272" t="s">
        <v>1211</v>
      </c>
      <c r="J15" s="272"/>
      <c r="K15" s="272" t="s">
        <v>938</v>
      </c>
      <c r="L15" s="272" t="s">
        <v>1212</v>
      </c>
      <c r="M15" s="272" t="s">
        <v>956</v>
      </c>
      <c r="N15" s="272" t="s">
        <v>941</v>
      </c>
      <c r="O15" s="272"/>
      <c r="P15" s="272" t="s">
        <v>1219</v>
      </c>
      <c r="Q15" s="272" t="s">
        <v>943</v>
      </c>
      <c r="R15" s="272" t="s">
        <v>1220</v>
      </c>
      <c r="S15" s="275" t="s">
        <v>1218</v>
      </c>
      <c r="T15" s="272" t="s">
        <v>952</v>
      </c>
      <c r="U15" s="272" t="s">
        <v>947</v>
      </c>
      <c r="V15" s="272"/>
      <c r="W15" s="272"/>
      <c r="X15" s="272" t="s">
        <v>953</v>
      </c>
    </row>
    <row r="16" spans="1:24">
      <c r="A16" s="272" t="s">
        <v>935</v>
      </c>
      <c r="B16" s="273">
        <v>1</v>
      </c>
      <c r="C16" s="273">
        <v>2026</v>
      </c>
      <c r="D16" s="272" t="s">
        <v>936</v>
      </c>
      <c r="E16" s="272"/>
      <c r="F16" s="272" t="s">
        <v>994</v>
      </c>
      <c r="G16" s="274">
        <v>4.2300000000000004</v>
      </c>
      <c r="H16" s="272"/>
      <c r="I16" s="272" t="s">
        <v>1211</v>
      </c>
      <c r="J16" s="272"/>
      <c r="K16" s="272" t="s">
        <v>938</v>
      </c>
      <c r="L16" s="272" t="s">
        <v>1212</v>
      </c>
      <c r="M16" s="272" t="s">
        <v>957</v>
      </c>
      <c r="N16" s="272" t="s">
        <v>941</v>
      </c>
      <c r="O16" s="272"/>
      <c r="P16" s="272" t="s">
        <v>1219</v>
      </c>
      <c r="Q16" s="272" t="s">
        <v>943</v>
      </c>
      <c r="R16" s="272" t="s">
        <v>1220</v>
      </c>
      <c r="S16" s="275" t="s">
        <v>1218</v>
      </c>
      <c r="T16" s="272" t="s">
        <v>952</v>
      </c>
      <c r="U16" s="272" t="s">
        <v>947</v>
      </c>
      <c r="V16" s="272"/>
      <c r="W16" s="272"/>
      <c r="X16" s="272" t="s">
        <v>953</v>
      </c>
    </row>
    <row r="17" spans="1:24">
      <c r="A17" s="272" t="s">
        <v>935</v>
      </c>
      <c r="B17" s="273">
        <v>1</v>
      </c>
      <c r="C17" s="273">
        <v>2026</v>
      </c>
      <c r="D17" s="272" t="s">
        <v>936</v>
      </c>
      <c r="E17" s="272"/>
      <c r="F17" s="272" t="s">
        <v>994</v>
      </c>
      <c r="G17" s="274">
        <v>71.14</v>
      </c>
      <c r="H17" s="272"/>
      <c r="I17" s="272" t="s">
        <v>1211</v>
      </c>
      <c r="J17" s="272"/>
      <c r="K17" s="272" t="s">
        <v>938</v>
      </c>
      <c r="L17" s="272" t="s">
        <v>1212</v>
      </c>
      <c r="M17" s="272" t="s">
        <v>958</v>
      </c>
      <c r="N17" s="272" t="s">
        <v>941</v>
      </c>
      <c r="O17" s="272"/>
      <c r="P17" s="272" t="s">
        <v>1219</v>
      </c>
      <c r="Q17" s="272" t="s">
        <v>943</v>
      </c>
      <c r="R17" s="272" t="s">
        <v>1220</v>
      </c>
      <c r="S17" s="275" t="s">
        <v>1218</v>
      </c>
      <c r="T17" s="272" t="s">
        <v>952</v>
      </c>
      <c r="U17" s="272" t="s">
        <v>947</v>
      </c>
      <c r="V17" s="272"/>
      <c r="W17" s="272"/>
      <c r="X17" s="272" t="s">
        <v>953</v>
      </c>
    </row>
    <row r="18" spans="1:24">
      <c r="A18" s="272" t="s">
        <v>935</v>
      </c>
      <c r="B18" s="273">
        <v>1</v>
      </c>
      <c r="C18" s="273">
        <v>2026</v>
      </c>
      <c r="D18" s="272" t="s">
        <v>936</v>
      </c>
      <c r="E18" s="272"/>
      <c r="F18" s="272" t="s">
        <v>1049</v>
      </c>
      <c r="G18" s="274">
        <v>6.43</v>
      </c>
      <c r="H18" s="272"/>
      <c r="I18" s="272" t="s">
        <v>1211</v>
      </c>
      <c r="J18" s="272"/>
      <c r="K18" s="272" t="s">
        <v>938</v>
      </c>
      <c r="L18" s="272" t="s">
        <v>1212</v>
      </c>
      <c r="M18" s="272" t="s">
        <v>949</v>
      </c>
      <c r="N18" s="272" t="s">
        <v>941</v>
      </c>
      <c r="O18" s="272"/>
      <c r="P18" s="272" t="s">
        <v>1219</v>
      </c>
      <c r="Q18" s="272" t="s">
        <v>943</v>
      </c>
      <c r="R18" s="272" t="s">
        <v>1220</v>
      </c>
      <c r="S18" s="275" t="s">
        <v>1218</v>
      </c>
      <c r="T18" s="272" t="s">
        <v>952</v>
      </c>
      <c r="U18" s="272" t="s">
        <v>947</v>
      </c>
      <c r="V18" s="272"/>
      <c r="W18" s="272"/>
      <c r="X18" s="272" t="s">
        <v>953</v>
      </c>
    </row>
    <row r="19" spans="1:24">
      <c r="A19" s="272" t="s">
        <v>935</v>
      </c>
      <c r="B19" s="273">
        <v>1</v>
      </c>
      <c r="C19" s="273">
        <v>2026</v>
      </c>
      <c r="D19" s="272" t="s">
        <v>936</v>
      </c>
      <c r="E19" s="272"/>
      <c r="F19" s="272" t="s">
        <v>1049</v>
      </c>
      <c r="G19" s="274">
        <v>23.29</v>
      </c>
      <c r="H19" s="272"/>
      <c r="I19" s="272" t="s">
        <v>1211</v>
      </c>
      <c r="J19" s="272"/>
      <c r="K19" s="272" t="s">
        <v>938</v>
      </c>
      <c r="L19" s="272" t="s">
        <v>1212</v>
      </c>
      <c r="M19" s="272" t="s">
        <v>954</v>
      </c>
      <c r="N19" s="272" t="s">
        <v>941</v>
      </c>
      <c r="O19" s="272"/>
      <c r="P19" s="272" t="s">
        <v>1219</v>
      </c>
      <c r="Q19" s="272" t="s">
        <v>943</v>
      </c>
      <c r="R19" s="272" t="s">
        <v>1220</v>
      </c>
      <c r="S19" s="275" t="s">
        <v>1218</v>
      </c>
      <c r="T19" s="272" t="s">
        <v>952</v>
      </c>
      <c r="U19" s="272" t="s">
        <v>947</v>
      </c>
      <c r="V19" s="272"/>
      <c r="W19" s="272"/>
      <c r="X19" s="272" t="s">
        <v>953</v>
      </c>
    </row>
    <row r="20" spans="1:24">
      <c r="A20" s="272" t="s">
        <v>935</v>
      </c>
      <c r="B20" s="273">
        <v>1</v>
      </c>
      <c r="C20" s="273">
        <v>2026</v>
      </c>
      <c r="D20" s="272" t="s">
        <v>936</v>
      </c>
      <c r="E20" s="272"/>
      <c r="F20" s="272" t="s">
        <v>1049</v>
      </c>
      <c r="G20" s="274">
        <v>188.6</v>
      </c>
      <c r="H20" s="272"/>
      <c r="I20" s="272" t="s">
        <v>1211</v>
      </c>
      <c r="J20" s="272"/>
      <c r="K20" s="272" t="s">
        <v>938</v>
      </c>
      <c r="L20" s="272" t="s">
        <v>1212</v>
      </c>
      <c r="M20" s="272" t="s">
        <v>955</v>
      </c>
      <c r="N20" s="272" t="s">
        <v>941</v>
      </c>
      <c r="O20" s="272"/>
      <c r="P20" s="272" t="s">
        <v>1219</v>
      </c>
      <c r="Q20" s="272" t="s">
        <v>943</v>
      </c>
      <c r="R20" s="272" t="s">
        <v>1220</v>
      </c>
      <c r="S20" s="275" t="s">
        <v>1218</v>
      </c>
      <c r="T20" s="272" t="s">
        <v>952</v>
      </c>
      <c r="U20" s="272" t="s">
        <v>947</v>
      </c>
      <c r="V20" s="272"/>
      <c r="W20" s="272"/>
      <c r="X20" s="272" t="s">
        <v>953</v>
      </c>
    </row>
    <row r="21" spans="1:24">
      <c r="A21" s="272" t="s">
        <v>935</v>
      </c>
      <c r="B21" s="273">
        <v>1</v>
      </c>
      <c r="C21" s="273">
        <v>2026</v>
      </c>
      <c r="D21" s="272" t="s">
        <v>936</v>
      </c>
      <c r="E21" s="272"/>
      <c r="F21" s="272" t="s">
        <v>1049</v>
      </c>
      <c r="G21" s="274">
        <v>150.85</v>
      </c>
      <c r="H21" s="272"/>
      <c r="I21" s="272" t="s">
        <v>1211</v>
      </c>
      <c r="J21" s="272"/>
      <c r="K21" s="272" t="s">
        <v>938</v>
      </c>
      <c r="L21" s="272" t="s">
        <v>1212</v>
      </c>
      <c r="M21" s="272" t="s">
        <v>956</v>
      </c>
      <c r="N21" s="272" t="s">
        <v>941</v>
      </c>
      <c r="O21" s="272"/>
      <c r="P21" s="272" t="s">
        <v>1219</v>
      </c>
      <c r="Q21" s="272" t="s">
        <v>943</v>
      </c>
      <c r="R21" s="272" t="s">
        <v>1220</v>
      </c>
      <c r="S21" s="275" t="s">
        <v>1218</v>
      </c>
      <c r="T21" s="272" t="s">
        <v>952</v>
      </c>
      <c r="U21" s="272" t="s">
        <v>947</v>
      </c>
      <c r="V21" s="272"/>
      <c r="W21" s="272"/>
      <c r="X21" s="272" t="s">
        <v>953</v>
      </c>
    </row>
    <row r="22" spans="1:24">
      <c r="A22" s="272" t="s">
        <v>935</v>
      </c>
      <c r="B22" s="273">
        <v>1</v>
      </c>
      <c r="C22" s="273">
        <v>2026</v>
      </c>
      <c r="D22" s="272" t="s">
        <v>936</v>
      </c>
      <c r="E22" s="272"/>
      <c r="F22" s="272" t="s">
        <v>1049</v>
      </c>
      <c r="G22" s="274">
        <v>21.31</v>
      </c>
      <c r="H22" s="272"/>
      <c r="I22" s="272" t="s">
        <v>1211</v>
      </c>
      <c r="J22" s="272"/>
      <c r="K22" s="272" t="s">
        <v>938</v>
      </c>
      <c r="L22" s="272" t="s">
        <v>1212</v>
      </c>
      <c r="M22" s="272" t="s">
        <v>957</v>
      </c>
      <c r="N22" s="272" t="s">
        <v>941</v>
      </c>
      <c r="O22" s="272"/>
      <c r="P22" s="272" t="s">
        <v>1219</v>
      </c>
      <c r="Q22" s="272" t="s">
        <v>943</v>
      </c>
      <c r="R22" s="272" t="s">
        <v>1220</v>
      </c>
      <c r="S22" s="275" t="s">
        <v>1218</v>
      </c>
      <c r="T22" s="272" t="s">
        <v>952</v>
      </c>
      <c r="U22" s="272" t="s">
        <v>947</v>
      </c>
      <c r="V22" s="272"/>
      <c r="W22" s="272"/>
      <c r="X22" s="272" t="s">
        <v>953</v>
      </c>
    </row>
    <row r="23" spans="1:24">
      <c r="A23" s="272" t="s">
        <v>935</v>
      </c>
      <c r="B23" s="273">
        <v>1</v>
      </c>
      <c r="C23" s="273">
        <v>2026</v>
      </c>
      <c r="D23" s="272" t="s">
        <v>936</v>
      </c>
      <c r="E23" s="272"/>
      <c r="F23" s="272" t="s">
        <v>1049</v>
      </c>
      <c r="G23" s="274">
        <v>358.32</v>
      </c>
      <c r="H23" s="272"/>
      <c r="I23" s="272" t="s">
        <v>1211</v>
      </c>
      <c r="J23" s="272"/>
      <c r="K23" s="272" t="s">
        <v>938</v>
      </c>
      <c r="L23" s="272" t="s">
        <v>1212</v>
      </c>
      <c r="M23" s="272" t="s">
        <v>958</v>
      </c>
      <c r="N23" s="272" t="s">
        <v>941</v>
      </c>
      <c r="O23" s="272"/>
      <c r="P23" s="272" t="s">
        <v>1219</v>
      </c>
      <c r="Q23" s="272" t="s">
        <v>943</v>
      </c>
      <c r="R23" s="272" t="s">
        <v>1220</v>
      </c>
      <c r="S23" s="275" t="s">
        <v>1218</v>
      </c>
      <c r="T23" s="272" t="s">
        <v>952</v>
      </c>
      <c r="U23" s="272" t="s">
        <v>947</v>
      </c>
      <c r="V23" s="272"/>
      <c r="W23" s="272"/>
      <c r="X23" s="272" t="s">
        <v>953</v>
      </c>
    </row>
    <row r="24" spans="1:24">
      <c r="A24" s="272" t="s">
        <v>935</v>
      </c>
      <c r="B24" s="273">
        <v>1</v>
      </c>
      <c r="C24" s="273">
        <v>2026</v>
      </c>
      <c r="D24" s="272" t="s">
        <v>936</v>
      </c>
      <c r="E24" s="272"/>
      <c r="F24" s="272" t="s">
        <v>1017</v>
      </c>
      <c r="G24" s="274">
        <v>13.63</v>
      </c>
      <c r="H24" s="272"/>
      <c r="I24" s="272" t="s">
        <v>1211</v>
      </c>
      <c r="J24" s="272"/>
      <c r="K24" s="272" t="s">
        <v>938</v>
      </c>
      <c r="L24" s="272" t="s">
        <v>1212</v>
      </c>
      <c r="M24" s="272" t="s">
        <v>949</v>
      </c>
      <c r="N24" s="272" t="s">
        <v>941</v>
      </c>
      <c r="O24" s="272"/>
      <c r="P24" s="272" t="s">
        <v>1219</v>
      </c>
      <c r="Q24" s="272" t="s">
        <v>943</v>
      </c>
      <c r="R24" s="272" t="s">
        <v>1220</v>
      </c>
      <c r="S24" s="275" t="s">
        <v>1218</v>
      </c>
      <c r="T24" s="272" t="s">
        <v>952</v>
      </c>
      <c r="U24" s="272" t="s">
        <v>947</v>
      </c>
      <c r="V24" s="272"/>
      <c r="W24" s="272"/>
      <c r="X24" s="272" t="s">
        <v>953</v>
      </c>
    </row>
    <row r="25" spans="1:24">
      <c r="A25" s="272" t="s">
        <v>935</v>
      </c>
      <c r="B25" s="273">
        <v>1</v>
      </c>
      <c r="C25" s="273">
        <v>2026</v>
      </c>
      <c r="D25" s="272" t="s">
        <v>936</v>
      </c>
      <c r="E25" s="272"/>
      <c r="F25" s="272" t="s">
        <v>1017</v>
      </c>
      <c r="G25" s="274">
        <v>49.35</v>
      </c>
      <c r="H25" s="272"/>
      <c r="I25" s="272" t="s">
        <v>1211</v>
      </c>
      <c r="J25" s="272"/>
      <c r="K25" s="272" t="s">
        <v>938</v>
      </c>
      <c r="L25" s="272" t="s">
        <v>1212</v>
      </c>
      <c r="M25" s="272" t="s">
        <v>954</v>
      </c>
      <c r="N25" s="272" t="s">
        <v>941</v>
      </c>
      <c r="O25" s="272"/>
      <c r="P25" s="272" t="s">
        <v>1219</v>
      </c>
      <c r="Q25" s="272" t="s">
        <v>943</v>
      </c>
      <c r="R25" s="272" t="s">
        <v>1220</v>
      </c>
      <c r="S25" s="275" t="s">
        <v>1218</v>
      </c>
      <c r="T25" s="272" t="s">
        <v>952</v>
      </c>
      <c r="U25" s="272" t="s">
        <v>947</v>
      </c>
      <c r="V25" s="272"/>
      <c r="W25" s="272"/>
      <c r="X25" s="272" t="s">
        <v>953</v>
      </c>
    </row>
    <row r="26" spans="1:24">
      <c r="A26" s="272" t="s">
        <v>935</v>
      </c>
      <c r="B26" s="273">
        <v>1</v>
      </c>
      <c r="C26" s="273">
        <v>2026</v>
      </c>
      <c r="D26" s="272" t="s">
        <v>936</v>
      </c>
      <c r="E26" s="272"/>
      <c r="F26" s="272" t="s">
        <v>1017</v>
      </c>
      <c r="G26" s="274">
        <v>399.61</v>
      </c>
      <c r="H26" s="272"/>
      <c r="I26" s="272" t="s">
        <v>1211</v>
      </c>
      <c r="J26" s="272"/>
      <c r="K26" s="272" t="s">
        <v>938</v>
      </c>
      <c r="L26" s="272" t="s">
        <v>1212</v>
      </c>
      <c r="M26" s="272" t="s">
        <v>955</v>
      </c>
      <c r="N26" s="272" t="s">
        <v>941</v>
      </c>
      <c r="O26" s="272"/>
      <c r="P26" s="272" t="s">
        <v>1219</v>
      </c>
      <c r="Q26" s="272" t="s">
        <v>943</v>
      </c>
      <c r="R26" s="272" t="s">
        <v>1220</v>
      </c>
      <c r="S26" s="275" t="s">
        <v>1218</v>
      </c>
      <c r="T26" s="272" t="s">
        <v>952</v>
      </c>
      <c r="U26" s="272" t="s">
        <v>947</v>
      </c>
      <c r="V26" s="272"/>
      <c r="W26" s="272"/>
      <c r="X26" s="272" t="s">
        <v>953</v>
      </c>
    </row>
    <row r="27" spans="1:24">
      <c r="A27" s="272" t="s">
        <v>935</v>
      </c>
      <c r="B27" s="273">
        <v>1</v>
      </c>
      <c r="C27" s="273">
        <v>2026</v>
      </c>
      <c r="D27" s="272" t="s">
        <v>936</v>
      </c>
      <c r="E27" s="272"/>
      <c r="F27" s="272" t="s">
        <v>1017</v>
      </c>
      <c r="G27" s="274">
        <v>319.62</v>
      </c>
      <c r="H27" s="272"/>
      <c r="I27" s="272" t="s">
        <v>1211</v>
      </c>
      <c r="J27" s="272"/>
      <c r="K27" s="272" t="s">
        <v>938</v>
      </c>
      <c r="L27" s="272" t="s">
        <v>1212</v>
      </c>
      <c r="M27" s="272" t="s">
        <v>956</v>
      </c>
      <c r="N27" s="272" t="s">
        <v>941</v>
      </c>
      <c r="O27" s="272"/>
      <c r="P27" s="272" t="s">
        <v>1219</v>
      </c>
      <c r="Q27" s="272" t="s">
        <v>943</v>
      </c>
      <c r="R27" s="272" t="s">
        <v>1220</v>
      </c>
      <c r="S27" s="275" t="s">
        <v>1218</v>
      </c>
      <c r="T27" s="272" t="s">
        <v>952</v>
      </c>
      <c r="U27" s="272" t="s">
        <v>947</v>
      </c>
      <c r="V27" s="272"/>
      <c r="W27" s="272"/>
      <c r="X27" s="272" t="s">
        <v>953</v>
      </c>
    </row>
    <row r="28" spans="1:24">
      <c r="A28" s="272" t="s">
        <v>935</v>
      </c>
      <c r="B28" s="273">
        <v>1</v>
      </c>
      <c r="C28" s="273">
        <v>2026</v>
      </c>
      <c r="D28" s="272" t="s">
        <v>936</v>
      </c>
      <c r="E28" s="272"/>
      <c r="F28" s="272" t="s">
        <v>1017</v>
      </c>
      <c r="G28" s="274">
        <v>45.16</v>
      </c>
      <c r="H28" s="272"/>
      <c r="I28" s="272" t="s">
        <v>1211</v>
      </c>
      <c r="J28" s="272"/>
      <c r="K28" s="272" t="s">
        <v>938</v>
      </c>
      <c r="L28" s="272" t="s">
        <v>1212</v>
      </c>
      <c r="M28" s="272" t="s">
        <v>957</v>
      </c>
      <c r="N28" s="272" t="s">
        <v>941</v>
      </c>
      <c r="O28" s="272"/>
      <c r="P28" s="272" t="s">
        <v>1219</v>
      </c>
      <c r="Q28" s="272" t="s">
        <v>943</v>
      </c>
      <c r="R28" s="272" t="s">
        <v>1220</v>
      </c>
      <c r="S28" s="275" t="s">
        <v>1218</v>
      </c>
      <c r="T28" s="272" t="s">
        <v>952</v>
      </c>
      <c r="U28" s="272" t="s">
        <v>947</v>
      </c>
      <c r="V28" s="272"/>
      <c r="W28" s="272"/>
      <c r="X28" s="272" t="s">
        <v>953</v>
      </c>
    </row>
    <row r="29" spans="1:24">
      <c r="A29" s="272" t="s">
        <v>935</v>
      </c>
      <c r="B29" s="273">
        <v>1</v>
      </c>
      <c r="C29" s="273">
        <v>2026</v>
      </c>
      <c r="D29" s="272" t="s">
        <v>936</v>
      </c>
      <c r="E29" s="272"/>
      <c r="F29" s="272" t="s">
        <v>1017</v>
      </c>
      <c r="G29" s="274">
        <v>759.22</v>
      </c>
      <c r="H29" s="272"/>
      <c r="I29" s="272" t="s">
        <v>1211</v>
      </c>
      <c r="J29" s="272"/>
      <c r="K29" s="272" t="s">
        <v>938</v>
      </c>
      <c r="L29" s="272" t="s">
        <v>1212</v>
      </c>
      <c r="M29" s="272" t="s">
        <v>958</v>
      </c>
      <c r="N29" s="272" t="s">
        <v>941</v>
      </c>
      <c r="O29" s="272"/>
      <c r="P29" s="272" t="s">
        <v>1219</v>
      </c>
      <c r="Q29" s="272" t="s">
        <v>943</v>
      </c>
      <c r="R29" s="272" t="s">
        <v>1220</v>
      </c>
      <c r="S29" s="275" t="s">
        <v>1218</v>
      </c>
      <c r="T29" s="272" t="s">
        <v>952</v>
      </c>
      <c r="U29" s="272" t="s">
        <v>947</v>
      </c>
      <c r="V29" s="272"/>
      <c r="W29" s="272"/>
      <c r="X29" s="272" t="s">
        <v>953</v>
      </c>
    </row>
    <row r="30" spans="1:24">
      <c r="A30" s="272" t="s">
        <v>935</v>
      </c>
      <c r="B30" s="273">
        <v>1</v>
      </c>
      <c r="C30" s="273">
        <v>2026</v>
      </c>
      <c r="D30" s="272" t="s">
        <v>936</v>
      </c>
      <c r="E30" s="272"/>
      <c r="F30" s="272" t="s">
        <v>937</v>
      </c>
      <c r="G30" s="274">
        <v>54584.37</v>
      </c>
      <c r="H30" s="272"/>
      <c r="I30" s="272" t="s">
        <v>1211</v>
      </c>
      <c r="J30" s="272"/>
      <c r="K30" s="272" t="s">
        <v>938</v>
      </c>
      <c r="L30" s="272" t="s">
        <v>1212</v>
      </c>
      <c r="M30" s="272" t="s">
        <v>997</v>
      </c>
      <c r="N30" s="272" t="s">
        <v>941</v>
      </c>
      <c r="O30" s="272"/>
      <c r="P30" s="272" t="s">
        <v>1221</v>
      </c>
      <c r="Q30" s="272" t="s">
        <v>943</v>
      </c>
      <c r="R30" s="272" t="s">
        <v>1222</v>
      </c>
      <c r="S30" s="275" t="s">
        <v>1218</v>
      </c>
      <c r="T30" s="272" t="s">
        <v>1001</v>
      </c>
      <c r="U30" s="272" t="s">
        <v>947</v>
      </c>
      <c r="V30" s="272"/>
      <c r="W30" s="272"/>
      <c r="X30" s="272" t="s">
        <v>1002</v>
      </c>
    </row>
    <row r="31" spans="1:24">
      <c r="A31" s="272" t="s">
        <v>935</v>
      </c>
      <c r="B31" s="273">
        <v>1</v>
      </c>
      <c r="C31" s="273">
        <v>2026</v>
      </c>
      <c r="D31" s="272" t="s">
        <v>936</v>
      </c>
      <c r="E31" s="272"/>
      <c r="F31" s="272" t="s">
        <v>937</v>
      </c>
      <c r="G31" s="274">
        <v>341391.24</v>
      </c>
      <c r="H31" s="272"/>
      <c r="I31" s="272" t="s">
        <v>1211</v>
      </c>
      <c r="J31" s="272"/>
      <c r="K31" s="272" t="s">
        <v>938</v>
      </c>
      <c r="L31" s="272" t="s">
        <v>1212</v>
      </c>
      <c r="M31" s="272" t="s">
        <v>997</v>
      </c>
      <c r="N31" s="272" t="s">
        <v>941</v>
      </c>
      <c r="O31" s="272"/>
      <c r="P31" s="272" t="s">
        <v>1223</v>
      </c>
      <c r="Q31" s="272" t="s">
        <v>943</v>
      </c>
      <c r="R31" s="272" t="s">
        <v>1224</v>
      </c>
      <c r="S31" s="275" t="s">
        <v>1225</v>
      </c>
      <c r="T31" s="272" t="s">
        <v>1001</v>
      </c>
      <c r="U31" s="272" t="s">
        <v>947</v>
      </c>
      <c r="V31" s="272"/>
      <c r="W31" s="272"/>
      <c r="X31" s="272" t="s">
        <v>1002</v>
      </c>
    </row>
    <row r="32" spans="1:24">
      <c r="A32" s="272" t="s">
        <v>935</v>
      </c>
      <c r="B32" s="273">
        <v>1</v>
      </c>
      <c r="C32" s="273">
        <v>2026</v>
      </c>
      <c r="D32" s="272" t="s">
        <v>936</v>
      </c>
      <c r="E32" s="272"/>
      <c r="F32" s="272" t="s">
        <v>937</v>
      </c>
      <c r="G32" s="274">
        <v>0</v>
      </c>
      <c r="H32" s="272"/>
      <c r="I32" s="272" t="s">
        <v>1211</v>
      </c>
      <c r="J32" s="272"/>
      <c r="K32" s="272" t="s">
        <v>938</v>
      </c>
      <c r="L32" s="272" t="s">
        <v>1212</v>
      </c>
      <c r="M32" s="272" t="s">
        <v>997</v>
      </c>
      <c r="N32" s="272" t="s">
        <v>941</v>
      </c>
      <c r="O32" s="272"/>
      <c r="P32" s="272" t="s">
        <v>1226</v>
      </c>
      <c r="Q32" s="272" t="s">
        <v>943</v>
      </c>
      <c r="R32" s="272" t="s">
        <v>1227</v>
      </c>
      <c r="S32" s="275" t="s">
        <v>1225</v>
      </c>
      <c r="T32" s="272" t="s">
        <v>1005</v>
      </c>
      <c r="U32" s="272" t="s">
        <v>947</v>
      </c>
      <c r="V32" s="272"/>
      <c r="W32" s="272"/>
      <c r="X32" s="272" t="s">
        <v>1006</v>
      </c>
    </row>
    <row r="33" spans="1:24">
      <c r="A33" s="272" t="s">
        <v>935</v>
      </c>
      <c r="B33" s="273">
        <v>1</v>
      </c>
      <c r="C33" s="273">
        <v>2026</v>
      </c>
      <c r="D33" s="272" t="s">
        <v>936</v>
      </c>
      <c r="E33" s="272"/>
      <c r="F33" s="272" t="s">
        <v>994</v>
      </c>
      <c r="G33" s="274">
        <v>8.91</v>
      </c>
      <c r="H33" s="272" t="s">
        <v>959</v>
      </c>
      <c r="I33" s="272" t="s">
        <v>1211</v>
      </c>
      <c r="J33" s="272"/>
      <c r="K33" s="272" t="s">
        <v>938</v>
      </c>
      <c r="L33" s="272" t="s">
        <v>1212</v>
      </c>
      <c r="M33" s="272" t="s">
        <v>960</v>
      </c>
      <c r="N33" s="272" t="s">
        <v>941</v>
      </c>
      <c r="O33" s="272"/>
      <c r="P33" s="272" t="s">
        <v>1228</v>
      </c>
      <c r="Q33" s="272" t="s">
        <v>943</v>
      </c>
      <c r="R33" s="272" t="s">
        <v>1229</v>
      </c>
      <c r="S33" s="275" t="s">
        <v>1230</v>
      </c>
      <c r="T33" s="272" t="s">
        <v>964</v>
      </c>
      <c r="U33" s="272" t="s">
        <v>947</v>
      </c>
      <c r="V33" s="272"/>
      <c r="W33" s="272"/>
      <c r="X33" s="272" t="s">
        <v>965</v>
      </c>
    </row>
    <row r="34" spans="1:24">
      <c r="A34" s="272" t="s">
        <v>935</v>
      </c>
      <c r="B34" s="273">
        <v>1</v>
      </c>
      <c r="C34" s="273">
        <v>2026</v>
      </c>
      <c r="D34" s="272" t="s">
        <v>936</v>
      </c>
      <c r="E34" s="272"/>
      <c r="F34" s="272" t="s">
        <v>937</v>
      </c>
      <c r="G34" s="274">
        <v>11.17</v>
      </c>
      <c r="H34" s="272" t="s">
        <v>959</v>
      </c>
      <c r="I34" s="272" t="s">
        <v>1211</v>
      </c>
      <c r="J34" s="272"/>
      <c r="K34" s="272" t="s">
        <v>938</v>
      </c>
      <c r="L34" s="272" t="s">
        <v>1212</v>
      </c>
      <c r="M34" s="272" t="s">
        <v>960</v>
      </c>
      <c r="N34" s="272" t="s">
        <v>941</v>
      </c>
      <c r="O34" s="272"/>
      <c r="P34" s="272" t="s">
        <v>1228</v>
      </c>
      <c r="Q34" s="272" t="s">
        <v>943</v>
      </c>
      <c r="R34" s="272" t="s">
        <v>1229</v>
      </c>
      <c r="S34" s="275" t="s">
        <v>1230</v>
      </c>
      <c r="T34" s="272" t="s">
        <v>964</v>
      </c>
      <c r="U34" s="272" t="s">
        <v>947</v>
      </c>
      <c r="V34" s="272"/>
      <c r="W34" s="272"/>
      <c r="X34" s="272" t="s">
        <v>965</v>
      </c>
    </row>
    <row r="35" spans="1:24">
      <c r="A35" s="272" t="s">
        <v>935</v>
      </c>
      <c r="B35" s="273">
        <v>1</v>
      </c>
      <c r="C35" s="273">
        <v>2026</v>
      </c>
      <c r="D35" s="272" t="s">
        <v>936</v>
      </c>
      <c r="E35" s="272"/>
      <c r="F35" s="272" t="s">
        <v>1049</v>
      </c>
      <c r="G35" s="274">
        <v>182.91</v>
      </c>
      <c r="H35" s="272" t="s">
        <v>959</v>
      </c>
      <c r="I35" s="272" t="s">
        <v>1211</v>
      </c>
      <c r="J35" s="272"/>
      <c r="K35" s="272" t="s">
        <v>938</v>
      </c>
      <c r="L35" s="272" t="s">
        <v>1212</v>
      </c>
      <c r="M35" s="272" t="s">
        <v>960</v>
      </c>
      <c r="N35" s="272" t="s">
        <v>941</v>
      </c>
      <c r="O35" s="272"/>
      <c r="P35" s="272" t="s">
        <v>1228</v>
      </c>
      <c r="Q35" s="272" t="s">
        <v>943</v>
      </c>
      <c r="R35" s="272" t="s">
        <v>1229</v>
      </c>
      <c r="S35" s="275" t="s">
        <v>1230</v>
      </c>
      <c r="T35" s="272" t="s">
        <v>964</v>
      </c>
      <c r="U35" s="272" t="s">
        <v>947</v>
      </c>
      <c r="V35" s="272"/>
      <c r="W35" s="272"/>
      <c r="X35" s="272" t="s">
        <v>965</v>
      </c>
    </row>
    <row r="36" spans="1:24">
      <c r="A36" s="272" t="s">
        <v>935</v>
      </c>
      <c r="B36" s="273">
        <v>1</v>
      </c>
      <c r="C36" s="273">
        <v>2026</v>
      </c>
      <c r="D36" s="272" t="s">
        <v>936</v>
      </c>
      <c r="E36" s="272"/>
      <c r="F36" s="272" t="s">
        <v>1017</v>
      </c>
      <c r="G36" s="274">
        <v>405.75</v>
      </c>
      <c r="H36" s="272" t="s">
        <v>959</v>
      </c>
      <c r="I36" s="272" t="s">
        <v>1211</v>
      </c>
      <c r="J36" s="272"/>
      <c r="K36" s="272" t="s">
        <v>938</v>
      </c>
      <c r="L36" s="272" t="s">
        <v>1212</v>
      </c>
      <c r="M36" s="272" t="s">
        <v>960</v>
      </c>
      <c r="N36" s="272" t="s">
        <v>941</v>
      </c>
      <c r="O36" s="272"/>
      <c r="P36" s="272" t="s">
        <v>1228</v>
      </c>
      <c r="Q36" s="272" t="s">
        <v>943</v>
      </c>
      <c r="R36" s="272" t="s">
        <v>1229</v>
      </c>
      <c r="S36" s="275" t="s">
        <v>1230</v>
      </c>
      <c r="T36" s="272" t="s">
        <v>964</v>
      </c>
      <c r="U36" s="272" t="s">
        <v>947</v>
      </c>
      <c r="V36" s="272"/>
      <c r="W36" s="272"/>
      <c r="X36" s="272" t="s">
        <v>965</v>
      </c>
    </row>
    <row r="37" spans="1:24">
      <c r="A37" s="272" t="s">
        <v>935</v>
      </c>
      <c r="B37" s="273">
        <v>1</v>
      </c>
      <c r="C37" s="273">
        <v>2026</v>
      </c>
      <c r="D37" s="272" t="s">
        <v>936</v>
      </c>
      <c r="E37" s="272"/>
      <c r="F37" s="272" t="s">
        <v>937</v>
      </c>
      <c r="G37" s="274">
        <v>13750</v>
      </c>
      <c r="H37" s="272"/>
      <c r="I37" s="272" t="s">
        <v>1211</v>
      </c>
      <c r="J37" s="272"/>
      <c r="K37" s="272" t="s">
        <v>938</v>
      </c>
      <c r="L37" s="272" t="s">
        <v>1212</v>
      </c>
      <c r="M37" s="272" t="s">
        <v>971</v>
      </c>
      <c r="N37" s="272" t="s">
        <v>941</v>
      </c>
      <c r="O37" s="272"/>
      <c r="P37" s="272" t="s">
        <v>1231</v>
      </c>
      <c r="Q37" s="272" t="s">
        <v>943</v>
      </c>
      <c r="R37" s="272" t="s">
        <v>1232</v>
      </c>
      <c r="S37" s="275" t="s">
        <v>1230</v>
      </c>
      <c r="T37" s="272" t="s">
        <v>974</v>
      </c>
      <c r="U37" s="272" t="s">
        <v>947</v>
      </c>
      <c r="V37" s="272" t="s">
        <v>975</v>
      </c>
      <c r="W37" s="272"/>
      <c r="X37" s="272" t="s">
        <v>1088</v>
      </c>
    </row>
    <row r="38" spans="1:24">
      <c r="A38" s="272" t="s">
        <v>935</v>
      </c>
      <c r="B38" s="273">
        <v>1</v>
      </c>
      <c r="C38" s="273">
        <v>2026</v>
      </c>
      <c r="D38" s="272" t="s">
        <v>936</v>
      </c>
      <c r="E38" s="272"/>
      <c r="F38" s="272" t="s">
        <v>937</v>
      </c>
      <c r="G38" s="274">
        <v>76363.23</v>
      </c>
      <c r="H38" s="272"/>
      <c r="I38" s="272" t="s">
        <v>1211</v>
      </c>
      <c r="J38" s="272"/>
      <c r="K38" s="272" t="s">
        <v>938</v>
      </c>
      <c r="L38" s="272" t="s">
        <v>1212</v>
      </c>
      <c r="M38" s="272" t="s">
        <v>971</v>
      </c>
      <c r="N38" s="272" t="s">
        <v>941</v>
      </c>
      <c r="O38" s="272"/>
      <c r="P38" s="272" t="s">
        <v>1231</v>
      </c>
      <c r="Q38" s="272" t="s">
        <v>943</v>
      </c>
      <c r="R38" s="272" t="s">
        <v>1232</v>
      </c>
      <c r="S38" s="275" t="s">
        <v>1230</v>
      </c>
      <c r="T38" s="272" t="s">
        <v>974</v>
      </c>
      <c r="U38" s="272" t="s">
        <v>947</v>
      </c>
      <c r="V38" s="272" t="s">
        <v>975</v>
      </c>
      <c r="W38" s="272"/>
      <c r="X38" s="272" t="s">
        <v>1087</v>
      </c>
    </row>
    <row r="39" spans="1:24">
      <c r="A39" s="272" t="s">
        <v>935</v>
      </c>
      <c r="B39" s="273">
        <v>1</v>
      </c>
      <c r="C39" s="273">
        <v>2026</v>
      </c>
      <c r="D39" s="272" t="s">
        <v>936</v>
      </c>
      <c r="E39" s="272"/>
      <c r="F39" s="272" t="s">
        <v>937</v>
      </c>
      <c r="G39" s="274">
        <v>11654.45</v>
      </c>
      <c r="H39" s="272"/>
      <c r="I39" s="272" t="s">
        <v>1211</v>
      </c>
      <c r="J39" s="272"/>
      <c r="K39" s="272" t="s">
        <v>938</v>
      </c>
      <c r="L39" s="272" t="s">
        <v>1212</v>
      </c>
      <c r="M39" s="272" t="s">
        <v>971</v>
      </c>
      <c r="N39" s="272" t="s">
        <v>941</v>
      </c>
      <c r="O39" s="272"/>
      <c r="P39" s="272" t="s">
        <v>1231</v>
      </c>
      <c r="Q39" s="272" t="s">
        <v>943</v>
      </c>
      <c r="R39" s="272" t="s">
        <v>1232</v>
      </c>
      <c r="S39" s="275" t="s">
        <v>1230</v>
      </c>
      <c r="T39" s="272" t="s">
        <v>974</v>
      </c>
      <c r="U39" s="272" t="s">
        <v>947</v>
      </c>
      <c r="V39" s="272" t="s">
        <v>975</v>
      </c>
      <c r="W39" s="272"/>
      <c r="X39" s="272" t="s">
        <v>982</v>
      </c>
    </row>
    <row r="40" spans="1:24">
      <c r="A40" s="272" t="s">
        <v>935</v>
      </c>
      <c r="B40" s="273">
        <v>1</v>
      </c>
      <c r="C40" s="273">
        <v>2026</v>
      </c>
      <c r="D40" s="272" t="s">
        <v>936</v>
      </c>
      <c r="E40" s="272"/>
      <c r="F40" s="272" t="s">
        <v>937</v>
      </c>
      <c r="G40" s="274">
        <v>491043.5</v>
      </c>
      <c r="H40" s="272"/>
      <c r="I40" s="272" t="s">
        <v>1211</v>
      </c>
      <c r="J40" s="272"/>
      <c r="K40" s="272" t="s">
        <v>938</v>
      </c>
      <c r="L40" s="272" t="s">
        <v>1212</v>
      </c>
      <c r="M40" s="272" t="s">
        <v>971</v>
      </c>
      <c r="N40" s="272" t="s">
        <v>941</v>
      </c>
      <c r="O40" s="272"/>
      <c r="P40" s="272" t="s">
        <v>1231</v>
      </c>
      <c r="Q40" s="272" t="s">
        <v>943</v>
      </c>
      <c r="R40" s="272" t="s">
        <v>1232</v>
      </c>
      <c r="S40" s="275" t="s">
        <v>1230</v>
      </c>
      <c r="T40" s="272" t="s">
        <v>974</v>
      </c>
      <c r="U40" s="272" t="s">
        <v>947</v>
      </c>
      <c r="V40" s="272" t="s">
        <v>975</v>
      </c>
      <c r="W40" s="272"/>
      <c r="X40" s="272" t="s">
        <v>1233</v>
      </c>
    </row>
    <row r="41" spans="1:24">
      <c r="A41" s="272" t="s">
        <v>935</v>
      </c>
      <c r="B41" s="273">
        <v>1</v>
      </c>
      <c r="C41" s="273">
        <v>2026</v>
      </c>
      <c r="D41" s="272" t="s">
        <v>936</v>
      </c>
      <c r="E41" s="272"/>
      <c r="F41" s="272" t="s">
        <v>937</v>
      </c>
      <c r="G41" s="274">
        <v>2551.5</v>
      </c>
      <c r="H41" s="272"/>
      <c r="I41" s="272" t="s">
        <v>1211</v>
      </c>
      <c r="J41" s="272"/>
      <c r="K41" s="272" t="s">
        <v>938</v>
      </c>
      <c r="L41" s="272" t="s">
        <v>1212</v>
      </c>
      <c r="M41" s="272" t="s">
        <v>971</v>
      </c>
      <c r="N41" s="272" t="s">
        <v>941</v>
      </c>
      <c r="O41" s="272"/>
      <c r="P41" s="272" t="s">
        <v>1231</v>
      </c>
      <c r="Q41" s="272" t="s">
        <v>943</v>
      </c>
      <c r="R41" s="272" t="s">
        <v>1232</v>
      </c>
      <c r="S41" s="275" t="s">
        <v>1230</v>
      </c>
      <c r="T41" s="272" t="s">
        <v>974</v>
      </c>
      <c r="U41" s="272" t="s">
        <v>947</v>
      </c>
      <c r="V41" s="272" t="s">
        <v>975</v>
      </c>
      <c r="W41" s="272"/>
      <c r="X41" s="272" t="s">
        <v>1234</v>
      </c>
    </row>
    <row r="42" spans="1:24">
      <c r="A42" s="272" t="s">
        <v>935</v>
      </c>
      <c r="B42" s="273">
        <v>1</v>
      </c>
      <c r="C42" s="273">
        <v>2026</v>
      </c>
      <c r="D42" s="272" t="s">
        <v>936</v>
      </c>
      <c r="E42" s="272"/>
      <c r="F42" s="272" t="s">
        <v>937</v>
      </c>
      <c r="G42" s="274">
        <v>34947.68</v>
      </c>
      <c r="H42" s="272"/>
      <c r="I42" s="272" t="s">
        <v>1211</v>
      </c>
      <c r="J42" s="272"/>
      <c r="K42" s="272" t="s">
        <v>938</v>
      </c>
      <c r="L42" s="272" t="s">
        <v>1212</v>
      </c>
      <c r="M42" s="272" t="s">
        <v>971</v>
      </c>
      <c r="N42" s="272" t="s">
        <v>941</v>
      </c>
      <c r="O42" s="272"/>
      <c r="P42" s="272" t="s">
        <v>1231</v>
      </c>
      <c r="Q42" s="272" t="s">
        <v>943</v>
      </c>
      <c r="R42" s="272" t="s">
        <v>1232</v>
      </c>
      <c r="S42" s="275" t="s">
        <v>1230</v>
      </c>
      <c r="T42" s="272" t="s">
        <v>974</v>
      </c>
      <c r="U42" s="272" t="s">
        <v>947</v>
      </c>
      <c r="V42" s="272" t="s">
        <v>975</v>
      </c>
      <c r="W42" s="272"/>
      <c r="X42" s="272" t="s">
        <v>979</v>
      </c>
    </row>
    <row r="43" spans="1:24">
      <c r="A43" s="272" t="s">
        <v>935</v>
      </c>
      <c r="B43" s="273">
        <v>1</v>
      </c>
      <c r="C43" s="273">
        <v>2026</v>
      </c>
      <c r="D43" s="272" t="s">
        <v>936</v>
      </c>
      <c r="E43" s="272"/>
      <c r="F43" s="272" t="s">
        <v>994</v>
      </c>
      <c r="G43" s="274">
        <v>5.92</v>
      </c>
      <c r="H43" s="272"/>
      <c r="I43" s="272" t="s">
        <v>1211</v>
      </c>
      <c r="J43" s="272"/>
      <c r="K43" s="272" t="s">
        <v>938</v>
      </c>
      <c r="L43" s="272" t="s">
        <v>1212</v>
      </c>
      <c r="M43" s="272" t="s">
        <v>966</v>
      </c>
      <c r="N43" s="272" t="s">
        <v>941</v>
      </c>
      <c r="O43" s="272"/>
      <c r="P43" s="272" t="s">
        <v>1235</v>
      </c>
      <c r="Q43" s="272" t="s">
        <v>943</v>
      </c>
      <c r="R43" s="272" t="s">
        <v>1236</v>
      </c>
      <c r="S43" s="275" t="s">
        <v>1230</v>
      </c>
      <c r="T43" s="272" t="s">
        <v>969</v>
      </c>
      <c r="U43" s="272" t="s">
        <v>947</v>
      </c>
      <c r="V43" s="272"/>
      <c r="W43" s="272"/>
      <c r="X43" s="272" t="s">
        <v>970</v>
      </c>
    </row>
    <row r="44" spans="1:24">
      <c r="A44" s="272" t="s">
        <v>935</v>
      </c>
      <c r="B44" s="273">
        <v>1</v>
      </c>
      <c r="C44" s="273">
        <v>2026</v>
      </c>
      <c r="D44" s="272" t="s">
        <v>936</v>
      </c>
      <c r="E44" s="272"/>
      <c r="F44" s="272" t="s">
        <v>1049</v>
      </c>
      <c r="G44" s="274">
        <v>31.08</v>
      </c>
      <c r="H44" s="272"/>
      <c r="I44" s="272" t="s">
        <v>1211</v>
      </c>
      <c r="J44" s="272"/>
      <c r="K44" s="272" t="s">
        <v>938</v>
      </c>
      <c r="L44" s="272" t="s">
        <v>1212</v>
      </c>
      <c r="M44" s="272" t="s">
        <v>966</v>
      </c>
      <c r="N44" s="272" t="s">
        <v>941</v>
      </c>
      <c r="O44" s="272"/>
      <c r="P44" s="272" t="s">
        <v>1235</v>
      </c>
      <c r="Q44" s="272" t="s">
        <v>943</v>
      </c>
      <c r="R44" s="272" t="s">
        <v>1236</v>
      </c>
      <c r="S44" s="275" t="s">
        <v>1230</v>
      </c>
      <c r="T44" s="272" t="s">
        <v>969</v>
      </c>
      <c r="U44" s="272" t="s">
        <v>947</v>
      </c>
      <c r="V44" s="272"/>
      <c r="W44" s="272"/>
      <c r="X44" s="272" t="s">
        <v>970</v>
      </c>
    </row>
    <row r="45" spans="1:24">
      <c r="A45" s="272" t="s">
        <v>935</v>
      </c>
      <c r="B45" s="273">
        <v>1</v>
      </c>
      <c r="C45" s="273">
        <v>2026</v>
      </c>
      <c r="D45" s="272" t="s">
        <v>936</v>
      </c>
      <c r="E45" s="272"/>
      <c r="F45" s="272" t="s">
        <v>1017</v>
      </c>
      <c r="G45" s="274">
        <v>13.42</v>
      </c>
      <c r="H45" s="272"/>
      <c r="I45" s="272" t="s">
        <v>1211</v>
      </c>
      <c r="J45" s="272"/>
      <c r="K45" s="272" t="s">
        <v>938</v>
      </c>
      <c r="L45" s="272" t="s">
        <v>1212</v>
      </c>
      <c r="M45" s="272" t="s">
        <v>966</v>
      </c>
      <c r="N45" s="272" t="s">
        <v>941</v>
      </c>
      <c r="O45" s="272"/>
      <c r="P45" s="272" t="s">
        <v>1235</v>
      </c>
      <c r="Q45" s="272" t="s">
        <v>943</v>
      </c>
      <c r="R45" s="272" t="s">
        <v>1236</v>
      </c>
      <c r="S45" s="275" t="s">
        <v>1230</v>
      </c>
      <c r="T45" s="272" t="s">
        <v>969</v>
      </c>
      <c r="U45" s="272" t="s">
        <v>947</v>
      </c>
      <c r="V45" s="272"/>
      <c r="W45" s="272"/>
      <c r="X45" s="272" t="s">
        <v>970</v>
      </c>
    </row>
    <row r="46" spans="1:24">
      <c r="A46" s="272" t="s">
        <v>935</v>
      </c>
      <c r="B46" s="273">
        <v>1</v>
      </c>
      <c r="C46" s="273">
        <v>2026</v>
      </c>
      <c r="D46" s="272" t="s">
        <v>936</v>
      </c>
      <c r="E46" s="272"/>
      <c r="F46" s="272" t="s">
        <v>937</v>
      </c>
      <c r="G46" s="274">
        <v>13.72</v>
      </c>
      <c r="H46" s="272"/>
      <c r="I46" s="272" t="s">
        <v>1211</v>
      </c>
      <c r="J46" s="272"/>
      <c r="K46" s="272" t="s">
        <v>938</v>
      </c>
      <c r="L46" s="272" t="s">
        <v>1212</v>
      </c>
      <c r="M46" s="272" t="s">
        <v>966</v>
      </c>
      <c r="N46" s="272" t="s">
        <v>941</v>
      </c>
      <c r="O46" s="272"/>
      <c r="P46" s="272" t="s">
        <v>1235</v>
      </c>
      <c r="Q46" s="272" t="s">
        <v>943</v>
      </c>
      <c r="R46" s="272" t="s">
        <v>1236</v>
      </c>
      <c r="S46" s="275" t="s">
        <v>1230</v>
      </c>
      <c r="T46" s="272" t="s">
        <v>969</v>
      </c>
      <c r="U46" s="272" t="s">
        <v>947</v>
      </c>
      <c r="V46" s="272"/>
      <c r="W46" s="272"/>
      <c r="X46" s="272" t="s">
        <v>970</v>
      </c>
    </row>
    <row r="47" spans="1:24">
      <c r="A47" s="272" t="s">
        <v>935</v>
      </c>
      <c r="B47" s="273">
        <v>1</v>
      </c>
      <c r="C47" s="273">
        <v>2026</v>
      </c>
      <c r="D47" s="272" t="s">
        <v>936</v>
      </c>
      <c r="E47" s="272"/>
      <c r="F47" s="272" t="s">
        <v>937</v>
      </c>
      <c r="G47" s="274">
        <v>45.23</v>
      </c>
      <c r="H47" s="272"/>
      <c r="I47" s="272" t="s">
        <v>1211</v>
      </c>
      <c r="J47" s="272"/>
      <c r="K47" s="272" t="s">
        <v>938</v>
      </c>
      <c r="L47" s="272" t="s">
        <v>1212</v>
      </c>
      <c r="M47" s="272" t="s">
        <v>1237</v>
      </c>
      <c r="N47" s="272" t="s">
        <v>941</v>
      </c>
      <c r="O47" s="272"/>
      <c r="P47" s="272" t="s">
        <v>1238</v>
      </c>
      <c r="Q47" s="272" t="s">
        <v>943</v>
      </c>
      <c r="R47" s="272" t="s">
        <v>1239</v>
      </c>
      <c r="S47" s="275" t="s">
        <v>1230</v>
      </c>
      <c r="T47" s="272" t="s">
        <v>1240</v>
      </c>
      <c r="U47" s="272" t="s">
        <v>947</v>
      </c>
      <c r="V47" s="272"/>
      <c r="W47" s="272"/>
      <c r="X47" s="272" t="s">
        <v>1241</v>
      </c>
    </row>
    <row r="48" spans="1:24">
      <c r="A48" s="272" t="s">
        <v>935</v>
      </c>
      <c r="B48" s="273">
        <v>1</v>
      </c>
      <c r="C48" s="273">
        <v>2026</v>
      </c>
      <c r="D48" s="272" t="s">
        <v>936</v>
      </c>
      <c r="E48" s="272"/>
      <c r="F48" s="272" t="s">
        <v>1017</v>
      </c>
      <c r="G48" s="274">
        <v>86.93</v>
      </c>
      <c r="H48" s="272" t="s">
        <v>959</v>
      </c>
      <c r="I48" s="272" t="s">
        <v>1211</v>
      </c>
      <c r="J48" s="272"/>
      <c r="K48" s="272" t="s">
        <v>938</v>
      </c>
      <c r="L48" s="272" t="s">
        <v>1212</v>
      </c>
      <c r="M48" s="272" t="s">
        <v>983</v>
      </c>
      <c r="N48" s="272" t="s">
        <v>941</v>
      </c>
      <c r="O48" s="272"/>
      <c r="P48" s="272" t="s">
        <v>1242</v>
      </c>
      <c r="Q48" s="272" t="s">
        <v>943</v>
      </c>
      <c r="R48" s="272" t="s">
        <v>1243</v>
      </c>
      <c r="S48" s="275" t="s">
        <v>1230</v>
      </c>
      <c r="T48" s="272" t="s">
        <v>986</v>
      </c>
      <c r="U48" s="272" t="s">
        <v>947</v>
      </c>
      <c r="V48" s="272"/>
      <c r="W48" s="272"/>
      <c r="X48" s="272" t="s">
        <v>987</v>
      </c>
    </row>
    <row r="49" spans="1:24">
      <c r="A49" s="272" t="s">
        <v>935</v>
      </c>
      <c r="B49" s="273">
        <v>1</v>
      </c>
      <c r="C49" s="273">
        <v>2026</v>
      </c>
      <c r="D49" s="272" t="s">
        <v>936</v>
      </c>
      <c r="E49" s="272"/>
      <c r="F49" s="272" t="s">
        <v>994</v>
      </c>
      <c r="G49" s="274">
        <v>8.15</v>
      </c>
      <c r="H49" s="272" t="s">
        <v>959</v>
      </c>
      <c r="I49" s="272" t="s">
        <v>1211</v>
      </c>
      <c r="J49" s="272"/>
      <c r="K49" s="272" t="s">
        <v>938</v>
      </c>
      <c r="L49" s="272" t="s">
        <v>1212</v>
      </c>
      <c r="M49" s="272" t="s">
        <v>983</v>
      </c>
      <c r="N49" s="272" t="s">
        <v>941</v>
      </c>
      <c r="O49" s="272"/>
      <c r="P49" s="272" t="s">
        <v>1242</v>
      </c>
      <c r="Q49" s="272" t="s">
        <v>943</v>
      </c>
      <c r="R49" s="272" t="s">
        <v>1243</v>
      </c>
      <c r="S49" s="275" t="s">
        <v>1230</v>
      </c>
      <c r="T49" s="272" t="s">
        <v>986</v>
      </c>
      <c r="U49" s="272" t="s">
        <v>947</v>
      </c>
      <c r="V49" s="272"/>
      <c r="W49" s="272"/>
      <c r="X49" s="272" t="s">
        <v>987</v>
      </c>
    </row>
    <row r="50" spans="1:24">
      <c r="A50" s="272" t="s">
        <v>935</v>
      </c>
      <c r="B50" s="273">
        <v>1</v>
      </c>
      <c r="C50" s="273">
        <v>2026</v>
      </c>
      <c r="D50" s="272" t="s">
        <v>936</v>
      </c>
      <c r="E50" s="272"/>
      <c r="F50" s="272" t="s">
        <v>937</v>
      </c>
      <c r="G50" s="274">
        <v>29.35</v>
      </c>
      <c r="H50" s="272" t="s">
        <v>959</v>
      </c>
      <c r="I50" s="272" t="s">
        <v>1211</v>
      </c>
      <c r="J50" s="272"/>
      <c r="K50" s="272" t="s">
        <v>938</v>
      </c>
      <c r="L50" s="272" t="s">
        <v>1212</v>
      </c>
      <c r="M50" s="272" t="s">
        <v>983</v>
      </c>
      <c r="N50" s="272" t="s">
        <v>941</v>
      </c>
      <c r="O50" s="272"/>
      <c r="P50" s="272" t="s">
        <v>1242</v>
      </c>
      <c r="Q50" s="272" t="s">
        <v>943</v>
      </c>
      <c r="R50" s="272" t="s">
        <v>1243</v>
      </c>
      <c r="S50" s="275" t="s">
        <v>1230</v>
      </c>
      <c r="T50" s="272" t="s">
        <v>986</v>
      </c>
      <c r="U50" s="272" t="s">
        <v>947</v>
      </c>
      <c r="V50" s="272"/>
      <c r="W50" s="272"/>
      <c r="X50" s="272" t="s">
        <v>987</v>
      </c>
    </row>
    <row r="51" spans="1:24">
      <c r="A51" s="272" t="s">
        <v>935</v>
      </c>
      <c r="B51" s="273">
        <v>1</v>
      </c>
      <c r="C51" s="273">
        <v>2026</v>
      </c>
      <c r="D51" s="272" t="s">
        <v>936</v>
      </c>
      <c r="E51" s="272"/>
      <c r="F51" s="272" t="s">
        <v>937</v>
      </c>
      <c r="G51" s="274">
        <v>165543.85999999999</v>
      </c>
      <c r="H51" s="272"/>
      <c r="I51" s="272" t="s">
        <v>1211</v>
      </c>
      <c r="J51" s="272"/>
      <c r="K51" s="272" t="s">
        <v>938</v>
      </c>
      <c r="L51" s="272" t="s">
        <v>1212</v>
      </c>
      <c r="M51" s="272" t="s">
        <v>971</v>
      </c>
      <c r="N51" s="272" t="s">
        <v>941</v>
      </c>
      <c r="O51" s="272"/>
      <c r="P51" s="272" t="s">
        <v>1244</v>
      </c>
      <c r="Q51" s="272" t="s">
        <v>943</v>
      </c>
      <c r="R51" s="272" t="s">
        <v>1245</v>
      </c>
      <c r="S51" s="275" t="s">
        <v>1230</v>
      </c>
      <c r="T51" s="272" t="s">
        <v>974</v>
      </c>
      <c r="U51" s="272" t="s">
        <v>947</v>
      </c>
      <c r="V51" s="272" t="s">
        <v>1246</v>
      </c>
      <c r="W51" s="272"/>
      <c r="X51" s="272" t="s">
        <v>981</v>
      </c>
    </row>
    <row r="52" spans="1:24">
      <c r="A52" s="272" t="s">
        <v>935</v>
      </c>
      <c r="B52" s="273">
        <v>2</v>
      </c>
      <c r="C52" s="273">
        <v>2026</v>
      </c>
      <c r="D52" s="272" t="s">
        <v>936</v>
      </c>
      <c r="E52" s="272"/>
      <c r="F52" s="272" t="s">
        <v>937</v>
      </c>
      <c r="G52" s="274">
        <v>-34947.68</v>
      </c>
      <c r="H52" s="272"/>
      <c r="I52" s="272" t="s">
        <v>1211</v>
      </c>
      <c r="J52" s="272"/>
      <c r="K52" s="272" t="s">
        <v>938</v>
      </c>
      <c r="L52" s="272" t="s">
        <v>1212</v>
      </c>
      <c r="M52" s="272" t="s">
        <v>988</v>
      </c>
      <c r="N52" s="272" t="s">
        <v>941</v>
      </c>
      <c r="O52" s="272"/>
      <c r="P52" s="272" t="s">
        <v>1247</v>
      </c>
      <c r="Q52" s="272" t="s">
        <v>943</v>
      </c>
      <c r="R52" s="272" t="s">
        <v>1232</v>
      </c>
      <c r="S52" s="275" t="s">
        <v>1248</v>
      </c>
      <c r="T52" s="272" t="s">
        <v>974</v>
      </c>
      <c r="U52" s="272" t="s">
        <v>947</v>
      </c>
      <c r="V52" s="272" t="s">
        <v>975</v>
      </c>
      <c r="W52" s="272"/>
      <c r="X52" s="272" t="s">
        <v>979</v>
      </c>
    </row>
    <row r="53" spans="1:24">
      <c r="A53" s="272" t="s">
        <v>935</v>
      </c>
      <c r="B53" s="273">
        <v>2</v>
      </c>
      <c r="C53" s="273">
        <v>2026</v>
      </c>
      <c r="D53" s="272" t="s">
        <v>936</v>
      </c>
      <c r="E53" s="272"/>
      <c r="F53" s="272" t="s">
        <v>937</v>
      </c>
      <c r="G53" s="274">
        <v>-11654.45</v>
      </c>
      <c r="H53" s="272"/>
      <c r="I53" s="272" t="s">
        <v>1211</v>
      </c>
      <c r="J53" s="272"/>
      <c r="K53" s="272" t="s">
        <v>938</v>
      </c>
      <c r="L53" s="272" t="s">
        <v>1212</v>
      </c>
      <c r="M53" s="272" t="s">
        <v>988</v>
      </c>
      <c r="N53" s="272" t="s">
        <v>941</v>
      </c>
      <c r="O53" s="272"/>
      <c r="P53" s="272" t="s">
        <v>1247</v>
      </c>
      <c r="Q53" s="272" t="s">
        <v>943</v>
      </c>
      <c r="R53" s="272" t="s">
        <v>1232</v>
      </c>
      <c r="S53" s="275" t="s">
        <v>1248</v>
      </c>
      <c r="T53" s="272" t="s">
        <v>974</v>
      </c>
      <c r="U53" s="272" t="s">
        <v>947</v>
      </c>
      <c r="V53" s="272" t="s">
        <v>975</v>
      </c>
      <c r="W53" s="272"/>
      <c r="X53" s="272" t="s">
        <v>982</v>
      </c>
    </row>
    <row r="54" spans="1:24">
      <c r="A54" s="272" t="s">
        <v>935</v>
      </c>
      <c r="B54" s="273">
        <v>2</v>
      </c>
      <c r="C54" s="273">
        <v>2026</v>
      </c>
      <c r="D54" s="272" t="s">
        <v>936</v>
      </c>
      <c r="E54" s="272"/>
      <c r="F54" s="272" t="s">
        <v>937</v>
      </c>
      <c r="G54" s="274">
        <v>-13750</v>
      </c>
      <c r="H54" s="272"/>
      <c r="I54" s="272" t="s">
        <v>1211</v>
      </c>
      <c r="J54" s="272"/>
      <c r="K54" s="272" t="s">
        <v>938</v>
      </c>
      <c r="L54" s="272" t="s">
        <v>1212</v>
      </c>
      <c r="M54" s="272" t="s">
        <v>988</v>
      </c>
      <c r="N54" s="272" t="s">
        <v>941</v>
      </c>
      <c r="O54" s="272"/>
      <c r="P54" s="272" t="s">
        <v>1247</v>
      </c>
      <c r="Q54" s="272" t="s">
        <v>943</v>
      </c>
      <c r="R54" s="272" t="s">
        <v>1232</v>
      </c>
      <c r="S54" s="275" t="s">
        <v>1248</v>
      </c>
      <c r="T54" s="272" t="s">
        <v>974</v>
      </c>
      <c r="U54" s="272" t="s">
        <v>947</v>
      </c>
      <c r="V54" s="272" t="s">
        <v>975</v>
      </c>
      <c r="W54" s="272"/>
      <c r="X54" s="272" t="s">
        <v>1088</v>
      </c>
    </row>
    <row r="55" spans="1:24">
      <c r="A55" s="272" t="s">
        <v>935</v>
      </c>
      <c r="B55" s="273">
        <v>2</v>
      </c>
      <c r="C55" s="273">
        <v>2026</v>
      </c>
      <c r="D55" s="272" t="s">
        <v>936</v>
      </c>
      <c r="E55" s="272"/>
      <c r="F55" s="272" t="s">
        <v>937</v>
      </c>
      <c r="G55" s="274">
        <v>-76363.23</v>
      </c>
      <c r="H55" s="272"/>
      <c r="I55" s="272" t="s">
        <v>1211</v>
      </c>
      <c r="J55" s="272"/>
      <c r="K55" s="272" t="s">
        <v>938</v>
      </c>
      <c r="L55" s="272" t="s">
        <v>1212</v>
      </c>
      <c r="M55" s="272" t="s">
        <v>988</v>
      </c>
      <c r="N55" s="272" t="s">
        <v>941</v>
      </c>
      <c r="O55" s="272"/>
      <c r="P55" s="272" t="s">
        <v>1247</v>
      </c>
      <c r="Q55" s="272" t="s">
        <v>943</v>
      </c>
      <c r="R55" s="272" t="s">
        <v>1232</v>
      </c>
      <c r="S55" s="275" t="s">
        <v>1248</v>
      </c>
      <c r="T55" s="272" t="s">
        <v>974</v>
      </c>
      <c r="U55" s="272" t="s">
        <v>947</v>
      </c>
      <c r="V55" s="272" t="s">
        <v>975</v>
      </c>
      <c r="W55" s="272"/>
      <c r="X55" s="272" t="s">
        <v>1087</v>
      </c>
    </row>
    <row r="56" spans="1:24">
      <c r="A56" s="272" t="s">
        <v>935</v>
      </c>
      <c r="B56" s="273">
        <v>2</v>
      </c>
      <c r="C56" s="273">
        <v>2026</v>
      </c>
      <c r="D56" s="272" t="s">
        <v>936</v>
      </c>
      <c r="E56" s="272"/>
      <c r="F56" s="272" t="s">
        <v>937</v>
      </c>
      <c r="G56" s="274">
        <v>-2551.5</v>
      </c>
      <c r="H56" s="272"/>
      <c r="I56" s="272" t="s">
        <v>1211</v>
      </c>
      <c r="J56" s="272"/>
      <c r="K56" s="272" t="s">
        <v>938</v>
      </c>
      <c r="L56" s="272" t="s">
        <v>1212</v>
      </c>
      <c r="M56" s="272" t="s">
        <v>988</v>
      </c>
      <c r="N56" s="272" t="s">
        <v>941</v>
      </c>
      <c r="O56" s="272"/>
      <c r="P56" s="272" t="s">
        <v>1247</v>
      </c>
      <c r="Q56" s="272" t="s">
        <v>943</v>
      </c>
      <c r="R56" s="272" t="s">
        <v>1232</v>
      </c>
      <c r="S56" s="275" t="s">
        <v>1248</v>
      </c>
      <c r="T56" s="272" t="s">
        <v>974</v>
      </c>
      <c r="U56" s="272" t="s">
        <v>947</v>
      </c>
      <c r="V56" s="272" t="s">
        <v>975</v>
      </c>
      <c r="W56" s="272"/>
      <c r="X56" s="272" t="s">
        <v>1234</v>
      </c>
    </row>
    <row r="57" spans="1:24">
      <c r="A57" s="272" t="s">
        <v>935</v>
      </c>
      <c r="B57" s="273">
        <v>2</v>
      </c>
      <c r="C57" s="273">
        <v>2026</v>
      </c>
      <c r="D57" s="272" t="s">
        <v>936</v>
      </c>
      <c r="E57" s="272"/>
      <c r="F57" s="272" t="s">
        <v>937</v>
      </c>
      <c r="G57" s="274">
        <v>-491043.5</v>
      </c>
      <c r="H57" s="272"/>
      <c r="I57" s="272" t="s">
        <v>1211</v>
      </c>
      <c r="J57" s="272"/>
      <c r="K57" s="272" t="s">
        <v>938</v>
      </c>
      <c r="L57" s="272" t="s">
        <v>1212</v>
      </c>
      <c r="M57" s="272" t="s">
        <v>988</v>
      </c>
      <c r="N57" s="272" t="s">
        <v>941</v>
      </c>
      <c r="O57" s="272"/>
      <c r="P57" s="272" t="s">
        <v>1247</v>
      </c>
      <c r="Q57" s="272" t="s">
        <v>943</v>
      </c>
      <c r="R57" s="272" t="s">
        <v>1232</v>
      </c>
      <c r="S57" s="275" t="s">
        <v>1248</v>
      </c>
      <c r="T57" s="272" t="s">
        <v>974</v>
      </c>
      <c r="U57" s="272" t="s">
        <v>947</v>
      </c>
      <c r="V57" s="272" t="s">
        <v>975</v>
      </c>
      <c r="W57" s="272"/>
      <c r="X57" s="272" t="s">
        <v>1233</v>
      </c>
    </row>
    <row r="58" spans="1:24">
      <c r="A58" s="272" t="s">
        <v>935</v>
      </c>
      <c r="B58" s="273">
        <v>2</v>
      </c>
      <c r="C58" s="273">
        <v>2026</v>
      </c>
      <c r="D58" s="272" t="s">
        <v>936</v>
      </c>
      <c r="E58" s="272"/>
      <c r="F58" s="272" t="s">
        <v>937</v>
      </c>
      <c r="G58" s="274">
        <v>-165543.85999999999</v>
      </c>
      <c r="H58" s="272"/>
      <c r="I58" s="272" t="s">
        <v>1211</v>
      </c>
      <c r="J58" s="272"/>
      <c r="K58" s="272" t="s">
        <v>938</v>
      </c>
      <c r="L58" s="272" t="s">
        <v>1212</v>
      </c>
      <c r="M58" s="272" t="s">
        <v>988</v>
      </c>
      <c r="N58" s="272" t="s">
        <v>941</v>
      </c>
      <c r="O58" s="272"/>
      <c r="P58" s="272" t="s">
        <v>1249</v>
      </c>
      <c r="Q58" s="272" t="s">
        <v>943</v>
      </c>
      <c r="R58" s="272" t="s">
        <v>1245</v>
      </c>
      <c r="S58" s="275" t="s">
        <v>1248</v>
      </c>
      <c r="T58" s="272" t="s">
        <v>974</v>
      </c>
      <c r="U58" s="272" t="s">
        <v>947</v>
      </c>
      <c r="V58" s="272" t="s">
        <v>1246</v>
      </c>
      <c r="W58" s="272"/>
      <c r="X58" s="272" t="s">
        <v>981</v>
      </c>
    </row>
    <row r="59" spans="1:24">
      <c r="A59" s="272" t="s">
        <v>935</v>
      </c>
      <c r="B59" s="273">
        <v>2</v>
      </c>
      <c r="C59" s="273">
        <v>2026</v>
      </c>
      <c r="D59" s="272" t="s">
        <v>936</v>
      </c>
      <c r="E59" s="272"/>
      <c r="F59" s="272" t="s">
        <v>937</v>
      </c>
      <c r="G59" s="274">
        <v>173084.76</v>
      </c>
      <c r="H59" s="272"/>
      <c r="I59" s="272" t="s">
        <v>1211</v>
      </c>
      <c r="J59" s="272"/>
      <c r="K59" s="272" t="s">
        <v>938</v>
      </c>
      <c r="L59" s="272" t="s">
        <v>1212</v>
      </c>
      <c r="M59" s="272" t="s">
        <v>997</v>
      </c>
      <c r="N59" s="272" t="s">
        <v>941</v>
      </c>
      <c r="O59" s="272"/>
      <c r="P59" s="272" t="s">
        <v>1250</v>
      </c>
      <c r="Q59" s="272" t="s">
        <v>943</v>
      </c>
      <c r="R59" s="272" t="s">
        <v>1251</v>
      </c>
      <c r="S59" s="275" t="s">
        <v>1252</v>
      </c>
      <c r="T59" s="272" t="s">
        <v>1001</v>
      </c>
      <c r="U59" s="272" t="s">
        <v>947</v>
      </c>
      <c r="V59" s="272"/>
      <c r="W59" s="272"/>
      <c r="X59" s="272" t="s">
        <v>1002</v>
      </c>
    </row>
    <row r="60" spans="1:24">
      <c r="A60" s="272" t="s">
        <v>935</v>
      </c>
      <c r="B60" s="273">
        <v>2</v>
      </c>
      <c r="C60" s="273">
        <v>2026</v>
      </c>
      <c r="D60" s="272" t="s">
        <v>936</v>
      </c>
      <c r="E60" s="272"/>
      <c r="F60" s="272" t="s">
        <v>937</v>
      </c>
      <c r="G60" s="274">
        <v>0</v>
      </c>
      <c r="H60" s="272"/>
      <c r="I60" s="272" t="s">
        <v>1211</v>
      </c>
      <c r="J60" s="272"/>
      <c r="K60" s="272" t="s">
        <v>938</v>
      </c>
      <c r="L60" s="272" t="s">
        <v>1212</v>
      </c>
      <c r="M60" s="272" t="s">
        <v>997</v>
      </c>
      <c r="N60" s="272" t="s">
        <v>941</v>
      </c>
      <c r="O60" s="272"/>
      <c r="P60" s="272" t="s">
        <v>1253</v>
      </c>
      <c r="Q60" s="272" t="s">
        <v>943</v>
      </c>
      <c r="R60" s="272" t="s">
        <v>1254</v>
      </c>
      <c r="S60" s="275" t="s">
        <v>1252</v>
      </c>
      <c r="T60" s="272" t="s">
        <v>1005</v>
      </c>
      <c r="U60" s="272" t="s">
        <v>947</v>
      </c>
      <c r="V60" s="272"/>
      <c r="W60" s="272"/>
      <c r="X60" s="272" t="s">
        <v>1006</v>
      </c>
    </row>
    <row r="61" spans="1:24">
      <c r="A61" s="272" t="s">
        <v>935</v>
      </c>
      <c r="B61" s="273">
        <v>2</v>
      </c>
      <c r="C61" s="273">
        <v>2026</v>
      </c>
      <c r="D61" s="272" t="s">
        <v>936</v>
      </c>
      <c r="E61" s="272"/>
      <c r="F61" s="272" t="s">
        <v>1017</v>
      </c>
      <c r="G61" s="274">
        <v>1391.15</v>
      </c>
      <c r="H61" s="272"/>
      <c r="I61" s="272" t="s">
        <v>1211</v>
      </c>
      <c r="J61" s="272"/>
      <c r="K61" s="272" t="s">
        <v>938</v>
      </c>
      <c r="L61" s="272" t="s">
        <v>1212</v>
      </c>
      <c r="M61" s="272" t="s">
        <v>940</v>
      </c>
      <c r="N61" s="272" t="s">
        <v>941</v>
      </c>
      <c r="O61" s="272"/>
      <c r="P61" s="272" t="s">
        <v>1255</v>
      </c>
      <c r="Q61" s="272" t="s">
        <v>943</v>
      </c>
      <c r="R61" s="272" t="s">
        <v>1256</v>
      </c>
      <c r="S61" s="275" t="s">
        <v>1257</v>
      </c>
      <c r="T61" s="272" t="s">
        <v>946</v>
      </c>
      <c r="U61" s="272" t="s">
        <v>947</v>
      </c>
      <c r="V61" s="272"/>
      <c r="W61" s="272"/>
      <c r="X61" s="272" t="s">
        <v>948</v>
      </c>
    </row>
    <row r="62" spans="1:24">
      <c r="A62" s="272" t="s">
        <v>935</v>
      </c>
      <c r="B62" s="273">
        <v>2</v>
      </c>
      <c r="C62" s="273">
        <v>2026</v>
      </c>
      <c r="D62" s="272" t="s">
        <v>936</v>
      </c>
      <c r="E62" s="272"/>
      <c r="F62" s="272" t="s">
        <v>1049</v>
      </c>
      <c r="G62" s="274">
        <v>1050.33</v>
      </c>
      <c r="H62" s="272"/>
      <c r="I62" s="272" t="s">
        <v>1211</v>
      </c>
      <c r="J62" s="272"/>
      <c r="K62" s="272" t="s">
        <v>938</v>
      </c>
      <c r="L62" s="272" t="s">
        <v>1212</v>
      </c>
      <c r="M62" s="272" t="s">
        <v>940</v>
      </c>
      <c r="N62" s="272" t="s">
        <v>941</v>
      </c>
      <c r="O62" s="272"/>
      <c r="P62" s="272" t="s">
        <v>1255</v>
      </c>
      <c r="Q62" s="272" t="s">
        <v>943</v>
      </c>
      <c r="R62" s="272" t="s">
        <v>1256</v>
      </c>
      <c r="S62" s="275" t="s">
        <v>1257</v>
      </c>
      <c r="T62" s="272" t="s">
        <v>946</v>
      </c>
      <c r="U62" s="272" t="s">
        <v>947</v>
      </c>
      <c r="V62" s="272"/>
      <c r="W62" s="272"/>
      <c r="X62" s="272" t="s">
        <v>948</v>
      </c>
    </row>
    <row r="63" spans="1:24">
      <c r="A63" s="272" t="s">
        <v>935</v>
      </c>
      <c r="B63" s="273">
        <v>2</v>
      </c>
      <c r="C63" s="273">
        <v>2026</v>
      </c>
      <c r="D63" s="272" t="s">
        <v>936</v>
      </c>
      <c r="E63" s="272"/>
      <c r="F63" s="272" t="s">
        <v>937</v>
      </c>
      <c r="G63" s="274">
        <v>540.33000000000004</v>
      </c>
      <c r="H63" s="272"/>
      <c r="I63" s="272" t="s">
        <v>1211</v>
      </c>
      <c r="J63" s="272"/>
      <c r="K63" s="272" t="s">
        <v>938</v>
      </c>
      <c r="L63" s="272" t="s">
        <v>1212</v>
      </c>
      <c r="M63" s="272" t="s">
        <v>940</v>
      </c>
      <c r="N63" s="272" t="s">
        <v>941</v>
      </c>
      <c r="O63" s="272"/>
      <c r="P63" s="272" t="s">
        <v>1255</v>
      </c>
      <c r="Q63" s="272" t="s">
        <v>943</v>
      </c>
      <c r="R63" s="272" t="s">
        <v>1256</v>
      </c>
      <c r="S63" s="275" t="s">
        <v>1257</v>
      </c>
      <c r="T63" s="272" t="s">
        <v>946</v>
      </c>
      <c r="U63" s="272" t="s">
        <v>947</v>
      </c>
      <c r="V63" s="272"/>
      <c r="W63" s="272"/>
      <c r="X63" s="272" t="s">
        <v>948</v>
      </c>
    </row>
    <row r="64" spans="1:24">
      <c r="A64" s="272" t="s">
        <v>935</v>
      </c>
      <c r="B64" s="273">
        <v>2</v>
      </c>
      <c r="C64" s="273">
        <v>2026</v>
      </c>
      <c r="D64" s="272" t="s">
        <v>936</v>
      </c>
      <c r="E64" s="272"/>
      <c r="F64" s="272" t="s">
        <v>994</v>
      </c>
      <c r="G64" s="274">
        <v>1171.17</v>
      </c>
      <c r="H64" s="272"/>
      <c r="I64" s="272" t="s">
        <v>1211</v>
      </c>
      <c r="J64" s="272"/>
      <c r="K64" s="272" t="s">
        <v>938</v>
      </c>
      <c r="L64" s="272" t="s">
        <v>1212</v>
      </c>
      <c r="M64" s="272" t="s">
        <v>940</v>
      </c>
      <c r="N64" s="272" t="s">
        <v>941</v>
      </c>
      <c r="O64" s="272"/>
      <c r="P64" s="272" t="s">
        <v>1255</v>
      </c>
      <c r="Q64" s="272" t="s">
        <v>943</v>
      </c>
      <c r="R64" s="272" t="s">
        <v>1256</v>
      </c>
      <c r="S64" s="275" t="s">
        <v>1257</v>
      </c>
      <c r="T64" s="272" t="s">
        <v>946</v>
      </c>
      <c r="U64" s="272" t="s">
        <v>947</v>
      </c>
      <c r="V64" s="272"/>
      <c r="W64" s="272"/>
      <c r="X64" s="272" t="s">
        <v>948</v>
      </c>
    </row>
    <row r="65" spans="1:24">
      <c r="A65" s="272" t="s">
        <v>935</v>
      </c>
      <c r="B65" s="273">
        <v>2</v>
      </c>
      <c r="C65" s="273">
        <v>2026</v>
      </c>
      <c r="D65" s="272" t="s">
        <v>936</v>
      </c>
      <c r="E65" s="272"/>
      <c r="F65" s="272" t="s">
        <v>937</v>
      </c>
      <c r="G65" s="274">
        <v>170113.95</v>
      </c>
      <c r="H65" s="272"/>
      <c r="I65" s="272" t="s">
        <v>1211</v>
      </c>
      <c r="J65" s="272"/>
      <c r="K65" s="272" t="s">
        <v>938</v>
      </c>
      <c r="L65" s="272" t="s">
        <v>1212</v>
      </c>
      <c r="M65" s="272" t="s">
        <v>997</v>
      </c>
      <c r="N65" s="272" t="s">
        <v>941</v>
      </c>
      <c r="O65" s="272"/>
      <c r="P65" s="272" t="s">
        <v>1258</v>
      </c>
      <c r="Q65" s="272" t="s">
        <v>943</v>
      </c>
      <c r="R65" s="272" t="s">
        <v>1259</v>
      </c>
      <c r="S65" s="275" t="s">
        <v>1260</v>
      </c>
      <c r="T65" s="272" t="s">
        <v>1001</v>
      </c>
      <c r="U65" s="272" t="s">
        <v>947</v>
      </c>
      <c r="V65" s="272"/>
      <c r="W65" s="272"/>
      <c r="X65" s="272" t="s">
        <v>1002</v>
      </c>
    </row>
    <row r="66" spans="1:24">
      <c r="A66" s="272" t="s">
        <v>935</v>
      </c>
      <c r="B66" s="273">
        <v>2</v>
      </c>
      <c r="C66" s="273">
        <v>2026</v>
      </c>
      <c r="D66" s="272" t="s">
        <v>936</v>
      </c>
      <c r="E66" s="272"/>
      <c r="F66" s="272" t="s">
        <v>937</v>
      </c>
      <c r="G66" s="274">
        <v>0</v>
      </c>
      <c r="H66" s="272"/>
      <c r="I66" s="272" t="s">
        <v>1211</v>
      </c>
      <c r="J66" s="272"/>
      <c r="K66" s="272" t="s">
        <v>938</v>
      </c>
      <c r="L66" s="272" t="s">
        <v>1212</v>
      </c>
      <c r="M66" s="272" t="s">
        <v>997</v>
      </c>
      <c r="N66" s="272" t="s">
        <v>941</v>
      </c>
      <c r="O66" s="272"/>
      <c r="P66" s="272" t="s">
        <v>1261</v>
      </c>
      <c r="Q66" s="272" t="s">
        <v>943</v>
      </c>
      <c r="R66" s="272" t="s">
        <v>1262</v>
      </c>
      <c r="S66" s="275" t="s">
        <v>1260</v>
      </c>
      <c r="T66" s="272" t="s">
        <v>1005</v>
      </c>
      <c r="U66" s="272" t="s">
        <v>947</v>
      </c>
      <c r="V66" s="272"/>
      <c r="W66" s="272"/>
      <c r="X66" s="272" t="s">
        <v>1006</v>
      </c>
    </row>
    <row r="67" spans="1:24">
      <c r="A67" s="272" t="s">
        <v>935</v>
      </c>
      <c r="B67" s="273">
        <v>2</v>
      </c>
      <c r="C67" s="273">
        <v>2026</v>
      </c>
      <c r="D67" s="272" t="s">
        <v>936</v>
      </c>
      <c r="E67" s="272"/>
      <c r="F67" s="272" t="s">
        <v>1017</v>
      </c>
      <c r="G67" s="274">
        <v>11.96</v>
      </c>
      <c r="H67" s="272"/>
      <c r="I67" s="272" t="s">
        <v>1211</v>
      </c>
      <c r="J67" s="272"/>
      <c r="K67" s="272" t="s">
        <v>938</v>
      </c>
      <c r="L67" s="272" t="s">
        <v>1212</v>
      </c>
      <c r="M67" s="272" t="s">
        <v>954</v>
      </c>
      <c r="N67" s="272" t="s">
        <v>941</v>
      </c>
      <c r="O67" s="272"/>
      <c r="P67" s="272" t="s">
        <v>1263</v>
      </c>
      <c r="Q67" s="272" t="s">
        <v>943</v>
      </c>
      <c r="R67" s="272" t="s">
        <v>1264</v>
      </c>
      <c r="S67" s="275" t="s">
        <v>1257</v>
      </c>
      <c r="T67" s="272" t="s">
        <v>952</v>
      </c>
      <c r="U67" s="272" t="s">
        <v>947</v>
      </c>
      <c r="V67" s="272"/>
      <c r="W67" s="272"/>
      <c r="X67" s="272" t="s">
        <v>953</v>
      </c>
    </row>
    <row r="68" spans="1:24">
      <c r="A68" s="272" t="s">
        <v>935</v>
      </c>
      <c r="B68" s="273">
        <v>2</v>
      </c>
      <c r="C68" s="273">
        <v>2026</v>
      </c>
      <c r="D68" s="272" t="s">
        <v>936</v>
      </c>
      <c r="E68" s="272"/>
      <c r="F68" s="272" t="s">
        <v>937</v>
      </c>
      <c r="G68" s="274">
        <v>232.16</v>
      </c>
      <c r="H68" s="272"/>
      <c r="I68" s="272" t="s">
        <v>1211</v>
      </c>
      <c r="J68" s="272"/>
      <c r="K68" s="272" t="s">
        <v>938</v>
      </c>
      <c r="L68" s="272" t="s">
        <v>1212</v>
      </c>
      <c r="M68" s="272" t="s">
        <v>958</v>
      </c>
      <c r="N68" s="272" t="s">
        <v>941</v>
      </c>
      <c r="O68" s="272"/>
      <c r="P68" s="272" t="s">
        <v>1263</v>
      </c>
      <c r="Q68" s="272" t="s">
        <v>943</v>
      </c>
      <c r="R68" s="272" t="s">
        <v>1264</v>
      </c>
      <c r="S68" s="275" t="s">
        <v>1257</v>
      </c>
      <c r="T68" s="272" t="s">
        <v>952</v>
      </c>
      <c r="U68" s="272" t="s">
        <v>947</v>
      </c>
      <c r="V68" s="272"/>
      <c r="W68" s="272"/>
      <c r="X68" s="272" t="s">
        <v>953</v>
      </c>
    </row>
    <row r="69" spans="1:24">
      <c r="A69" s="272" t="s">
        <v>935</v>
      </c>
      <c r="B69" s="273">
        <v>2</v>
      </c>
      <c r="C69" s="273">
        <v>2026</v>
      </c>
      <c r="D69" s="272" t="s">
        <v>936</v>
      </c>
      <c r="E69" s="272"/>
      <c r="F69" s="272" t="s">
        <v>1017</v>
      </c>
      <c r="G69" s="274">
        <v>104.81</v>
      </c>
      <c r="H69" s="272"/>
      <c r="I69" s="272" t="s">
        <v>1211</v>
      </c>
      <c r="J69" s="272"/>
      <c r="K69" s="272" t="s">
        <v>938</v>
      </c>
      <c r="L69" s="272" t="s">
        <v>1212</v>
      </c>
      <c r="M69" s="272" t="s">
        <v>955</v>
      </c>
      <c r="N69" s="272" t="s">
        <v>941</v>
      </c>
      <c r="O69" s="272"/>
      <c r="P69" s="272" t="s">
        <v>1263</v>
      </c>
      <c r="Q69" s="272" t="s">
        <v>943</v>
      </c>
      <c r="R69" s="272" t="s">
        <v>1264</v>
      </c>
      <c r="S69" s="275" t="s">
        <v>1257</v>
      </c>
      <c r="T69" s="272" t="s">
        <v>952</v>
      </c>
      <c r="U69" s="272" t="s">
        <v>947</v>
      </c>
      <c r="V69" s="272"/>
      <c r="W69" s="272"/>
      <c r="X69" s="272" t="s">
        <v>953</v>
      </c>
    </row>
    <row r="70" spans="1:24">
      <c r="A70" s="272" t="s">
        <v>935</v>
      </c>
      <c r="B70" s="273">
        <v>2</v>
      </c>
      <c r="C70" s="273">
        <v>2026</v>
      </c>
      <c r="D70" s="272" t="s">
        <v>936</v>
      </c>
      <c r="E70" s="272"/>
      <c r="F70" s="272" t="s">
        <v>1017</v>
      </c>
      <c r="G70" s="274">
        <v>262.38</v>
      </c>
      <c r="H70" s="272"/>
      <c r="I70" s="272" t="s">
        <v>1211</v>
      </c>
      <c r="J70" s="272"/>
      <c r="K70" s="272" t="s">
        <v>938</v>
      </c>
      <c r="L70" s="272" t="s">
        <v>1212</v>
      </c>
      <c r="M70" s="272" t="s">
        <v>956</v>
      </c>
      <c r="N70" s="272" t="s">
        <v>941</v>
      </c>
      <c r="O70" s="272"/>
      <c r="P70" s="272" t="s">
        <v>1263</v>
      </c>
      <c r="Q70" s="272" t="s">
        <v>943</v>
      </c>
      <c r="R70" s="272" t="s">
        <v>1264</v>
      </c>
      <c r="S70" s="275" t="s">
        <v>1257</v>
      </c>
      <c r="T70" s="272" t="s">
        <v>952</v>
      </c>
      <c r="U70" s="272" t="s">
        <v>947</v>
      </c>
      <c r="V70" s="272"/>
      <c r="W70" s="272"/>
      <c r="X70" s="272" t="s">
        <v>953</v>
      </c>
    </row>
    <row r="71" spans="1:24">
      <c r="A71" s="272" t="s">
        <v>935</v>
      </c>
      <c r="B71" s="273">
        <v>2</v>
      </c>
      <c r="C71" s="273">
        <v>2026</v>
      </c>
      <c r="D71" s="272" t="s">
        <v>936</v>
      </c>
      <c r="E71" s="272"/>
      <c r="F71" s="272" t="s">
        <v>1017</v>
      </c>
      <c r="G71" s="274">
        <v>11.84</v>
      </c>
      <c r="H71" s="272"/>
      <c r="I71" s="272" t="s">
        <v>1211</v>
      </c>
      <c r="J71" s="272"/>
      <c r="K71" s="272" t="s">
        <v>938</v>
      </c>
      <c r="L71" s="272" t="s">
        <v>1212</v>
      </c>
      <c r="M71" s="272" t="s">
        <v>957</v>
      </c>
      <c r="N71" s="272" t="s">
        <v>941</v>
      </c>
      <c r="O71" s="272"/>
      <c r="P71" s="272" t="s">
        <v>1263</v>
      </c>
      <c r="Q71" s="272" t="s">
        <v>943</v>
      </c>
      <c r="R71" s="272" t="s">
        <v>1264</v>
      </c>
      <c r="S71" s="275" t="s">
        <v>1257</v>
      </c>
      <c r="T71" s="272" t="s">
        <v>952</v>
      </c>
      <c r="U71" s="272" t="s">
        <v>947</v>
      </c>
      <c r="V71" s="272"/>
      <c r="W71" s="272"/>
      <c r="X71" s="272" t="s">
        <v>953</v>
      </c>
    </row>
    <row r="72" spans="1:24">
      <c r="A72" s="272" t="s">
        <v>935</v>
      </c>
      <c r="B72" s="273">
        <v>2</v>
      </c>
      <c r="C72" s="273">
        <v>2026</v>
      </c>
      <c r="D72" s="272" t="s">
        <v>936</v>
      </c>
      <c r="E72" s="272"/>
      <c r="F72" s="272" t="s">
        <v>1017</v>
      </c>
      <c r="G72" s="274">
        <v>597.74</v>
      </c>
      <c r="H72" s="272"/>
      <c r="I72" s="272" t="s">
        <v>1211</v>
      </c>
      <c r="J72" s="272"/>
      <c r="K72" s="272" t="s">
        <v>938</v>
      </c>
      <c r="L72" s="272" t="s">
        <v>1212</v>
      </c>
      <c r="M72" s="272" t="s">
        <v>958</v>
      </c>
      <c r="N72" s="272" t="s">
        <v>941</v>
      </c>
      <c r="O72" s="272"/>
      <c r="P72" s="272" t="s">
        <v>1263</v>
      </c>
      <c r="Q72" s="272" t="s">
        <v>943</v>
      </c>
      <c r="R72" s="272" t="s">
        <v>1264</v>
      </c>
      <c r="S72" s="275" t="s">
        <v>1257</v>
      </c>
      <c r="T72" s="272" t="s">
        <v>952</v>
      </c>
      <c r="U72" s="272" t="s">
        <v>947</v>
      </c>
      <c r="V72" s="272"/>
      <c r="W72" s="272"/>
      <c r="X72" s="272" t="s">
        <v>953</v>
      </c>
    </row>
    <row r="73" spans="1:24">
      <c r="A73" s="272" t="s">
        <v>935</v>
      </c>
      <c r="B73" s="273">
        <v>2</v>
      </c>
      <c r="C73" s="273">
        <v>2026</v>
      </c>
      <c r="D73" s="272" t="s">
        <v>936</v>
      </c>
      <c r="E73" s="272"/>
      <c r="F73" s="272" t="s">
        <v>937</v>
      </c>
      <c r="G73" s="274">
        <v>4.6500000000000004</v>
      </c>
      <c r="H73" s="272"/>
      <c r="I73" s="272" t="s">
        <v>1211</v>
      </c>
      <c r="J73" s="272"/>
      <c r="K73" s="272" t="s">
        <v>938</v>
      </c>
      <c r="L73" s="272" t="s">
        <v>1212</v>
      </c>
      <c r="M73" s="272" t="s">
        <v>954</v>
      </c>
      <c r="N73" s="272" t="s">
        <v>941</v>
      </c>
      <c r="O73" s="272"/>
      <c r="P73" s="272" t="s">
        <v>1263</v>
      </c>
      <c r="Q73" s="272" t="s">
        <v>943</v>
      </c>
      <c r="R73" s="272" t="s">
        <v>1264</v>
      </c>
      <c r="S73" s="275" t="s">
        <v>1257</v>
      </c>
      <c r="T73" s="272" t="s">
        <v>952</v>
      </c>
      <c r="U73" s="272" t="s">
        <v>947</v>
      </c>
      <c r="V73" s="272"/>
      <c r="W73" s="272"/>
      <c r="X73" s="272" t="s">
        <v>953</v>
      </c>
    </row>
    <row r="74" spans="1:24">
      <c r="A74" s="272" t="s">
        <v>935</v>
      </c>
      <c r="B74" s="273">
        <v>2</v>
      </c>
      <c r="C74" s="273">
        <v>2026</v>
      </c>
      <c r="D74" s="272" t="s">
        <v>936</v>
      </c>
      <c r="E74" s="272"/>
      <c r="F74" s="272" t="s">
        <v>994</v>
      </c>
      <c r="G74" s="274">
        <v>10.07</v>
      </c>
      <c r="H74" s="272"/>
      <c r="I74" s="272" t="s">
        <v>1211</v>
      </c>
      <c r="J74" s="272"/>
      <c r="K74" s="272" t="s">
        <v>938</v>
      </c>
      <c r="L74" s="272" t="s">
        <v>1212</v>
      </c>
      <c r="M74" s="272" t="s">
        <v>954</v>
      </c>
      <c r="N74" s="272" t="s">
        <v>941</v>
      </c>
      <c r="O74" s="272"/>
      <c r="P74" s="272" t="s">
        <v>1263</v>
      </c>
      <c r="Q74" s="272" t="s">
        <v>943</v>
      </c>
      <c r="R74" s="272" t="s">
        <v>1264</v>
      </c>
      <c r="S74" s="275" t="s">
        <v>1257</v>
      </c>
      <c r="T74" s="272" t="s">
        <v>952</v>
      </c>
      <c r="U74" s="272" t="s">
        <v>947</v>
      </c>
      <c r="V74" s="272"/>
      <c r="W74" s="272"/>
      <c r="X74" s="272" t="s">
        <v>953</v>
      </c>
    </row>
    <row r="75" spans="1:24">
      <c r="A75" s="272" t="s">
        <v>935</v>
      </c>
      <c r="B75" s="273">
        <v>2</v>
      </c>
      <c r="C75" s="273">
        <v>2026</v>
      </c>
      <c r="D75" s="272" t="s">
        <v>936</v>
      </c>
      <c r="E75" s="272"/>
      <c r="F75" s="272" t="s">
        <v>994</v>
      </c>
      <c r="G75" s="274">
        <v>9.9700000000000006</v>
      </c>
      <c r="H75" s="272"/>
      <c r="I75" s="272" t="s">
        <v>1211</v>
      </c>
      <c r="J75" s="272"/>
      <c r="K75" s="272" t="s">
        <v>938</v>
      </c>
      <c r="L75" s="272" t="s">
        <v>1212</v>
      </c>
      <c r="M75" s="272" t="s">
        <v>957</v>
      </c>
      <c r="N75" s="272" t="s">
        <v>941</v>
      </c>
      <c r="O75" s="272"/>
      <c r="P75" s="272" t="s">
        <v>1263</v>
      </c>
      <c r="Q75" s="272" t="s">
        <v>943</v>
      </c>
      <c r="R75" s="272" t="s">
        <v>1264</v>
      </c>
      <c r="S75" s="275" t="s">
        <v>1257</v>
      </c>
      <c r="T75" s="272" t="s">
        <v>952</v>
      </c>
      <c r="U75" s="272" t="s">
        <v>947</v>
      </c>
      <c r="V75" s="272"/>
      <c r="W75" s="272"/>
      <c r="X75" s="272" t="s">
        <v>953</v>
      </c>
    </row>
    <row r="76" spans="1:24">
      <c r="A76" s="272" t="s">
        <v>935</v>
      </c>
      <c r="B76" s="273">
        <v>2</v>
      </c>
      <c r="C76" s="273">
        <v>2026</v>
      </c>
      <c r="D76" s="272" t="s">
        <v>936</v>
      </c>
      <c r="E76" s="272"/>
      <c r="F76" s="272" t="s">
        <v>994</v>
      </c>
      <c r="G76" s="274">
        <v>220.89</v>
      </c>
      <c r="H76" s="272"/>
      <c r="I76" s="272" t="s">
        <v>1211</v>
      </c>
      <c r="J76" s="272"/>
      <c r="K76" s="272" t="s">
        <v>938</v>
      </c>
      <c r="L76" s="272" t="s">
        <v>1212</v>
      </c>
      <c r="M76" s="272" t="s">
        <v>956</v>
      </c>
      <c r="N76" s="272" t="s">
        <v>941</v>
      </c>
      <c r="O76" s="272"/>
      <c r="P76" s="272" t="s">
        <v>1263</v>
      </c>
      <c r="Q76" s="272" t="s">
        <v>943</v>
      </c>
      <c r="R76" s="272" t="s">
        <v>1264</v>
      </c>
      <c r="S76" s="275" t="s">
        <v>1257</v>
      </c>
      <c r="T76" s="272" t="s">
        <v>952</v>
      </c>
      <c r="U76" s="272" t="s">
        <v>947</v>
      </c>
      <c r="V76" s="272"/>
      <c r="W76" s="272"/>
      <c r="X76" s="272" t="s">
        <v>953</v>
      </c>
    </row>
    <row r="77" spans="1:24">
      <c r="A77" s="272" t="s">
        <v>935</v>
      </c>
      <c r="B77" s="273">
        <v>2</v>
      </c>
      <c r="C77" s="273">
        <v>2026</v>
      </c>
      <c r="D77" s="272" t="s">
        <v>936</v>
      </c>
      <c r="E77" s="272"/>
      <c r="F77" s="272" t="s">
        <v>937</v>
      </c>
      <c r="G77" s="274">
        <v>4.5999999999999996</v>
      </c>
      <c r="H77" s="272"/>
      <c r="I77" s="272" t="s">
        <v>1211</v>
      </c>
      <c r="J77" s="272"/>
      <c r="K77" s="272" t="s">
        <v>938</v>
      </c>
      <c r="L77" s="272" t="s">
        <v>1212</v>
      </c>
      <c r="M77" s="272" t="s">
        <v>957</v>
      </c>
      <c r="N77" s="272" t="s">
        <v>941</v>
      </c>
      <c r="O77" s="272"/>
      <c r="P77" s="272" t="s">
        <v>1263</v>
      </c>
      <c r="Q77" s="272" t="s">
        <v>943</v>
      </c>
      <c r="R77" s="272" t="s">
        <v>1264</v>
      </c>
      <c r="S77" s="275" t="s">
        <v>1257</v>
      </c>
      <c r="T77" s="272" t="s">
        <v>952</v>
      </c>
      <c r="U77" s="272" t="s">
        <v>947</v>
      </c>
      <c r="V77" s="272"/>
      <c r="W77" s="272"/>
      <c r="X77" s="272" t="s">
        <v>953</v>
      </c>
    </row>
    <row r="78" spans="1:24">
      <c r="A78" s="272" t="s">
        <v>935</v>
      </c>
      <c r="B78" s="273">
        <v>2</v>
      </c>
      <c r="C78" s="273">
        <v>2026</v>
      </c>
      <c r="D78" s="272" t="s">
        <v>936</v>
      </c>
      <c r="E78" s="272"/>
      <c r="F78" s="272" t="s">
        <v>1049</v>
      </c>
      <c r="G78" s="274">
        <v>451.3</v>
      </c>
      <c r="H78" s="272"/>
      <c r="I78" s="272" t="s">
        <v>1211</v>
      </c>
      <c r="J78" s="272"/>
      <c r="K78" s="272" t="s">
        <v>938</v>
      </c>
      <c r="L78" s="272" t="s">
        <v>1212</v>
      </c>
      <c r="M78" s="272" t="s">
        <v>958</v>
      </c>
      <c r="N78" s="272" t="s">
        <v>941</v>
      </c>
      <c r="O78" s="272"/>
      <c r="P78" s="272" t="s">
        <v>1263</v>
      </c>
      <c r="Q78" s="272" t="s">
        <v>943</v>
      </c>
      <c r="R78" s="272" t="s">
        <v>1264</v>
      </c>
      <c r="S78" s="275" t="s">
        <v>1257</v>
      </c>
      <c r="T78" s="272" t="s">
        <v>952</v>
      </c>
      <c r="U78" s="272" t="s">
        <v>947</v>
      </c>
      <c r="V78" s="272"/>
      <c r="W78" s="272"/>
      <c r="X78" s="272" t="s">
        <v>953</v>
      </c>
    </row>
    <row r="79" spans="1:24">
      <c r="A79" s="272" t="s">
        <v>935</v>
      </c>
      <c r="B79" s="273">
        <v>2</v>
      </c>
      <c r="C79" s="273">
        <v>2026</v>
      </c>
      <c r="D79" s="272" t="s">
        <v>936</v>
      </c>
      <c r="E79" s="272"/>
      <c r="F79" s="272" t="s">
        <v>994</v>
      </c>
      <c r="G79" s="274">
        <v>503.24</v>
      </c>
      <c r="H79" s="272"/>
      <c r="I79" s="272" t="s">
        <v>1211</v>
      </c>
      <c r="J79" s="272"/>
      <c r="K79" s="272" t="s">
        <v>938</v>
      </c>
      <c r="L79" s="272" t="s">
        <v>1212</v>
      </c>
      <c r="M79" s="272" t="s">
        <v>958</v>
      </c>
      <c r="N79" s="272" t="s">
        <v>941</v>
      </c>
      <c r="O79" s="272"/>
      <c r="P79" s="272" t="s">
        <v>1263</v>
      </c>
      <c r="Q79" s="272" t="s">
        <v>943</v>
      </c>
      <c r="R79" s="272" t="s">
        <v>1264</v>
      </c>
      <c r="S79" s="275" t="s">
        <v>1257</v>
      </c>
      <c r="T79" s="272" t="s">
        <v>952</v>
      </c>
      <c r="U79" s="272" t="s">
        <v>947</v>
      </c>
      <c r="V79" s="272"/>
      <c r="W79" s="272"/>
      <c r="X79" s="272" t="s">
        <v>953</v>
      </c>
    </row>
    <row r="80" spans="1:24">
      <c r="A80" s="272" t="s">
        <v>935</v>
      </c>
      <c r="B80" s="273">
        <v>2</v>
      </c>
      <c r="C80" s="273">
        <v>2026</v>
      </c>
      <c r="D80" s="272" t="s">
        <v>936</v>
      </c>
      <c r="E80" s="272"/>
      <c r="F80" s="272" t="s">
        <v>1049</v>
      </c>
      <c r="G80" s="274">
        <v>8.94</v>
      </c>
      <c r="H80" s="272"/>
      <c r="I80" s="272" t="s">
        <v>1211</v>
      </c>
      <c r="J80" s="272"/>
      <c r="K80" s="272" t="s">
        <v>938</v>
      </c>
      <c r="L80" s="272" t="s">
        <v>1212</v>
      </c>
      <c r="M80" s="272" t="s">
        <v>957</v>
      </c>
      <c r="N80" s="272" t="s">
        <v>941</v>
      </c>
      <c r="O80" s="272"/>
      <c r="P80" s="272" t="s">
        <v>1263</v>
      </c>
      <c r="Q80" s="272" t="s">
        <v>943</v>
      </c>
      <c r="R80" s="272" t="s">
        <v>1264</v>
      </c>
      <c r="S80" s="275" t="s">
        <v>1257</v>
      </c>
      <c r="T80" s="272" t="s">
        <v>952</v>
      </c>
      <c r="U80" s="272" t="s">
        <v>947</v>
      </c>
      <c r="V80" s="272"/>
      <c r="W80" s="272"/>
      <c r="X80" s="272" t="s">
        <v>953</v>
      </c>
    </row>
    <row r="81" spans="1:24">
      <c r="A81" s="272" t="s">
        <v>935</v>
      </c>
      <c r="B81" s="273">
        <v>2</v>
      </c>
      <c r="C81" s="273">
        <v>2026</v>
      </c>
      <c r="D81" s="272" t="s">
        <v>936</v>
      </c>
      <c r="E81" s="272"/>
      <c r="F81" s="272" t="s">
        <v>937</v>
      </c>
      <c r="G81" s="274">
        <v>101.9</v>
      </c>
      <c r="H81" s="272"/>
      <c r="I81" s="272" t="s">
        <v>1211</v>
      </c>
      <c r="J81" s="272"/>
      <c r="K81" s="272" t="s">
        <v>938</v>
      </c>
      <c r="L81" s="272" t="s">
        <v>1212</v>
      </c>
      <c r="M81" s="272" t="s">
        <v>956</v>
      </c>
      <c r="N81" s="272" t="s">
        <v>941</v>
      </c>
      <c r="O81" s="272"/>
      <c r="P81" s="272" t="s">
        <v>1263</v>
      </c>
      <c r="Q81" s="272" t="s">
        <v>943</v>
      </c>
      <c r="R81" s="272" t="s">
        <v>1264</v>
      </c>
      <c r="S81" s="275" t="s">
        <v>1257</v>
      </c>
      <c r="T81" s="272" t="s">
        <v>952</v>
      </c>
      <c r="U81" s="272" t="s">
        <v>947</v>
      </c>
      <c r="V81" s="272"/>
      <c r="W81" s="272"/>
      <c r="X81" s="272" t="s">
        <v>953</v>
      </c>
    </row>
    <row r="82" spans="1:24">
      <c r="A82" s="272" t="s">
        <v>935</v>
      </c>
      <c r="B82" s="273">
        <v>2</v>
      </c>
      <c r="C82" s="273">
        <v>2026</v>
      </c>
      <c r="D82" s="272" t="s">
        <v>936</v>
      </c>
      <c r="E82" s="272"/>
      <c r="F82" s="272" t="s">
        <v>1049</v>
      </c>
      <c r="G82" s="274">
        <v>198.09</v>
      </c>
      <c r="H82" s="272"/>
      <c r="I82" s="272" t="s">
        <v>1211</v>
      </c>
      <c r="J82" s="272"/>
      <c r="K82" s="272" t="s">
        <v>938</v>
      </c>
      <c r="L82" s="272" t="s">
        <v>1212</v>
      </c>
      <c r="M82" s="272" t="s">
        <v>956</v>
      </c>
      <c r="N82" s="272" t="s">
        <v>941</v>
      </c>
      <c r="O82" s="272"/>
      <c r="P82" s="272" t="s">
        <v>1263</v>
      </c>
      <c r="Q82" s="272" t="s">
        <v>943</v>
      </c>
      <c r="R82" s="272" t="s">
        <v>1264</v>
      </c>
      <c r="S82" s="275" t="s">
        <v>1257</v>
      </c>
      <c r="T82" s="272" t="s">
        <v>952</v>
      </c>
      <c r="U82" s="272" t="s">
        <v>947</v>
      </c>
      <c r="V82" s="272"/>
      <c r="W82" s="272"/>
      <c r="X82" s="272" t="s">
        <v>953</v>
      </c>
    </row>
    <row r="83" spans="1:24">
      <c r="A83" s="272" t="s">
        <v>935</v>
      </c>
      <c r="B83" s="273">
        <v>2</v>
      </c>
      <c r="C83" s="273">
        <v>2026</v>
      </c>
      <c r="D83" s="272" t="s">
        <v>936</v>
      </c>
      <c r="E83" s="272"/>
      <c r="F83" s="272" t="s">
        <v>994</v>
      </c>
      <c r="G83" s="274">
        <v>88.24</v>
      </c>
      <c r="H83" s="272"/>
      <c r="I83" s="272" t="s">
        <v>1211</v>
      </c>
      <c r="J83" s="272"/>
      <c r="K83" s="272" t="s">
        <v>938</v>
      </c>
      <c r="L83" s="272" t="s">
        <v>1212</v>
      </c>
      <c r="M83" s="272" t="s">
        <v>955</v>
      </c>
      <c r="N83" s="272" t="s">
        <v>941</v>
      </c>
      <c r="O83" s="272"/>
      <c r="P83" s="272" t="s">
        <v>1263</v>
      </c>
      <c r="Q83" s="272" t="s">
        <v>943</v>
      </c>
      <c r="R83" s="272" t="s">
        <v>1264</v>
      </c>
      <c r="S83" s="275" t="s">
        <v>1257</v>
      </c>
      <c r="T83" s="272" t="s">
        <v>952</v>
      </c>
      <c r="U83" s="272" t="s">
        <v>947</v>
      </c>
      <c r="V83" s="272"/>
      <c r="W83" s="272"/>
      <c r="X83" s="272" t="s">
        <v>953</v>
      </c>
    </row>
    <row r="84" spans="1:24">
      <c r="A84" s="272" t="s">
        <v>935</v>
      </c>
      <c r="B84" s="273">
        <v>2</v>
      </c>
      <c r="C84" s="273">
        <v>2026</v>
      </c>
      <c r="D84" s="272" t="s">
        <v>936</v>
      </c>
      <c r="E84" s="272"/>
      <c r="F84" s="272" t="s">
        <v>937</v>
      </c>
      <c r="G84" s="274">
        <v>40.71</v>
      </c>
      <c r="H84" s="272"/>
      <c r="I84" s="272" t="s">
        <v>1211</v>
      </c>
      <c r="J84" s="272"/>
      <c r="K84" s="272" t="s">
        <v>938</v>
      </c>
      <c r="L84" s="272" t="s">
        <v>1212</v>
      </c>
      <c r="M84" s="272" t="s">
        <v>955</v>
      </c>
      <c r="N84" s="272" t="s">
        <v>941</v>
      </c>
      <c r="O84" s="272"/>
      <c r="P84" s="272" t="s">
        <v>1263</v>
      </c>
      <c r="Q84" s="272" t="s">
        <v>943</v>
      </c>
      <c r="R84" s="272" t="s">
        <v>1264</v>
      </c>
      <c r="S84" s="275" t="s">
        <v>1257</v>
      </c>
      <c r="T84" s="272" t="s">
        <v>952</v>
      </c>
      <c r="U84" s="272" t="s">
        <v>947</v>
      </c>
      <c r="V84" s="272"/>
      <c r="W84" s="272"/>
      <c r="X84" s="272" t="s">
        <v>953</v>
      </c>
    </row>
    <row r="85" spans="1:24">
      <c r="A85" s="272" t="s">
        <v>935</v>
      </c>
      <c r="B85" s="273">
        <v>2</v>
      </c>
      <c r="C85" s="273">
        <v>2026</v>
      </c>
      <c r="D85" s="272" t="s">
        <v>936</v>
      </c>
      <c r="E85" s="272"/>
      <c r="F85" s="272" t="s">
        <v>1049</v>
      </c>
      <c r="G85" s="274">
        <v>79.14</v>
      </c>
      <c r="H85" s="272"/>
      <c r="I85" s="272" t="s">
        <v>1211</v>
      </c>
      <c r="J85" s="272"/>
      <c r="K85" s="272" t="s">
        <v>938</v>
      </c>
      <c r="L85" s="272" t="s">
        <v>1212</v>
      </c>
      <c r="M85" s="272" t="s">
        <v>955</v>
      </c>
      <c r="N85" s="272" t="s">
        <v>941</v>
      </c>
      <c r="O85" s="272"/>
      <c r="P85" s="272" t="s">
        <v>1263</v>
      </c>
      <c r="Q85" s="272" t="s">
        <v>943</v>
      </c>
      <c r="R85" s="272" t="s">
        <v>1264</v>
      </c>
      <c r="S85" s="275" t="s">
        <v>1257</v>
      </c>
      <c r="T85" s="272" t="s">
        <v>952</v>
      </c>
      <c r="U85" s="272" t="s">
        <v>947</v>
      </c>
      <c r="V85" s="272"/>
      <c r="W85" s="272"/>
      <c r="X85" s="272" t="s">
        <v>953</v>
      </c>
    </row>
    <row r="86" spans="1:24">
      <c r="A86" s="272" t="s">
        <v>935</v>
      </c>
      <c r="B86" s="273">
        <v>2</v>
      </c>
      <c r="C86" s="273">
        <v>2026</v>
      </c>
      <c r="D86" s="272" t="s">
        <v>936</v>
      </c>
      <c r="E86" s="272"/>
      <c r="F86" s="272" t="s">
        <v>1049</v>
      </c>
      <c r="G86" s="274">
        <v>9.0299999999999994</v>
      </c>
      <c r="H86" s="272"/>
      <c r="I86" s="272" t="s">
        <v>1211</v>
      </c>
      <c r="J86" s="272"/>
      <c r="K86" s="272" t="s">
        <v>938</v>
      </c>
      <c r="L86" s="272" t="s">
        <v>1212</v>
      </c>
      <c r="M86" s="272" t="s">
        <v>954</v>
      </c>
      <c r="N86" s="272" t="s">
        <v>941</v>
      </c>
      <c r="O86" s="272"/>
      <c r="P86" s="272" t="s">
        <v>1263</v>
      </c>
      <c r="Q86" s="272" t="s">
        <v>943</v>
      </c>
      <c r="R86" s="272" t="s">
        <v>1264</v>
      </c>
      <c r="S86" s="275" t="s">
        <v>1257</v>
      </c>
      <c r="T86" s="272" t="s">
        <v>952</v>
      </c>
      <c r="U86" s="272" t="s">
        <v>947</v>
      </c>
      <c r="V86" s="272"/>
      <c r="W86" s="272"/>
      <c r="X86" s="272" t="s">
        <v>953</v>
      </c>
    </row>
    <row r="87" spans="1:24">
      <c r="A87" s="272" t="s">
        <v>935</v>
      </c>
      <c r="B87" s="273">
        <v>2</v>
      </c>
      <c r="C87" s="273">
        <v>2026</v>
      </c>
      <c r="D87" s="272" t="s">
        <v>936</v>
      </c>
      <c r="E87" s="272"/>
      <c r="F87" s="272" t="s">
        <v>937</v>
      </c>
      <c r="G87" s="274">
        <v>0</v>
      </c>
      <c r="H87" s="272"/>
      <c r="I87" s="272" t="s">
        <v>1211</v>
      </c>
      <c r="J87" s="272"/>
      <c r="K87" s="272" t="s">
        <v>938</v>
      </c>
      <c r="L87" s="272" t="s">
        <v>1212</v>
      </c>
      <c r="M87" s="272" t="s">
        <v>997</v>
      </c>
      <c r="N87" s="272" t="s">
        <v>941</v>
      </c>
      <c r="O87" s="272"/>
      <c r="P87" s="272" t="s">
        <v>1265</v>
      </c>
      <c r="Q87" s="272" t="s">
        <v>943</v>
      </c>
      <c r="R87" s="272" t="s">
        <v>1266</v>
      </c>
      <c r="S87" s="275" t="s">
        <v>1267</v>
      </c>
      <c r="T87" s="272" t="s">
        <v>1005</v>
      </c>
      <c r="U87" s="272" t="s">
        <v>947</v>
      </c>
      <c r="V87" s="272"/>
      <c r="W87" s="272"/>
      <c r="X87" s="272" t="s">
        <v>1006</v>
      </c>
    </row>
    <row r="88" spans="1:24">
      <c r="A88" s="272" t="s">
        <v>935</v>
      </c>
      <c r="B88" s="273">
        <v>2</v>
      </c>
      <c r="C88" s="273">
        <v>2026</v>
      </c>
      <c r="D88" s="272" t="s">
        <v>936</v>
      </c>
      <c r="E88" s="272"/>
      <c r="F88" s="272" t="s">
        <v>937</v>
      </c>
      <c r="G88" s="274">
        <v>323220.02</v>
      </c>
      <c r="H88" s="272"/>
      <c r="I88" s="272" t="s">
        <v>1211</v>
      </c>
      <c r="J88" s="272"/>
      <c r="K88" s="272" t="s">
        <v>938</v>
      </c>
      <c r="L88" s="272" t="s">
        <v>1212</v>
      </c>
      <c r="M88" s="272" t="s">
        <v>997</v>
      </c>
      <c r="N88" s="272" t="s">
        <v>941</v>
      </c>
      <c r="O88" s="272"/>
      <c r="P88" s="272" t="s">
        <v>1268</v>
      </c>
      <c r="Q88" s="272" t="s">
        <v>943</v>
      </c>
      <c r="R88" s="272" t="s">
        <v>1269</v>
      </c>
      <c r="S88" s="275" t="s">
        <v>1267</v>
      </c>
      <c r="T88" s="272" t="s">
        <v>1001</v>
      </c>
      <c r="U88" s="272" t="s">
        <v>947</v>
      </c>
      <c r="V88" s="272"/>
      <c r="W88" s="272"/>
      <c r="X88" s="272" t="s">
        <v>1002</v>
      </c>
    </row>
    <row r="89" spans="1:24">
      <c r="A89" s="272" t="s">
        <v>935</v>
      </c>
      <c r="B89" s="273">
        <v>2</v>
      </c>
      <c r="C89" s="273">
        <v>2026</v>
      </c>
      <c r="D89" s="272" t="s">
        <v>936</v>
      </c>
      <c r="E89" s="272"/>
      <c r="F89" s="272" t="s">
        <v>937</v>
      </c>
      <c r="G89" s="274">
        <v>0</v>
      </c>
      <c r="H89" s="272"/>
      <c r="I89" s="272" t="s">
        <v>1211</v>
      </c>
      <c r="J89" s="272"/>
      <c r="K89" s="272" t="s">
        <v>938</v>
      </c>
      <c r="L89" s="272" t="s">
        <v>1212</v>
      </c>
      <c r="M89" s="272" t="s">
        <v>997</v>
      </c>
      <c r="N89" s="272" t="s">
        <v>941</v>
      </c>
      <c r="O89" s="272"/>
      <c r="P89" s="272" t="s">
        <v>1270</v>
      </c>
      <c r="Q89" s="272" t="s">
        <v>943</v>
      </c>
      <c r="R89" s="272" t="s">
        <v>1271</v>
      </c>
      <c r="S89" s="275" t="s">
        <v>1272</v>
      </c>
      <c r="T89" s="272" t="s">
        <v>1005</v>
      </c>
      <c r="U89" s="272" t="s">
        <v>947</v>
      </c>
      <c r="V89" s="272"/>
      <c r="W89" s="272"/>
      <c r="X89" s="272" t="s">
        <v>1006</v>
      </c>
    </row>
    <row r="90" spans="1:24">
      <c r="A90" s="272" t="s">
        <v>935</v>
      </c>
      <c r="B90" s="273">
        <v>2</v>
      </c>
      <c r="C90" s="273">
        <v>2026</v>
      </c>
      <c r="D90" s="272" t="s">
        <v>936</v>
      </c>
      <c r="E90" s="272"/>
      <c r="F90" s="272" t="s">
        <v>937</v>
      </c>
      <c r="G90" s="274">
        <v>263658.71000000002</v>
      </c>
      <c r="H90" s="272"/>
      <c r="I90" s="272" t="s">
        <v>1211</v>
      </c>
      <c r="J90" s="272"/>
      <c r="K90" s="272" t="s">
        <v>938</v>
      </c>
      <c r="L90" s="272" t="s">
        <v>1212</v>
      </c>
      <c r="M90" s="272" t="s">
        <v>997</v>
      </c>
      <c r="N90" s="272" t="s">
        <v>941</v>
      </c>
      <c r="O90" s="272"/>
      <c r="P90" s="272" t="s">
        <v>1273</v>
      </c>
      <c r="Q90" s="272" t="s">
        <v>943</v>
      </c>
      <c r="R90" s="272" t="s">
        <v>1274</v>
      </c>
      <c r="S90" s="275" t="s">
        <v>1272</v>
      </c>
      <c r="T90" s="272" t="s">
        <v>1001</v>
      </c>
      <c r="U90" s="272" t="s">
        <v>947</v>
      </c>
      <c r="V90" s="272"/>
      <c r="W90" s="272"/>
      <c r="X90" s="272" t="s">
        <v>1002</v>
      </c>
    </row>
    <row r="91" spans="1:24">
      <c r="A91" s="272" t="s">
        <v>935</v>
      </c>
      <c r="B91" s="273">
        <v>2</v>
      </c>
      <c r="C91" s="273">
        <v>2026</v>
      </c>
      <c r="D91" s="272" t="s">
        <v>936</v>
      </c>
      <c r="E91" s="272"/>
      <c r="F91" s="272" t="s">
        <v>1049</v>
      </c>
      <c r="G91" s="274">
        <v>945.38</v>
      </c>
      <c r="H91" s="272"/>
      <c r="I91" s="272" t="s">
        <v>1211</v>
      </c>
      <c r="J91" s="272"/>
      <c r="K91" s="272" t="s">
        <v>938</v>
      </c>
      <c r="L91" s="272" t="s">
        <v>1212</v>
      </c>
      <c r="M91" s="272" t="s">
        <v>940</v>
      </c>
      <c r="N91" s="272" t="s">
        <v>941</v>
      </c>
      <c r="O91" s="272"/>
      <c r="P91" s="272" t="s">
        <v>1275</v>
      </c>
      <c r="Q91" s="272" t="s">
        <v>943</v>
      </c>
      <c r="R91" s="272" t="s">
        <v>1276</v>
      </c>
      <c r="S91" s="275" t="s">
        <v>1277</v>
      </c>
      <c r="T91" s="272" t="s">
        <v>946</v>
      </c>
      <c r="U91" s="272" t="s">
        <v>947</v>
      </c>
      <c r="V91" s="272"/>
      <c r="W91" s="272"/>
      <c r="X91" s="272" t="s">
        <v>948</v>
      </c>
    </row>
    <row r="92" spans="1:24">
      <c r="A92" s="272" t="s">
        <v>935</v>
      </c>
      <c r="B92" s="273">
        <v>2</v>
      </c>
      <c r="C92" s="273">
        <v>2026</v>
      </c>
      <c r="D92" s="272" t="s">
        <v>936</v>
      </c>
      <c r="E92" s="272"/>
      <c r="F92" s="272" t="s">
        <v>994</v>
      </c>
      <c r="G92" s="274">
        <v>669.27</v>
      </c>
      <c r="H92" s="272"/>
      <c r="I92" s="272" t="s">
        <v>1211</v>
      </c>
      <c r="J92" s="272"/>
      <c r="K92" s="272" t="s">
        <v>938</v>
      </c>
      <c r="L92" s="272" t="s">
        <v>1212</v>
      </c>
      <c r="M92" s="272" t="s">
        <v>940</v>
      </c>
      <c r="N92" s="272" t="s">
        <v>941</v>
      </c>
      <c r="O92" s="272"/>
      <c r="P92" s="272" t="s">
        <v>1275</v>
      </c>
      <c r="Q92" s="272" t="s">
        <v>943</v>
      </c>
      <c r="R92" s="272" t="s">
        <v>1276</v>
      </c>
      <c r="S92" s="275" t="s">
        <v>1277</v>
      </c>
      <c r="T92" s="272" t="s">
        <v>946</v>
      </c>
      <c r="U92" s="272" t="s">
        <v>947</v>
      </c>
      <c r="V92" s="272"/>
      <c r="W92" s="272"/>
      <c r="X92" s="272" t="s">
        <v>948</v>
      </c>
    </row>
    <row r="93" spans="1:24">
      <c r="A93" s="272" t="s">
        <v>935</v>
      </c>
      <c r="B93" s="273">
        <v>2</v>
      </c>
      <c r="C93" s="273">
        <v>2026</v>
      </c>
      <c r="D93" s="272" t="s">
        <v>936</v>
      </c>
      <c r="E93" s="272"/>
      <c r="F93" s="272" t="s">
        <v>937</v>
      </c>
      <c r="G93" s="274">
        <v>540.9</v>
      </c>
      <c r="H93" s="272"/>
      <c r="I93" s="272" t="s">
        <v>1211</v>
      </c>
      <c r="J93" s="272"/>
      <c r="K93" s="272" t="s">
        <v>938</v>
      </c>
      <c r="L93" s="272" t="s">
        <v>1212</v>
      </c>
      <c r="M93" s="272" t="s">
        <v>940</v>
      </c>
      <c r="N93" s="272" t="s">
        <v>941</v>
      </c>
      <c r="O93" s="272"/>
      <c r="P93" s="272" t="s">
        <v>1275</v>
      </c>
      <c r="Q93" s="272" t="s">
        <v>943</v>
      </c>
      <c r="R93" s="272" t="s">
        <v>1276</v>
      </c>
      <c r="S93" s="275" t="s">
        <v>1277</v>
      </c>
      <c r="T93" s="272" t="s">
        <v>946</v>
      </c>
      <c r="U93" s="272" t="s">
        <v>947</v>
      </c>
      <c r="V93" s="272"/>
      <c r="W93" s="272"/>
      <c r="X93" s="272" t="s">
        <v>948</v>
      </c>
    </row>
    <row r="94" spans="1:24">
      <c r="A94" s="272" t="s">
        <v>935</v>
      </c>
      <c r="B94" s="273">
        <v>2</v>
      </c>
      <c r="C94" s="273">
        <v>2026</v>
      </c>
      <c r="D94" s="272" t="s">
        <v>936</v>
      </c>
      <c r="E94" s="272"/>
      <c r="F94" s="272" t="s">
        <v>1017</v>
      </c>
      <c r="G94" s="274">
        <v>2115.15</v>
      </c>
      <c r="H94" s="272"/>
      <c r="I94" s="272" t="s">
        <v>1211</v>
      </c>
      <c r="J94" s="272"/>
      <c r="K94" s="272" t="s">
        <v>938</v>
      </c>
      <c r="L94" s="272" t="s">
        <v>1212</v>
      </c>
      <c r="M94" s="272" t="s">
        <v>940</v>
      </c>
      <c r="N94" s="272" t="s">
        <v>941</v>
      </c>
      <c r="O94" s="272"/>
      <c r="P94" s="272" t="s">
        <v>1275</v>
      </c>
      <c r="Q94" s="272" t="s">
        <v>943</v>
      </c>
      <c r="R94" s="272" t="s">
        <v>1276</v>
      </c>
      <c r="S94" s="275" t="s">
        <v>1277</v>
      </c>
      <c r="T94" s="272" t="s">
        <v>946</v>
      </c>
      <c r="U94" s="272" t="s">
        <v>947</v>
      </c>
      <c r="V94" s="272"/>
      <c r="W94" s="272"/>
      <c r="X94" s="272" t="s">
        <v>948</v>
      </c>
    </row>
    <row r="95" spans="1:24">
      <c r="A95" s="272" t="s">
        <v>935</v>
      </c>
      <c r="B95" s="273">
        <v>2</v>
      </c>
      <c r="C95" s="273">
        <v>2026</v>
      </c>
      <c r="D95" s="272" t="s">
        <v>936</v>
      </c>
      <c r="E95" s="272"/>
      <c r="F95" s="272" t="s">
        <v>1049</v>
      </c>
      <c r="G95" s="274">
        <v>102.08</v>
      </c>
      <c r="H95" s="272"/>
      <c r="I95" s="272" t="s">
        <v>1211</v>
      </c>
      <c r="J95" s="272"/>
      <c r="K95" s="272" t="s">
        <v>938</v>
      </c>
      <c r="L95" s="272" t="s">
        <v>1212</v>
      </c>
      <c r="M95" s="272" t="s">
        <v>955</v>
      </c>
      <c r="N95" s="272" t="s">
        <v>941</v>
      </c>
      <c r="O95" s="272"/>
      <c r="P95" s="272" t="s">
        <v>1278</v>
      </c>
      <c r="Q95" s="272" t="s">
        <v>943</v>
      </c>
      <c r="R95" s="272" t="s">
        <v>1279</v>
      </c>
      <c r="S95" s="275" t="s">
        <v>1277</v>
      </c>
      <c r="T95" s="272" t="s">
        <v>952</v>
      </c>
      <c r="U95" s="272" t="s">
        <v>947</v>
      </c>
      <c r="V95" s="272"/>
      <c r="W95" s="272"/>
      <c r="X95" s="272" t="s">
        <v>953</v>
      </c>
    </row>
    <row r="96" spans="1:24">
      <c r="A96" s="272" t="s">
        <v>935</v>
      </c>
      <c r="B96" s="273">
        <v>2</v>
      </c>
      <c r="C96" s="273">
        <v>2026</v>
      </c>
      <c r="D96" s="272" t="s">
        <v>936</v>
      </c>
      <c r="E96" s="272"/>
      <c r="F96" s="272" t="s">
        <v>1049</v>
      </c>
      <c r="G96" s="274">
        <v>188.14</v>
      </c>
      <c r="H96" s="272"/>
      <c r="I96" s="272" t="s">
        <v>1211</v>
      </c>
      <c r="J96" s="272"/>
      <c r="K96" s="272" t="s">
        <v>938</v>
      </c>
      <c r="L96" s="272" t="s">
        <v>1212</v>
      </c>
      <c r="M96" s="272" t="s">
        <v>956</v>
      </c>
      <c r="N96" s="272" t="s">
        <v>941</v>
      </c>
      <c r="O96" s="272"/>
      <c r="P96" s="272" t="s">
        <v>1278</v>
      </c>
      <c r="Q96" s="272" t="s">
        <v>943</v>
      </c>
      <c r="R96" s="272" t="s">
        <v>1279</v>
      </c>
      <c r="S96" s="275" t="s">
        <v>1277</v>
      </c>
      <c r="T96" s="272" t="s">
        <v>952</v>
      </c>
      <c r="U96" s="272" t="s">
        <v>947</v>
      </c>
      <c r="V96" s="272"/>
      <c r="W96" s="272"/>
      <c r="X96" s="272" t="s">
        <v>953</v>
      </c>
    </row>
    <row r="97" spans="1:24">
      <c r="A97" s="272" t="s">
        <v>935</v>
      </c>
      <c r="B97" s="273">
        <v>2</v>
      </c>
      <c r="C97" s="273">
        <v>2026</v>
      </c>
      <c r="D97" s="272" t="s">
        <v>936</v>
      </c>
      <c r="E97" s="272"/>
      <c r="F97" s="272" t="s">
        <v>1049</v>
      </c>
      <c r="G97" s="274">
        <v>11.54</v>
      </c>
      <c r="H97" s="272"/>
      <c r="I97" s="272" t="s">
        <v>1211</v>
      </c>
      <c r="J97" s="272"/>
      <c r="K97" s="272" t="s">
        <v>938</v>
      </c>
      <c r="L97" s="272" t="s">
        <v>1212</v>
      </c>
      <c r="M97" s="272" t="s">
        <v>957</v>
      </c>
      <c r="N97" s="272" t="s">
        <v>941</v>
      </c>
      <c r="O97" s="272"/>
      <c r="P97" s="272" t="s">
        <v>1278</v>
      </c>
      <c r="Q97" s="272" t="s">
        <v>943</v>
      </c>
      <c r="R97" s="272" t="s">
        <v>1279</v>
      </c>
      <c r="S97" s="275" t="s">
        <v>1277</v>
      </c>
      <c r="T97" s="272" t="s">
        <v>952</v>
      </c>
      <c r="U97" s="272" t="s">
        <v>947</v>
      </c>
      <c r="V97" s="272"/>
      <c r="W97" s="272"/>
      <c r="X97" s="272" t="s">
        <v>953</v>
      </c>
    </row>
    <row r="98" spans="1:24">
      <c r="A98" s="272" t="s">
        <v>935</v>
      </c>
      <c r="B98" s="273">
        <v>2</v>
      </c>
      <c r="C98" s="273">
        <v>2026</v>
      </c>
      <c r="D98" s="272" t="s">
        <v>936</v>
      </c>
      <c r="E98" s="272"/>
      <c r="F98" s="272" t="s">
        <v>1049</v>
      </c>
      <c r="G98" s="274">
        <v>409.76</v>
      </c>
      <c r="H98" s="272"/>
      <c r="I98" s="272" t="s">
        <v>1211</v>
      </c>
      <c r="J98" s="272"/>
      <c r="K98" s="272" t="s">
        <v>938</v>
      </c>
      <c r="L98" s="272" t="s">
        <v>1212</v>
      </c>
      <c r="M98" s="272" t="s">
        <v>958</v>
      </c>
      <c r="N98" s="272" t="s">
        <v>941</v>
      </c>
      <c r="O98" s="272"/>
      <c r="P98" s="272" t="s">
        <v>1278</v>
      </c>
      <c r="Q98" s="272" t="s">
        <v>943</v>
      </c>
      <c r="R98" s="272" t="s">
        <v>1279</v>
      </c>
      <c r="S98" s="275" t="s">
        <v>1277</v>
      </c>
      <c r="T98" s="272" t="s">
        <v>952</v>
      </c>
      <c r="U98" s="272" t="s">
        <v>947</v>
      </c>
      <c r="V98" s="272"/>
      <c r="W98" s="272"/>
      <c r="X98" s="272" t="s">
        <v>953</v>
      </c>
    </row>
    <row r="99" spans="1:24">
      <c r="A99" s="272" t="s">
        <v>935</v>
      </c>
      <c r="B99" s="273">
        <v>2</v>
      </c>
      <c r="C99" s="273">
        <v>2026</v>
      </c>
      <c r="D99" s="272" t="s">
        <v>936</v>
      </c>
      <c r="E99" s="272"/>
      <c r="F99" s="272" t="s">
        <v>1017</v>
      </c>
      <c r="G99" s="274">
        <v>13.42</v>
      </c>
      <c r="H99" s="272"/>
      <c r="I99" s="272" t="s">
        <v>1211</v>
      </c>
      <c r="J99" s="272"/>
      <c r="K99" s="272" t="s">
        <v>938</v>
      </c>
      <c r="L99" s="272" t="s">
        <v>1212</v>
      </c>
      <c r="M99" s="272" t="s">
        <v>949</v>
      </c>
      <c r="N99" s="272" t="s">
        <v>941</v>
      </c>
      <c r="O99" s="272"/>
      <c r="P99" s="272" t="s">
        <v>1278</v>
      </c>
      <c r="Q99" s="272" t="s">
        <v>943</v>
      </c>
      <c r="R99" s="272" t="s">
        <v>1279</v>
      </c>
      <c r="S99" s="275" t="s">
        <v>1277</v>
      </c>
      <c r="T99" s="272" t="s">
        <v>952</v>
      </c>
      <c r="U99" s="272" t="s">
        <v>947</v>
      </c>
      <c r="V99" s="272"/>
      <c r="W99" s="272"/>
      <c r="X99" s="272" t="s">
        <v>953</v>
      </c>
    </row>
    <row r="100" spans="1:24">
      <c r="A100" s="272" t="s">
        <v>935</v>
      </c>
      <c r="B100" s="273">
        <v>2</v>
      </c>
      <c r="C100" s="273">
        <v>2026</v>
      </c>
      <c r="D100" s="272" t="s">
        <v>936</v>
      </c>
      <c r="E100" s="272"/>
      <c r="F100" s="272" t="s">
        <v>1017</v>
      </c>
      <c r="G100" s="274">
        <v>26.06</v>
      </c>
      <c r="H100" s="272"/>
      <c r="I100" s="272" t="s">
        <v>1211</v>
      </c>
      <c r="J100" s="272"/>
      <c r="K100" s="272" t="s">
        <v>938</v>
      </c>
      <c r="L100" s="272" t="s">
        <v>1212</v>
      </c>
      <c r="M100" s="272" t="s">
        <v>954</v>
      </c>
      <c r="N100" s="272" t="s">
        <v>941</v>
      </c>
      <c r="O100" s="272"/>
      <c r="P100" s="272" t="s">
        <v>1278</v>
      </c>
      <c r="Q100" s="272" t="s">
        <v>943</v>
      </c>
      <c r="R100" s="272" t="s">
        <v>1279</v>
      </c>
      <c r="S100" s="275" t="s">
        <v>1277</v>
      </c>
      <c r="T100" s="272" t="s">
        <v>952</v>
      </c>
      <c r="U100" s="272" t="s">
        <v>947</v>
      </c>
      <c r="V100" s="272"/>
      <c r="W100" s="272"/>
      <c r="X100" s="272" t="s">
        <v>953</v>
      </c>
    </row>
    <row r="101" spans="1:24">
      <c r="A101" s="272" t="s">
        <v>935</v>
      </c>
      <c r="B101" s="273">
        <v>2</v>
      </c>
      <c r="C101" s="273">
        <v>2026</v>
      </c>
      <c r="D101" s="272" t="s">
        <v>936</v>
      </c>
      <c r="E101" s="272"/>
      <c r="F101" s="272" t="s">
        <v>1017</v>
      </c>
      <c r="G101" s="274">
        <v>228.39</v>
      </c>
      <c r="H101" s="272"/>
      <c r="I101" s="272" t="s">
        <v>1211</v>
      </c>
      <c r="J101" s="272"/>
      <c r="K101" s="272" t="s">
        <v>938</v>
      </c>
      <c r="L101" s="272" t="s">
        <v>1212</v>
      </c>
      <c r="M101" s="272" t="s">
        <v>955</v>
      </c>
      <c r="N101" s="272" t="s">
        <v>941</v>
      </c>
      <c r="O101" s="272"/>
      <c r="P101" s="272" t="s">
        <v>1278</v>
      </c>
      <c r="Q101" s="272" t="s">
        <v>943</v>
      </c>
      <c r="R101" s="272" t="s">
        <v>1279</v>
      </c>
      <c r="S101" s="275" t="s">
        <v>1277</v>
      </c>
      <c r="T101" s="272" t="s">
        <v>952</v>
      </c>
      <c r="U101" s="272" t="s">
        <v>947</v>
      </c>
      <c r="V101" s="272"/>
      <c r="W101" s="272"/>
      <c r="X101" s="272" t="s">
        <v>953</v>
      </c>
    </row>
    <row r="102" spans="1:24">
      <c r="A102" s="272" t="s">
        <v>935</v>
      </c>
      <c r="B102" s="273">
        <v>2</v>
      </c>
      <c r="C102" s="273">
        <v>2026</v>
      </c>
      <c r="D102" s="272" t="s">
        <v>936</v>
      </c>
      <c r="E102" s="272"/>
      <c r="F102" s="272" t="s">
        <v>1017</v>
      </c>
      <c r="G102" s="274">
        <v>420.92</v>
      </c>
      <c r="H102" s="272"/>
      <c r="I102" s="272" t="s">
        <v>1211</v>
      </c>
      <c r="J102" s="272"/>
      <c r="K102" s="272" t="s">
        <v>938</v>
      </c>
      <c r="L102" s="272" t="s">
        <v>1212</v>
      </c>
      <c r="M102" s="272" t="s">
        <v>956</v>
      </c>
      <c r="N102" s="272" t="s">
        <v>941</v>
      </c>
      <c r="O102" s="272"/>
      <c r="P102" s="272" t="s">
        <v>1278</v>
      </c>
      <c r="Q102" s="272" t="s">
        <v>943</v>
      </c>
      <c r="R102" s="272" t="s">
        <v>1279</v>
      </c>
      <c r="S102" s="275" t="s">
        <v>1277</v>
      </c>
      <c r="T102" s="272" t="s">
        <v>952</v>
      </c>
      <c r="U102" s="272" t="s">
        <v>947</v>
      </c>
      <c r="V102" s="272"/>
      <c r="W102" s="272"/>
      <c r="X102" s="272" t="s">
        <v>953</v>
      </c>
    </row>
    <row r="103" spans="1:24">
      <c r="A103" s="272" t="s">
        <v>935</v>
      </c>
      <c r="B103" s="273">
        <v>2</v>
      </c>
      <c r="C103" s="273">
        <v>2026</v>
      </c>
      <c r="D103" s="272" t="s">
        <v>936</v>
      </c>
      <c r="E103" s="272"/>
      <c r="F103" s="272" t="s">
        <v>1017</v>
      </c>
      <c r="G103" s="274">
        <v>25.81</v>
      </c>
      <c r="H103" s="272"/>
      <c r="I103" s="272" t="s">
        <v>1211</v>
      </c>
      <c r="J103" s="272"/>
      <c r="K103" s="272" t="s">
        <v>938</v>
      </c>
      <c r="L103" s="272" t="s">
        <v>1212</v>
      </c>
      <c r="M103" s="272" t="s">
        <v>957</v>
      </c>
      <c r="N103" s="272" t="s">
        <v>941</v>
      </c>
      <c r="O103" s="272"/>
      <c r="P103" s="272" t="s">
        <v>1278</v>
      </c>
      <c r="Q103" s="272" t="s">
        <v>943</v>
      </c>
      <c r="R103" s="272" t="s">
        <v>1279</v>
      </c>
      <c r="S103" s="275" t="s">
        <v>1277</v>
      </c>
      <c r="T103" s="272" t="s">
        <v>952</v>
      </c>
      <c r="U103" s="272" t="s">
        <v>947</v>
      </c>
      <c r="V103" s="272"/>
      <c r="W103" s="272"/>
      <c r="X103" s="272" t="s">
        <v>953</v>
      </c>
    </row>
    <row r="104" spans="1:24">
      <c r="A104" s="272" t="s">
        <v>935</v>
      </c>
      <c r="B104" s="273">
        <v>2</v>
      </c>
      <c r="C104" s="273">
        <v>2026</v>
      </c>
      <c r="D104" s="272" t="s">
        <v>936</v>
      </c>
      <c r="E104" s="272"/>
      <c r="F104" s="272" t="s">
        <v>1017</v>
      </c>
      <c r="G104" s="274">
        <v>916.8</v>
      </c>
      <c r="H104" s="272"/>
      <c r="I104" s="272" t="s">
        <v>1211</v>
      </c>
      <c r="J104" s="272"/>
      <c r="K104" s="272" t="s">
        <v>938</v>
      </c>
      <c r="L104" s="272" t="s">
        <v>1212</v>
      </c>
      <c r="M104" s="272" t="s">
        <v>958</v>
      </c>
      <c r="N104" s="272" t="s">
        <v>941</v>
      </c>
      <c r="O104" s="272"/>
      <c r="P104" s="272" t="s">
        <v>1278</v>
      </c>
      <c r="Q104" s="272" t="s">
        <v>943</v>
      </c>
      <c r="R104" s="272" t="s">
        <v>1279</v>
      </c>
      <c r="S104" s="275" t="s">
        <v>1277</v>
      </c>
      <c r="T104" s="272" t="s">
        <v>952</v>
      </c>
      <c r="U104" s="272" t="s">
        <v>947</v>
      </c>
      <c r="V104" s="272"/>
      <c r="W104" s="272"/>
      <c r="X104" s="272" t="s">
        <v>953</v>
      </c>
    </row>
    <row r="105" spans="1:24">
      <c r="A105" s="272" t="s">
        <v>935</v>
      </c>
      <c r="B105" s="273">
        <v>2</v>
      </c>
      <c r="C105" s="273">
        <v>2026</v>
      </c>
      <c r="D105" s="272" t="s">
        <v>936</v>
      </c>
      <c r="E105" s="272"/>
      <c r="F105" s="272" t="s">
        <v>937</v>
      </c>
      <c r="G105" s="274">
        <v>3.43</v>
      </c>
      <c r="H105" s="272"/>
      <c r="I105" s="272" t="s">
        <v>1211</v>
      </c>
      <c r="J105" s="272"/>
      <c r="K105" s="272" t="s">
        <v>938</v>
      </c>
      <c r="L105" s="272" t="s">
        <v>1212</v>
      </c>
      <c r="M105" s="272" t="s">
        <v>949</v>
      </c>
      <c r="N105" s="272" t="s">
        <v>941</v>
      </c>
      <c r="O105" s="272"/>
      <c r="P105" s="272" t="s">
        <v>1278</v>
      </c>
      <c r="Q105" s="272" t="s">
        <v>943</v>
      </c>
      <c r="R105" s="272" t="s">
        <v>1279</v>
      </c>
      <c r="S105" s="275" t="s">
        <v>1277</v>
      </c>
      <c r="T105" s="272" t="s">
        <v>952</v>
      </c>
      <c r="U105" s="272" t="s">
        <v>947</v>
      </c>
      <c r="V105" s="272"/>
      <c r="W105" s="272"/>
      <c r="X105" s="272" t="s">
        <v>953</v>
      </c>
    </row>
    <row r="106" spans="1:24">
      <c r="A106" s="272" t="s">
        <v>935</v>
      </c>
      <c r="B106" s="273">
        <v>2</v>
      </c>
      <c r="C106" s="273">
        <v>2026</v>
      </c>
      <c r="D106" s="272" t="s">
        <v>936</v>
      </c>
      <c r="E106" s="272"/>
      <c r="F106" s="272" t="s">
        <v>937</v>
      </c>
      <c r="G106" s="274">
        <v>6.66</v>
      </c>
      <c r="H106" s="272"/>
      <c r="I106" s="272" t="s">
        <v>1211</v>
      </c>
      <c r="J106" s="272"/>
      <c r="K106" s="272" t="s">
        <v>938</v>
      </c>
      <c r="L106" s="272" t="s">
        <v>1212</v>
      </c>
      <c r="M106" s="272" t="s">
        <v>954</v>
      </c>
      <c r="N106" s="272" t="s">
        <v>941</v>
      </c>
      <c r="O106" s="272"/>
      <c r="P106" s="272" t="s">
        <v>1278</v>
      </c>
      <c r="Q106" s="272" t="s">
        <v>943</v>
      </c>
      <c r="R106" s="272" t="s">
        <v>1279</v>
      </c>
      <c r="S106" s="275" t="s">
        <v>1277</v>
      </c>
      <c r="T106" s="272" t="s">
        <v>952</v>
      </c>
      <c r="U106" s="272" t="s">
        <v>947</v>
      </c>
      <c r="V106" s="272"/>
      <c r="W106" s="272"/>
      <c r="X106" s="272" t="s">
        <v>953</v>
      </c>
    </row>
    <row r="107" spans="1:24">
      <c r="A107" s="272" t="s">
        <v>935</v>
      </c>
      <c r="B107" s="273">
        <v>2</v>
      </c>
      <c r="C107" s="273">
        <v>2026</v>
      </c>
      <c r="D107" s="272" t="s">
        <v>936</v>
      </c>
      <c r="E107" s="272"/>
      <c r="F107" s="272" t="s">
        <v>937</v>
      </c>
      <c r="G107" s="274">
        <v>58.41</v>
      </c>
      <c r="H107" s="272"/>
      <c r="I107" s="272" t="s">
        <v>1211</v>
      </c>
      <c r="J107" s="272"/>
      <c r="K107" s="272" t="s">
        <v>938</v>
      </c>
      <c r="L107" s="272" t="s">
        <v>1212</v>
      </c>
      <c r="M107" s="272" t="s">
        <v>955</v>
      </c>
      <c r="N107" s="272" t="s">
        <v>941</v>
      </c>
      <c r="O107" s="272"/>
      <c r="P107" s="272" t="s">
        <v>1278</v>
      </c>
      <c r="Q107" s="272" t="s">
        <v>943</v>
      </c>
      <c r="R107" s="272" t="s">
        <v>1279</v>
      </c>
      <c r="S107" s="275" t="s">
        <v>1277</v>
      </c>
      <c r="T107" s="272" t="s">
        <v>952</v>
      </c>
      <c r="U107" s="272" t="s">
        <v>947</v>
      </c>
      <c r="V107" s="272"/>
      <c r="W107" s="272"/>
      <c r="X107" s="272" t="s">
        <v>953</v>
      </c>
    </row>
    <row r="108" spans="1:24">
      <c r="A108" s="272" t="s">
        <v>935</v>
      </c>
      <c r="B108" s="273">
        <v>2</v>
      </c>
      <c r="C108" s="273">
        <v>2026</v>
      </c>
      <c r="D108" s="272" t="s">
        <v>936</v>
      </c>
      <c r="E108" s="272"/>
      <c r="F108" s="272" t="s">
        <v>937</v>
      </c>
      <c r="G108" s="274">
        <v>107.64</v>
      </c>
      <c r="H108" s="272"/>
      <c r="I108" s="272" t="s">
        <v>1211</v>
      </c>
      <c r="J108" s="272"/>
      <c r="K108" s="272" t="s">
        <v>938</v>
      </c>
      <c r="L108" s="272" t="s">
        <v>1212</v>
      </c>
      <c r="M108" s="272" t="s">
        <v>956</v>
      </c>
      <c r="N108" s="272" t="s">
        <v>941</v>
      </c>
      <c r="O108" s="272"/>
      <c r="P108" s="272" t="s">
        <v>1278</v>
      </c>
      <c r="Q108" s="272" t="s">
        <v>943</v>
      </c>
      <c r="R108" s="272" t="s">
        <v>1279</v>
      </c>
      <c r="S108" s="275" t="s">
        <v>1277</v>
      </c>
      <c r="T108" s="272" t="s">
        <v>952</v>
      </c>
      <c r="U108" s="272" t="s">
        <v>947</v>
      </c>
      <c r="V108" s="272"/>
      <c r="W108" s="272"/>
      <c r="X108" s="272" t="s">
        <v>953</v>
      </c>
    </row>
    <row r="109" spans="1:24">
      <c r="A109" s="272" t="s">
        <v>935</v>
      </c>
      <c r="B109" s="273">
        <v>2</v>
      </c>
      <c r="C109" s="273">
        <v>2026</v>
      </c>
      <c r="D109" s="272" t="s">
        <v>936</v>
      </c>
      <c r="E109" s="272"/>
      <c r="F109" s="272" t="s">
        <v>937</v>
      </c>
      <c r="G109" s="274">
        <v>6.6</v>
      </c>
      <c r="H109" s="272"/>
      <c r="I109" s="272" t="s">
        <v>1211</v>
      </c>
      <c r="J109" s="272"/>
      <c r="K109" s="272" t="s">
        <v>938</v>
      </c>
      <c r="L109" s="272" t="s">
        <v>1212</v>
      </c>
      <c r="M109" s="272" t="s">
        <v>957</v>
      </c>
      <c r="N109" s="272" t="s">
        <v>941</v>
      </c>
      <c r="O109" s="272"/>
      <c r="P109" s="272" t="s">
        <v>1278</v>
      </c>
      <c r="Q109" s="272" t="s">
        <v>943</v>
      </c>
      <c r="R109" s="272" t="s">
        <v>1279</v>
      </c>
      <c r="S109" s="275" t="s">
        <v>1277</v>
      </c>
      <c r="T109" s="272" t="s">
        <v>952</v>
      </c>
      <c r="U109" s="272" t="s">
        <v>947</v>
      </c>
      <c r="V109" s="272"/>
      <c r="W109" s="272"/>
      <c r="X109" s="272" t="s">
        <v>953</v>
      </c>
    </row>
    <row r="110" spans="1:24">
      <c r="A110" s="272" t="s">
        <v>935</v>
      </c>
      <c r="B110" s="273">
        <v>2</v>
      </c>
      <c r="C110" s="273">
        <v>2026</v>
      </c>
      <c r="D110" s="272" t="s">
        <v>936</v>
      </c>
      <c r="E110" s="272"/>
      <c r="F110" s="272" t="s">
        <v>937</v>
      </c>
      <c r="G110" s="274">
        <v>234.43</v>
      </c>
      <c r="H110" s="272"/>
      <c r="I110" s="272" t="s">
        <v>1211</v>
      </c>
      <c r="J110" s="272"/>
      <c r="K110" s="272" t="s">
        <v>938</v>
      </c>
      <c r="L110" s="272" t="s">
        <v>1212</v>
      </c>
      <c r="M110" s="272" t="s">
        <v>958</v>
      </c>
      <c r="N110" s="272" t="s">
        <v>941</v>
      </c>
      <c r="O110" s="272"/>
      <c r="P110" s="272" t="s">
        <v>1278</v>
      </c>
      <c r="Q110" s="272" t="s">
        <v>943</v>
      </c>
      <c r="R110" s="272" t="s">
        <v>1279</v>
      </c>
      <c r="S110" s="275" t="s">
        <v>1277</v>
      </c>
      <c r="T110" s="272" t="s">
        <v>952</v>
      </c>
      <c r="U110" s="272" t="s">
        <v>947</v>
      </c>
      <c r="V110" s="272"/>
      <c r="W110" s="272"/>
      <c r="X110" s="272" t="s">
        <v>953</v>
      </c>
    </row>
    <row r="111" spans="1:24">
      <c r="A111" s="272" t="s">
        <v>935</v>
      </c>
      <c r="B111" s="273">
        <v>2</v>
      </c>
      <c r="C111" s="273">
        <v>2026</v>
      </c>
      <c r="D111" s="272" t="s">
        <v>936</v>
      </c>
      <c r="E111" s="272"/>
      <c r="F111" s="272" t="s">
        <v>994</v>
      </c>
      <c r="G111" s="274">
        <v>4.25</v>
      </c>
      <c r="H111" s="272"/>
      <c r="I111" s="272" t="s">
        <v>1211</v>
      </c>
      <c r="J111" s="272"/>
      <c r="K111" s="272" t="s">
        <v>938</v>
      </c>
      <c r="L111" s="272" t="s">
        <v>1212</v>
      </c>
      <c r="M111" s="272" t="s">
        <v>949</v>
      </c>
      <c r="N111" s="272" t="s">
        <v>941</v>
      </c>
      <c r="O111" s="272"/>
      <c r="P111" s="272" t="s">
        <v>1278</v>
      </c>
      <c r="Q111" s="272" t="s">
        <v>943</v>
      </c>
      <c r="R111" s="272" t="s">
        <v>1279</v>
      </c>
      <c r="S111" s="275" t="s">
        <v>1277</v>
      </c>
      <c r="T111" s="272" t="s">
        <v>952</v>
      </c>
      <c r="U111" s="272" t="s">
        <v>947</v>
      </c>
      <c r="V111" s="272"/>
      <c r="W111" s="272"/>
      <c r="X111" s="272" t="s">
        <v>953</v>
      </c>
    </row>
    <row r="112" spans="1:24">
      <c r="A112" s="272" t="s">
        <v>935</v>
      </c>
      <c r="B112" s="273">
        <v>2</v>
      </c>
      <c r="C112" s="273">
        <v>2026</v>
      </c>
      <c r="D112" s="272" t="s">
        <v>936</v>
      </c>
      <c r="E112" s="272"/>
      <c r="F112" s="272" t="s">
        <v>994</v>
      </c>
      <c r="G112" s="274">
        <v>8.25</v>
      </c>
      <c r="H112" s="272"/>
      <c r="I112" s="272" t="s">
        <v>1211</v>
      </c>
      <c r="J112" s="272"/>
      <c r="K112" s="272" t="s">
        <v>938</v>
      </c>
      <c r="L112" s="272" t="s">
        <v>1212</v>
      </c>
      <c r="M112" s="272" t="s">
        <v>954</v>
      </c>
      <c r="N112" s="272" t="s">
        <v>941</v>
      </c>
      <c r="O112" s="272"/>
      <c r="P112" s="272" t="s">
        <v>1278</v>
      </c>
      <c r="Q112" s="272" t="s">
        <v>943</v>
      </c>
      <c r="R112" s="272" t="s">
        <v>1279</v>
      </c>
      <c r="S112" s="275" t="s">
        <v>1277</v>
      </c>
      <c r="T112" s="272" t="s">
        <v>952</v>
      </c>
      <c r="U112" s="272" t="s">
        <v>947</v>
      </c>
      <c r="V112" s="272"/>
      <c r="W112" s="272"/>
      <c r="X112" s="272" t="s">
        <v>953</v>
      </c>
    </row>
    <row r="113" spans="1:24">
      <c r="A113" s="272" t="s">
        <v>935</v>
      </c>
      <c r="B113" s="273">
        <v>2</v>
      </c>
      <c r="C113" s="273">
        <v>2026</v>
      </c>
      <c r="D113" s="272" t="s">
        <v>936</v>
      </c>
      <c r="E113" s="272"/>
      <c r="F113" s="272" t="s">
        <v>994</v>
      </c>
      <c r="G113" s="274">
        <v>72.27</v>
      </c>
      <c r="H113" s="272"/>
      <c r="I113" s="272" t="s">
        <v>1211</v>
      </c>
      <c r="J113" s="272"/>
      <c r="K113" s="272" t="s">
        <v>938</v>
      </c>
      <c r="L113" s="272" t="s">
        <v>1212</v>
      </c>
      <c r="M113" s="272" t="s">
        <v>955</v>
      </c>
      <c r="N113" s="272" t="s">
        <v>941</v>
      </c>
      <c r="O113" s="272"/>
      <c r="P113" s="272" t="s">
        <v>1278</v>
      </c>
      <c r="Q113" s="272" t="s">
        <v>943</v>
      </c>
      <c r="R113" s="272" t="s">
        <v>1279</v>
      </c>
      <c r="S113" s="275" t="s">
        <v>1277</v>
      </c>
      <c r="T113" s="272" t="s">
        <v>952</v>
      </c>
      <c r="U113" s="272" t="s">
        <v>947</v>
      </c>
      <c r="V113" s="272"/>
      <c r="W113" s="272"/>
      <c r="X113" s="272" t="s">
        <v>953</v>
      </c>
    </row>
    <row r="114" spans="1:24">
      <c r="A114" s="272" t="s">
        <v>935</v>
      </c>
      <c r="B114" s="273">
        <v>2</v>
      </c>
      <c r="C114" s="273">
        <v>2026</v>
      </c>
      <c r="D114" s="272" t="s">
        <v>936</v>
      </c>
      <c r="E114" s="272"/>
      <c r="F114" s="272" t="s">
        <v>994</v>
      </c>
      <c r="G114" s="274">
        <v>133.19</v>
      </c>
      <c r="H114" s="272"/>
      <c r="I114" s="272" t="s">
        <v>1211</v>
      </c>
      <c r="J114" s="272"/>
      <c r="K114" s="272" t="s">
        <v>938</v>
      </c>
      <c r="L114" s="272" t="s">
        <v>1212</v>
      </c>
      <c r="M114" s="272" t="s">
        <v>956</v>
      </c>
      <c r="N114" s="272" t="s">
        <v>941</v>
      </c>
      <c r="O114" s="272"/>
      <c r="P114" s="272" t="s">
        <v>1278</v>
      </c>
      <c r="Q114" s="272" t="s">
        <v>943</v>
      </c>
      <c r="R114" s="272" t="s">
        <v>1279</v>
      </c>
      <c r="S114" s="275" t="s">
        <v>1277</v>
      </c>
      <c r="T114" s="272" t="s">
        <v>952</v>
      </c>
      <c r="U114" s="272" t="s">
        <v>947</v>
      </c>
      <c r="V114" s="272"/>
      <c r="W114" s="272"/>
      <c r="X114" s="272" t="s">
        <v>953</v>
      </c>
    </row>
    <row r="115" spans="1:24">
      <c r="A115" s="272" t="s">
        <v>935</v>
      </c>
      <c r="B115" s="273">
        <v>2</v>
      </c>
      <c r="C115" s="273">
        <v>2026</v>
      </c>
      <c r="D115" s="272" t="s">
        <v>936</v>
      </c>
      <c r="E115" s="272"/>
      <c r="F115" s="272" t="s">
        <v>994</v>
      </c>
      <c r="G115" s="274">
        <v>8.17</v>
      </c>
      <c r="H115" s="272"/>
      <c r="I115" s="272" t="s">
        <v>1211</v>
      </c>
      <c r="J115" s="272"/>
      <c r="K115" s="272" t="s">
        <v>938</v>
      </c>
      <c r="L115" s="272" t="s">
        <v>1212</v>
      </c>
      <c r="M115" s="272" t="s">
        <v>957</v>
      </c>
      <c r="N115" s="272" t="s">
        <v>941</v>
      </c>
      <c r="O115" s="272"/>
      <c r="P115" s="272" t="s">
        <v>1278</v>
      </c>
      <c r="Q115" s="272" t="s">
        <v>943</v>
      </c>
      <c r="R115" s="272" t="s">
        <v>1279</v>
      </c>
      <c r="S115" s="275" t="s">
        <v>1277</v>
      </c>
      <c r="T115" s="272" t="s">
        <v>952</v>
      </c>
      <c r="U115" s="272" t="s">
        <v>947</v>
      </c>
      <c r="V115" s="272"/>
      <c r="W115" s="272"/>
      <c r="X115" s="272" t="s">
        <v>953</v>
      </c>
    </row>
    <row r="116" spans="1:24">
      <c r="A116" s="272" t="s">
        <v>935</v>
      </c>
      <c r="B116" s="273">
        <v>2</v>
      </c>
      <c r="C116" s="273">
        <v>2026</v>
      </c>
      <c r="D116" s="272" t="s">
        <v>936</v>
      </c>
      <c r="E116" s="272"/>
      <c r="F116" s="272" t="s">
        <v>994</v>
      </c>
      <c r="G116" s="274">
        <v>290.10000000000002</v>
      </c>
      <c r="H116" s="272"/>
      <c r="I116" s="272" t="s">
        <v>1211</v>
      </c>
      <c r="J116" s="272"/>
      <c r="K116" s="272" t="s">
        <v>938</v>
      </c>
      <c r="L116" s="272" t="s">
        <v>1212</v>
      </c>
      <c r="M116" s="272" t="s">
        <v>958</v>
      </c>
      <c r="N116" s="272" t="s">
        <v>941</v>
      </c>
      <c r="O116" s="272"/>
      <c r="P116" s="272" t="s">
        <v>1278</v>
      </c>
      <c r="Q116" s="272" t="s">
        <v>943</v>
      </c>
      <c r="R116" s="272" t="s">
        <v>1279</v>
      </c>
      <c r="S116" s="275" t="s">
        <v>1277</v>
      </c>
      <c r="T116" s="272" t="s">
        <v>952</v>
      </c>
      <c r="U116" s="272" t="s">
        <v>947</v>
      </c>
      <c r="V116" s="272"/>
      <c r="W116" s="272"/>
      <c r="X116" s="272" t="s">
        <v>953</v>
      </c>
    </row>
    <row r="117" spans="1:24">
      <c r="A117" s="272" t="s">
        <v>935</v>
      </c>
      <c r="B117" s="273">
        <v>2</v>
      </c>
      <c r="C117" s="273">
        <v>2026</v>
      </c>
      <c r="D117" s="272" t="s">
        <v>936</v>
      </c>
      <c r="E117" s="272"/>
      <c r="F117" s="272" t="s">
        <v>1049</v>
      </c>
      <c r="G117" s="274">
        <v>11.65</v>
      </c>
      <c r="H117" s="272"/>
      <c r="I117" s="272" t="s">
        <v>1211</v>
      </c>
      <c r="J117" s="272"/>
      <c r="K117" s="272" t="s">
        <v>938</v>
      </c>
      <c r="L117" s="272" t="s">
        <v>1212</v>
      </c>
      <c r="M117" s="272" t="s">
        <v>954</v>
      </c>
      <c r="N117" s="272" t="s">
        <v>941</v>
      </c>
      <c r="O117" s="272"/>
      <c r="P117" s="272" t="s">
        <v>1278</v>
      </c>
      <c r="Q117" s="272" t="s">
        <v>943</v>
      </c>
      <c r="R117" s="272" t="s">
        <v>1279</v>
      </c>
      <c r="S117" s="275" t="s">
        <v>1277</v>
      </c>
      <c r="T117" s="272" t="s">
        <v>952</v>
      </c>
      <c r="U117" s="272" t="s">
        <v>947</v>
      </c>
      <c r="V117" s="272"/>
      <c r="W117" s="272"/>
      <c r="X117" s="272" t="s">
        <v>953</v>
      </c>
    </row>
    <row r="118" spans="1:24">
      <c r="A118" s="272" t="s">
        <v>935</v>
      </c>
      <c r="B118" s="273">
        <v>2</v>
      </c>
      <c r="C118" s="273">
        <v>2026</v>
      </c>
      <c r="D118" s="272" t="s">
        <v>936</v>
      </c>
      <c r="E118" s="272"/>
      <c r="F118" s="272" t="s">
        <v>1049</v>
      </c>
      <c r="G118" s="274">
        <v>6</v>
      </c>
      <c r="H118" s="272"/>
      <c r="I118" s="272" t="s">
        <v>1211</v>
      </c>
      <c r="J118" s="272"/>
      <c r="K118" s="272" t="s">
        <v>938</v>
      </c>
      <c r="L118" s="272" t="s">
        <v>1212</v>
      </c>
      <c r="M118" s="272" t="s">
        <v>949</v>
      </c>
      <c r="N118" s="272" t="s">
        <v>941</v>
      </c>
      <c r="O118" s="272"/>
      <c r="P118" s="272" t="s">
        <v>1278</v>
      </c>
      <c r="Q118" s="272" t="s">
        <v>943</v>
      </c>
      <c r="R118" s="272" t="s">
        <v>1279</v>
      </c>
      <c r="S118" s="275" t="s">
        <v>1277</v>
      </c>
      <c r="T118" s="272" t="s">
        <v>952</v>
      </c>
      <c r="U118" s="272" t="s">
        <v>947</v>
      </c>
      <c r="V118" s="272"/>
      <c r="W118" s="272"/>
      <c r="X118" s="272" t="s">
        <v>953</v>
      </c>
    </row>
    <row r="119" spans="1:24">
      <c r="A119" s="272" t="s">
        <v>935</v>
      </c>
      <c r="B119" s="273">
        <v>2</v>
      </c>
      <c r="C119" s="273">
        <v>2026</v>
      </c>
      <c r="D119" s="272" t="s">
        <v>936</v>
      </c>
      <c r="E119" s="272"/>
      <c r="F119" s="272" t="s">
        <v>937</v>
      </c>
      <c r="G119" s="274">
        <v>370713.07</v>
      </c>
      <c r="H119" s="272"/>
      <c r="I119" s="272" t="s">
        <v>1211</v>
      </c>
      <c r="J119" s="272"/>
      <c r="K119" s="272" t="s">
        <v>938</v>
      </c>
      <c r="L119" s="272" t="s">
        <v>1212</v>
      </c>
      <c r="M119" s="272" t="s">
        <v>997</v>
      </c>
      <c r="N119" s="272" t="s">
        <v>941</v>
      </c>
      <c r="O119" s="272"/>
      <c r="P119" s="272" t="s">
        <v>1280</v>
      </c>
      <c r="Q119" s="272" t="s">
        <v>943</v>
      </c>
      <c r="R119" s="272" t="s">
        <v>1281</v>
      </c>
      <c r="S119" s="275" t="s">
        <v>1282</v>
      </c>
      <c r="T119" s="272" t="s">
        <v>1001</v>
      </c>
      <c r="U119" s="272" t="s">
        <v>947</v>
      </c>
      <c r="V119" s="272"/>
      <c r="W119" s="272"/>
      <c r="X119" s="272" t="s">
        <v>1002</v>
      </c>
    </row>
    <row r="120" spans="1:24">
      <c r="A120" s="272" t="s">
        <v>935</v>
      </c>
      <c r="B120" s="273">
        <v>2</v>
      </c>
      <c r="C120" s="273">
        <v>2026</v>
      </c>
      <c r="D120" s="272" t="s">
        <v>936</v>
      </c>
      <c r="E120" s="272"/>
      <c r="F120" s="272" t="s">
        <v>937</v>
      </c>
      <c r="G120" s="274">
        <v>0</v>
      </c>
      <c r="H120" s="272"/>
      <c r="I120" s="272" t="s">
        <v>1211</v>
      </c>
      <c r="J120" s="272"/>
      <c r="K120" s="272" t="s">
        <v>938</v>
      </c>
      <c r="L120" s="272" t="s">
        <v>1212</v>
      </c>
      <c r="M120" s="272" t="s">
        <v>997</v>
      </c>
      <c r="N120" s="272" t="s">
        <v>941</v>
      </c>
      <c r="O120" s="272"/>
      <c r="P120" s="272" t="s">
        <v>1283</v>
      </c>
      <c r="Q120" s="272" t="s">
        <v>943</v>
      </c>
      <c r="R120" s="272" t="s">
        <v>1284</v>
      </c>
      <c r="S120" s="275" t="s">
        <v>1282</v>
      </c>
      <c r="T120" s="272" t="s">
        <v>1005</v>
      </c>
      <c r="U120" s="272" t="s">
        <v>947</v>
      </c>
      <c r="V120" s="272"/>
      <c r="W120" s="272"/>
      <c r="X120" s="272" t="s">
        <v>1006</v>
      </c>
    </row>
    <row r="121" spans="1:24">
      <c r="A121" s="272" t="s">
        <v>935</v>
      </c>
      <c r="B121" s="273">
        <v>2</v>
      </c>
      <c r="C121" s="273">
        <v>2026</v>
      </c>
      <c r="D121" s="272" t="s">
        <v>936</v>
      </c>
      <c r="E121" s="272"/>
      <c r="F121" s="272" t="s">
        <v>937</v>
      </c>
      <c r="G121" s="274">
        <v>243309.18</v>
      </c>
      <c r="H121" s="272"/>
      <c r="I121" s="272" t="s">
        <v>1211</v>
      </c>
      <c r="J121" s="272"/>
      <c r="K121" s="272" t="s">
        <v>938</v>
      </c>
      <c r="L121" s="272" t="s">
        <v>1212</v>
      </c>
      <c r="M121" s="272" t="s">
        <v>997</v>
      </c>
      <c r="N121" s="272" t="s">
        <v>941</v>
      </c>
      <c r="O121" s="272"/>
      <c r="P121" s="272" t="s">
        <v>1285</v>
      </c>
      <c r="Q121" s="272" t="s">
        <v>943</v>
      </c>
      <c r="R121" s="272" t="s">
        <v>1286</v>
      </c>
      <c r="S121" s="275" t="s">
        <v>1287</v>
      </c>
      <c r="T121" s="272" t="s">
        <v>1001</v>
      </c>
      <c r="U121" s="272" t="s">
        <v>947</v>
      </c>
      <c r="V121" s="272"/>
      <c r="W121" s="272"/>
      <c r="X121" s="272" t="s">
        <v>1002</v>
      </c>
    </row>
    <row r="122" spans="1:24">
      <c r="A122" s="272" t="s">
        <v>935</v>
      </c>
      <c r="B122" s="273">
        <v>2</v>
      </c>
      <c r="C122" s="273">
        <v>2026</v>
      </c>
      <c r="D122" s="272" t="s">
        <v>936</v>
      </c>
      <c r="E122" s="272"/>
      <c r="F122" s="272" t="s">
        <v>937</v>
      </c>
      <c r="G122" s="274">
        <v>0</v>
      </c>
      <c r="H122" s="272"/>
      <c r="I122" s="272" t="s">
        <v>1211</v>
      </c>
      <c r="J122" s="272"/>
      <c r="K122" s="272" t="s">
        <v>938</v>
      </c>
      <c r="L122" s="272" t="s">
        <v>1212</v>
      </c>
      <c r="M122" s="272" t="s">
        <v>997</v>
      </c>
      <c r="N122" s="272" t="s">
        <v>941</v>
      </c>
      <c r="O122" s="272"/>
      <c r="P122" s="272" t="s">
        <v>1288</v>
      </c>
      <c r="Q122" s="272" t="s">
        <v>943</v>
      </c>
      <c r="R122" s="272" t="s">
        <v>1289</v>
      </c>
      <c r="S122" s="275" t="s">
        <v>1287</v>
      </c>
      <c r="T122" s="272" t="s">
        <v>1005</v>
      </c>
      <c r="U122" s="272" t="s">
        <v>947</v>
      </c>
      <c r="V122" s="272"/>
      <c r="W122" s="272"/>
      <c r="X122" s="272" t="s">
        <v>1006</v>
      </c>
    </row>
    <row r="123" spans="1:24">
      <c r="A123" s="272" t="s">
        <v>935</v>
      </c>
      <c r="B123" s="273">
        <v>2</v>
      </c>
      <c r="C123" s="273">
        <v>2026</v>
      </c>
      <c r="D123" s="272" t="s">
        <v>936</v>
      </c>
      <c r="E123" s="272"/>
      <c r="F123" s="272" t="s">
        <v>937</v>
      </c>
      <c r="G123" s="274">
        <v>25.37</v>
      </c>
      <c r="H123" s="272" t="s">
        <v>959</v>
      </c>
      <c r="I123" s="272" t="s">
        <v>1211</v>
      </c>
      <c r="J123" s="272"/>
      <c r="K123" s="272" t="s">
        <v>938</v>
      </c>
      <c r="L123" s="272" t="s">
        <v>1212</v>
      </c>
      <c r="M123" s="272" t="s">
        <v>960</v>
      </c>
      <c r="N123" s="272" t="s">
        <v>941</v>
      </c>
      <c r="O123" s="272"/>
      <c r="P123" s="272" t="s">
        <v>1290</v>
      </c>
      <c r="Q123" s="272" t="s">
        <v>943</v>
      </c>
      <c r="R123" s="272" t="s">
        <v>1291</v>
      </c>
      <c r="S123" s="275" t="s">
        <v>1292</v>
      </c>
      <c r="T123" s="272" t="s">
        <v>964</v>
      </c>
      <c r="U123" s="272" t="s">
        <v>947</v>
      </c>
      <c r="V123" s="272"/>
      <c r="W123" s="272"/>
      <c r="X123" s="272" t="s">
        <v>965</v>
      </c>
    </row>
    <row r="124" spans="1:24">
      <c r="A124" s="272" t="s">
        <v>935</v>
      </c>
      <c r="B124" s="273">
        <v>2</v>
      </c>
      <c r="C124" s="273">
        <v>2026</v>
      </c>
      <c r="D124" s="272" t="s">
        <v>936</v>
      </c>
      <c r="E124" s="272"/>
      <c r="F124" s="272" t="s">
        <v>1049</v>
      </c>
      <c r="G124" s="274">
        <v>199.94</v>
      </c>
      <c r="H124" s="272" t="s">
        <v>959</v>
      </c>
      <c r="I124" s="272" t="s">
        <v>1211</v>
      </c>
      <c r="J124" s="272"/>
      <c r="K124" s="272" t="s">
        <v>938</v>
      </c>
      <c r="L124" s="272" t="s">
        <v>1212</v>
      </c>
      <c r="M124" s="272" t="s">
        <v>960</v>
      </c>
      <c r="N124" s="272" t="s">
        <v>941</v>
      </c>
      <c r="O124" s="272"/>
      <c r="P124" s="272" t="s">
        <v>1290</v>
      </c>
      <c r="Q124" s="272" t="s">
        <v>943</v>
      </c>
      <c r="R124" s="272" t="s">
        <v>1291</v>
      </c>
      <c r="S124" s="275" t="s">
        <v>1292</v>
      </c>
      <c r="T124" s="272" t="s">
        <v>964</v>
      </c>
      <c r="U124" s="272" t="s">
        <v>947</v>
      </c>
      <c r="V124" s="272"/>
      <c r="W124" s="272"/>
      <c r="X124" s="272" t="s">
        <v>965</v>
      </c>
    </row>
    <row r="125" spans="1:24">
      <c r="A125" s="272" t="s">
        <v>935</v>
      </c>
      <c r="B125" s="273">
        <v>2</v>
      </c>
      <c r="C125" s="273">
        <v>2026</v>
      </c>
      <c r="D125" s="272" t="s">
        <v>936</v>
      </c>
      <c r="E125" s="272"/>
      <c r="F125" s="272" t="s">
        <v>1017</v>
      </c>
      <c r="G125" s="274">
        <v>441.41</v>
      </c>
      <c r="H125" s="272" t="s">
        <v>959</v>
      </c>
      <c r="I125" s="272" t="s">
        <v>1211</v>
      </c>
      <c r="J125" s="272"/>
      <c r="K125" s="272" t="s">
        <v>938</v>
      </c>
      <c r="L125" s="272" t="s">
        <v>1212</v>
      </c>
      <c r="M125" s="272" t="s">
        <v>960</v>
      </c>
      <c r="N125" s="272" t="s">
        <v>941</v>
      </c>
      <c r="O125" s="272"/>
      <c r="P125" s="272" t="s">
        <v>1290</v>
      </c>
      <c r="Q125" s="272" t="s">
        <v>943</v>
      </c>
      <c r="R125" s="272" t="s">
        <v>1291</v>
      </c>
      <c r="S125" s="275" t="s">
        <v>1292</v>
      </c>
      <c r="T125" s="272" t="s">
        <v>964</v>
      </c>
      <c r="U125" s="272" t="s">
        <v>947</v>
      </c>
      <c r="V125" s="272"/>
      <c r="W125" s="272"/>
      <c r="X125" s="272" t="s">
        <v>965</v>
      </c>
    </row>
    <row r="126" spans="1:24">
      <c r="A126" s="272" t="s">
        <v>935</v>
      </c>
      <c r="B126" s="273">
        <v>2</v>
      </c>
      <c r="C126" s="273">
        <v>2026</v>
      </c>
      <c r="D126" s="272" t="s">
        <v>936</v>
      </c>
      <c r="E126" s="272"/>
      <c r="F126" s="272" t="s">
        <v>994</v>
      </c>
      <c r="G126" s="274">
        <v>111.46</v>
      </c>
      <c r="H126" s="272" t="s">
        <v>959</v>
      </c>
      <c r="I126" s="272" t="s">
        <v>1211</v>
      </c>
      <c r="J126" s="272"/>
      <c r="K126" s="272" t="s">
        <v>938</v>
      </c>
      <c r="L126" s="272" t="s">
        <v>1212</v>
      </c>
      <c r="M126" s="272" t="s">
        <v>960</v>
      </c>
      <c r="N126" s="272" t="s">
        <v>941</v>
      </c>
      <c r="O126" s="272"/>
      <c r="P126" s="272" t="s">
        <v>1290</v>
      </c>
      <c r="Q126" s="272" t="s">
        <v>943</v>
      </c>
      <c r="R126" s="272" t="s">
        <v>1291</v>
      </c>
      <c r="S126" s="275" t="s">
        <v>1292</v>
      </c>
      <c r="T126" s="272" t="s">
        <v>964</v>
      </c>
      <c r="U126" s="272" t="s">
        <v>947</v>
      </c>
      <c r="V126" s="272"/>
      <c r="W126" s="272"/>
      <c r="X126" s="272" t="s">
        <v>965</v>
      </c>
    </row>
    <row r="127" spans="1:24">
      <c r="A127" s="272" t="s">
        <v>935</v>
      </c>
      <c r="B127" s="273">
        <v>2</v>
      </c>
      <c r="C127" s="273">
        <v>2026</v>
      </c>
      <c r="D127" s="272" t="s">
        <v>936</v>
      </c>
      <c r="E127" s="272"/>
      <c r="F127" s="272" t="s">
        <v>937</v>
      </c>
      <c r="G127" s="274">
        <v>33180.1</v>
      </c>
      <c r="H127" s="272"/>
      <c r="I127" s="272" t="s">
        <v>1211</v>
      </c>
      <c r="J127" s="272"/>
      <c r="K127" s="272" t="s">
        <v>938</v>
      </c>
      <c r="L127" s="272" t="s">
        <v>1212</v>
      </c>
      <c r="M127" s="272" t="s">
        <v>971</v>
      </c>
      <c r="N127" s="272" t="s">
        <v>941</v>
      </c>
      <c r="O127" s="272"/>
      <c r="P127" s="272" t="s">
        <v>1293</v>
      </c>
      <c r="Q127" s="272" t="s">
        <v>943</v>
      </c>
      <c r="R127" s="272" t="s">
        <v>1294</v>
      </c>
      <c r="S127" s="275" t="s">
        <v>1292</v>
      </c>
      <c r="T127" s="272" t="s">
        <v>974</v>
      </c>
      <c r="U127" s="272" t="s">
        <v>947</v>
      </c>
      <c r="V127" s="272" t="s">
        <v>975</v>
      </c>
      <c r="W127" s="272"/>
      <c r="X127" s="272" t="s">
        <v>982</v>
      </c>
    </row>
    <row r="128" spans="1:24">
      <c r="A128" s="272" t="s">
        <v>935</v>
      </c>
      <c r="B128" s="273">
        <v>2</v>
      </c>
      <c r="C128" s="273">
        <v>2026</v>
      </c>
      <c r="D128" s="272" t="s">
        <v>936</v>
      </c>
      <c r="E128" s="272"/>
      <c r="F128" s="272" t="s">
        <v>937</v>
      </c>
      <c r="G128" s="274">
        <v>301682.84000000003</v>
      </c>
      <c r="H128" s="272"/>
      <c r="I128" s="272" t="s">
        <v>1211</v>
      </c>
      <c r="J128" s="272"/>
      <c r="K128" s="272" t="s">
        <v>938</v>
      </c>
      <c r="L128" s="272" t="s">
        <v>1212</v>
      </c>
      <c r="M128" s="272" t="s">
        <v>971</v>
      </c>
      <c r="N128" s="272" t="s">
        <v>941</v>
      </c>
      <c r="O128" s="272"/>
      <c r="P128" s="272" t="s">
        <v>1293</v>
      </c>
      <c r="Q128" s="272" t="s">
        <v>943</v>
      </c>
      <c r="R128" s="272" t="s">
        <v>1294</v>
      </c>
      <c r="S128" s="275" t="s">
        <v>1292</v>
      </c>
      <c r="T128" s="272" t="s">
        <v>974</v>
      </c>
      <c r="U128" s="272" t="s">
        <v>947</v>
      </c>
      <c r="V128" s="272" t="s">
        <v>975</v>
      </c>
      <c r="W128" s="272"/>
      <c r="X128" s="272" t="s">
        <v>1233</v>
      </c>
    </row>
    <row r="129" spans="1:24">
      <c r="A129" s="272" t="s">
        <v>935</v>
      </c>
      <c r="B129" s="273">
        <v>2</v>
      </c>
      <c r="C129" s="273">
        <v>2026</v>
      </c>
      <c r="D129" s="272" t="s">
        <v>936</v>
      </c>
      <c r="E129" s="272"/>
      <c r="F129" s="272" t="s">
        <v>937</v>
      </c>
      <c r="G129" s="274">
        <v>5797.75</v>
      </c>
      <c r="H129" s="272"/>
      <c r="I129" s="272" t="s">
        <v>1211</v>
      </c>
      <c r="J129" s="272"/>
      <c r="K129" s="272" t="s">
        <v>938</v>
      </c>
      <c r="L129" s="272" t="s">
        <v>1212</v>
      </c>
      <c r="M129" s="272" t="s">
        <v>971</v>
      </c>
      <c r="N129" s="272" t="s">
        <v>941</v>
      </c>
      <c r="O129" s="272"/>
      <c r="P129" s="272" t="s">
        <v>1293</v>
      </c>
      <c r="Q129" s="272" t="s">
        <v>943</v>
      </c>
      <c r="R129" s="272" t="s">
        <v>1294</v>
      </c>
      <c r="S129" s="275" t="s">
        <v>1292</v>
      </c>
      <c r="T129" s="272" t="s">
        <v>974</v>
      </c>
      <c r="U129" s="272" t="s">
        <v>947</v>
      </c>
      <c r="V129" s="272" t="s">
        <v>975</v>
      </c>
      <c r="W129" s="272"/>
      <c r="X129" s="272" t="s">
        <v>1295</v>
      </c>
    </row>
    <row r="130" spans="1:24">
      <c r="A130" s="272" t="s">
        <v>935</v>
      </c>
      <c r="B130" s="273">
        <v>2</v>
      </c>
      <c r="C130" s="273">
        <v>2026</v>
      </c>
      <c r="D130" s="272" t="s">
        <v>936</v>
      </c>
      <c r="E130" s="272"/>
      <c r="F130" s="272" t="s">
        <v>937</v>
      </c>
      <c r="G130" s="274">
        <v>240776.89</v>
      </c>
      <c r="H130" s="272"/>
      <c r="I130" s="272" t="s">
        <v>1211</v>
      </c>
      <c r="J130" s="272"/>
      <c r="K130" s="272" t="s">
        <v>938</v>
      </c>
      <c r="L130" s="272" t="s">
        <v>1212</v>
      </c>
      <c r="M130" s="272" t="s">
        <v>971</v>
      </c>
      <c r="N130" s="272" t="s">
        <v>941</v>
      </c>
      <c r="O130" s="272"/>
      <c r="P130" s="272" t="s">
        <v>1293</v>
      </c>
      <c r="Q130" s="272" t="s">
        <v>943</v>
      </c>
      <c r="R130" s="272" t="s">
        <v>1294</v>
      </c>
      <c r="S130" s="275" t="s">
        <v>1292</v>
      </c>
      <c r="T130" s="272" t="s">
        <v>974</v>
      </c>
      <c r="U130" s="272" t="s">
        <v>947</v>
      </c>
      <c r="V130" s="272" t="s">
        <v>975</v>
      </c>
      <c r="W130" s="272"/>
      <c r="X130" s="272" t="s">
        <v>1087</v>
      </c>
    </row>
    <row r="131" spans="1:24">
      <c r="A131" s="272" t="s">
        <v>935</v>
      </c>
      <c r="B131" s="273">
        <v>2</v>
      </c>
      <c r="C131" s="273">
        <v>2026</v>
      </c>
      <c r="D131" s="272" t="s">
        <v>936</v>
      </c>
      <c r="E131" s="272"/>
      <c r="F131" s="272" t="s">
        <v>937</v>
      </c>
      <c r="G131" s="274">
        <v>5797.75</v>
      </c>
      <c r="H131" s="272"/>
      <c r="I131" s="272" t="s">
        <v>1211</v>
      </c>
      <c r="J131" s="272"/>
      <c r="K131" s="272" t="s">
        <v>938</v>
      </c>
      <c r="L131" s="272" t="s">
        <v>1212</v>
      </c>
      <c r="M131" s="272" t="s">
        <v>971</v>
      </c>
      <c r="N131" s="272" t="s">
        <v>941</v>
      </c>
      <c r="O131" s="272"/>
      <c r="P131" s="272" t="s">
        <v>1293</v>
      </c>
      <c r="Q131" s="272" t="s">
        <v>943</v>
      </c>
      <c r="R131" s="272" t="s">
        <v>1294</v>
      </c>
      <c r="S131" s="275" t="s">
        <v>1292</v>
      </c>
      <c r="T131" s="272" t="s">
        <v>974</v>
      </c>
      <c r="U131" s="272" t="s">
        <v>947</v>
      </c>
      <c r="V131" s="272" t="s">
        <v>975</v>
      </c>
      <c r="W131" s="272"/>
      <c r="X131" s="272" t="s">
        <v>1088</v>
      </c>
    </row>
    <row r="132" spans="1:24">
      <c r="A132" s="272" t="s">
        <v>935</v>
      </c>
      <c r="B132" s="273">
        <v>2</v>
      </c>
      <c r="C132" s="273">
        <v>2026</v>
      </c>
      <c r="D132" s="272" t="s">
        <v>936</v>
      </c>
      <c r="E132" s="272"/>
      <c r="F132" s="272" t="s">
        <v>937</v>
      </c>
      <c r="G132" s="274">
        <v>58123.85</v>
      </c>
      <c r="H132" s="272"/>
      <c r="I132" s="272" t="s">
        <v>1211</v>
      </c>
      <c r="J132" s="272"/>
      <c r="K132" s="272" t="s">
        <v>938</v>
      </c>
      <c r="L132" s="272" t="s">
        <v>1212</v>
      </c>
      <c r="M132" s="272" t="s">
        <v>971</v>
      </c>
      <c r="N132" s="272" t="s">
        <v>941</v>
      </c>
      <c r="O132" s="272"/>
      <c r="P132" s="272" t="s">
        <v>1293</v>
      </c>
      <c r="Q132" s="272" t="s">
        <v>943</v>
      </c>
      <c r="R132" s="272" t="s">
        <v>1294</v>
      </c>
      <c r="S132" s="275" t="s">
        <v>1292</v>
      </c>
      <c r="T132" s="272" t="s">
        <v>974</v>
      </c>
      <c r="U132" s="272" t="s">
        <v>947</v>
      </c>
      <c r="V132" s="272" t="s">
        <v>975</v>
      </c>
      <c r="W132" s="272"/>
      <c r="X132" s="272" t="s">
        <v>979</v>
      </c>
    </row>
    <row r="133" spans="1:24">
      <c r="A133" s="272" t="s">
        <v>935</v>
      </c>
      <c r="B133" s="273">
        <v>2</v>
      </c>
      <c r="C133" s="273">
        <v>2026</v>
      </c>
      <c r="D133" s="272" t="s">
        <v>936</v>
      </c>
      <c r="E133" s="272"/>
      <c r="F133" s="272" t="s">
        <v>1017</v>
      </c>
      <c r="G133" s="274">
        <v>40.409999999999997</v>
      </c>
      <c r="H133" s="272"/>
      <c r="I133" s="272" t="s">
        <v>1211</v>
      </c>
      <c r="J133" s="272"/>
      <c r="K133" s="272" t="s">
        <v>938</v>
      </c>
      <c r="L133" s="272" t="s">
        <v>1212</v>
      </c>
      <c r="M133" s="272" t="s">
        <v>966</v>
      </c>
      <c r="N133" s="272" t="s">
        <v>941</v>
      </c>
      <c r="O133" s="272"/>
      <c r="P133" s="272" t="s">
        <v>1296</v>
      </c>
      <c r="Q133" s="272" t="s">
        <v>943</v>
      </c>
      <c r="R133" s="272" t="s">
        <v>1297</v>
      </c>
      <c r="S133" s="275" t="s">
        <v>1292</v>
      </c>
      <c r="T133" s="272" t="s">
        <v>969</v>
      </c>
      <c r="U133" s="272" t="s">
        <v>947</v>
      </c>
      <c r="V133" s="272"/>
      <c r="W133" s="272"/>
      <c r="X133" s="272" t="s">
        <v>970</v>
      </c>
    </row>
    <row r="134" spans="1:24">
      <c r="A134" s="272" t="s">
        <v>935</v>
      </c>
      <c r="B134" s="273">
        <v>2</v>
      </c>
      <c r="C134" s="273">
        <v>2026</v>
      </c>
      <c r="D134" s="272" t="s">
        <v>936</v>
      </c>
      <c r="E134" s="272"/>
      <c r="F134" s="272" t="s">
        <v>1049</v>
      </c>
      <c r="G134" s="274">
        <v>49.42</v>
      </c>
      <c r="H134" s="272"/>
      <c r="I134" s="272" t="s">
        <v>1211</v>
      </c>
      <c r="J134" s="272"/>
      <c r="K134" s="272" t="s">
        <v>938</v>
      </c>
      <c r="L134" s="272" t="s">
        <v>1212</v>
      </c>
      <c r="M134" s="272" t="s">
        <v>966</v>
      </c>
      <c r="N134" s="272" t="s">
        <v>941</v>
      </c>
      <c r="O134" s="272"/>
      <c r="P134" s="272" t="s">
        <v>1296</v>
      </c>
      <c r="Q134" s="272" t="s">
        <v>943</v>
      </c>
      <c r="R134" s="272" t="s">
        <v>1297</v>
      </c>
      <c r="S134" s="275" t="s">
        <v>1292</v>
      </c>
      <c r="T134" s="272" t="s">
        <v>969</v>
      </c>
      <c r="U134" s="272" t="s">
        <v>947</v>
      </c>
      <c r="V134" s="272"/>
      <c r="W134" s="272"/>
      <c r="X134" s="272" t="s">
        <v>970</v>
      </c>
    </row>
    <row r="135" spans="1:24">
      <c r="A135" s="272" t="s">
        <v>935</v>
      </c>
      <c r="B135" s="273">
        <v>2</v>
      </c>
      <c r="C135" s="273">
        <v>2026</v>
      </c>
      <c r="D135" s="272" t="s">
        <v>936</v>
      </c>
      <c r="E135" s="272"/>
      <c r="F135" s="272" t="s">
        <v>994</v>
      </c>
      <c r="G135" s="274">
        <v>0.92</v>
      </c>
      <c r="H135" s="272"/>
      <c r="I135" s="272" t="s">
        <v>1211</v>
      </c>
      <c r="J135" s="272"/>
      <c r="K135" s="272" t="s">
        <v>938</v>
      </c>
      <c r="L135" s="272" t="s">
        <v>1212</v>
      </c>
      <c r="M135" s="272" t="s">
        <v>966</v>
      </c>
      <c r="N135" s="272" t="s">
        <v>941</v>
      </c>
      <c r="O135" s="272"/>
      <c r="P135" s="272" t="s">
        <v>1296</v>
      </c>
      <c r="Q135" s="272" t="s">
        <v>943</v>
      </c>
      <c r="R135" s="272" t="s">
        <v>1297</v>
      </c>
      <c r="S135" s="275" t="s">
        <v>1292</v>
      </c>
      <c r="T135" s="272" t="s">
        <v>969</v>
      </c>
      <c r="U135" s="272" t="s">
        <v>947</v>
      </c>
      <c r="V135" s="272"/>
      <c r="W135" s="272"/>
      <c r="X135" s="272" t="s">
        <v>970</v>
      </c>
    </row>
    <row r="136" spans="1:24">
      <c r="A136" s="272" t="s">
        <v>935</v>
      </c>
      <c r="B136" s="273">
        <v>2</v>
      </c>
      <c r="C136" s="273">
        <v>2026</v>
      </c>
      <c r="D136" s="272" t="s">
        <v>936</v>
      </c>
      <c r="E136" s="272"/>
      <c r="F136" s="272" t="s">
        <v>937</v>
      </c>
      <c r="G136" s="274">
        <v>14.36</v>
      </c>
      <c r="H136" s="272"/>
      <c r="I136" s="272" t="s">
        <v>1211</v>
      </c>
      <c r="J136" s="272"/>
      <c r="K136" s="272" t="s">
        <v>938</v>
      </c>
      <c r="L136" s="272" t="s">
        <v>1212</v>
      </c>
      <c r="M136" s="272" t="s">
        <v>966</v>
      </c>
      <c r="N136" s="272" t="s">
        <v>941</v>
      </c>
      <c r="O136" s="272"/>
      <c r="P136" s="272" t="s">
        <v>1296</v>
      </c>
      <c r="Q136" s="272" t="s">
        <v>943</v>
      </c>
      <c r="R136" s="272" t="s">
        <v>1297</v>
      </c>
      <c r="S136" s="275" t="s">
        <v>1292</v>
      </c>
      <c r="T136" s="272" t="s">
        <v>969</v>
      </c>
      <c r="U136" s="272" t="s">
        <v>947</v>
      </c>
      <c r="V136" s="272"/>
      <c r="W136" s="272"/>
      <c r="X136" s="272" t="s">
        <v>970</v>
      </c>
    </row>
    <row r="137" spans="1:24">
      <c r="A137" s="272" t="s">
        <v>935</v>
      </c>
      <c r="B137" s="273">
        <v>2</v>
      </c>
      <c r="C137" s="273">
        <v>2026</v>
      </c>
      <c r="D137" s="272" t="s">
        <v>936</v>
      </c>
      <c r="E137" s="272"/>
      <c r="F137" s="272" t="s">
        <v>937</v>
      </c>
      <c r="G137" s="274">
        <v>108.49</v>
      </c>
      <c r="H137" s="272" t="s">
        <v>959</v>
      </c>
      <c r="I137" s="272" t="s">
        <v>1211</v>
      </c>
      <c r="J137" s="272"/>
      <c r="K137" s="272" t="s">
        <v>938</v>
      </c>
      <c r="L137" s="272" t="s">
        <v>1212</v>
      </c>
      <c r="M137" s="272" t="s">
        <v>983</v>
      </c>
      <c r="N137" s="272" t="s">
        <v>941</v>
      </c>
      <c r="O137" s="272"/>
      <c r="P137" s="272" t="s">
        <v>1298</v>
      </c>
      <c r="Q137" s="272" t="s">
        <v>943</v>
      </c>
      <c r="R137" s="272" t="s">
        <v>1299</v>
      </c>
      <c r="S137" s="275" t="s">
        <v>1292</v>
      </c>
      <c r="T137" s="272" t="s">
        <v>986</v>
      </c>
      <c r="U137" s="272" t="s">
        <v>947</v>
      </c>
      <c r="V137" s="272"/>
      <c r="W137" s="272"/>
      <c r="X137" s="272" t="s">
        <v>987</v>
      </c>
    </row>
    <row r="138" spans="1:24">
      <c r="A138" s="272" t="s">
        <v>935</v>
      </c>
      <c r="B138" s="273">
        <v>2</v>
      </c>
      <c r="C138" s="273">
        <v>2026</v>
      </c>
      <c r="D138" s="272" t="s">
        <v>936</v>
      </c>
      <c r="E138" s="272"/>
      <c r="F138" s="272" t="s">
        <v>1017</v>
      </c>
      <c r="G138" s="274">
        <v>351.81</v>
      </c>
      <c r="H138" s="272" t="s">
        <v>959</v>
      </c>
      <c r="I138" s="272" t="s">
        <v>1211</v>
      </c>
      <c r="J138" s="272"/>
      <c r="K138" s="272" t="s">
        <v>938</v>
      </c>
      <c r="L138" s="272" t="s">
        <v>1212</v>
      </c>
      <c r="M138" s="272" t="s">
        <v>983</v>
      </c>
      <c r="N138" s="272" t="s">
        <v>941</v>
      </c>
      <c r="O138" s="272"/>
      <c r="P138" s="272" t="s">
        <v>1298</v>
      </c>
      <c r="Q138" s="272" t="s">
        <v>943</v>
      </c>
      <c r="R138" s="272" t="s">
        <v>1299</v>
      </c>
      <c r="S138" s="275" t="s">
        <v>1292</v>
      </c>
      <c r="T138" s="272" t="s">
        <v>986</v>
      </c>
      <c r="U138" s="272" t="s">
        <v>947</v>
      </c>
      <c r="V138" s="272"/>
      <c r="W138" s="272"/>
      <c r="X138" s="272" t="s">
        <v>987</v>
      </c>
    </row>
    <row r="139" spans="1:24">
      <c r="A139" s="272" t="s">
        <v>935</v>
      </c>
      <c r="B139" s="273">
        <v>2</v>
      </c>
      <c r="C139" s="273">
        <v>2026</v>
      </c>
      <c r="D139" s="272" t="s">
        <v>936</v>
      </c>
      <c r="E139" s="272"/>
      <c r="F139" s="272" t="s">
        <v>994</v>
      </c>
      <c r="G139" s="274">
        <v>184.66</v>
      </c>
      <c r="H139" s="272" t="s">
        <v>959</v>
      </c>
      <c r="I139" s="272" t="s">
        <v>1211</v>
      </c>
      <c r="J139" s="272"/>
      <c r="K139" s="272" t="s">
        <v>938</v>
      </c>
      <c r="L139" s="272" t="s">
        <v>1212</v>
      </c>
      <c r="M139" s="272" t="s">
        <v>983</v>
      </c>
      <c r="N139" s="272" t="s">
        <v>941</v>
      </c>
      <c r="O139" s="272"/>
      <c r="P139" s="272" t="s">
        <v>1298</v>
      </c>
      <c r="Q139" s="272" t="s">
        <v>943</v>
      </c>
      <c r="R139" s="272" t="s">
        <v>1299</v>
      </c>
      <c r="S139" s="275" t="s">
        <v>1292</v>
      </c>
      <c r="T139" s="272" t="s">
        <v>986</v>
      </c>
      <c r="U139" s="272" t="s">
        <v>947</v>
      </c>
      <c r="V139" s="272"/>
      <c r="W139" s="272"/>
      <c r="X139" s="272" t="s">
        <v>987</v>
      </c>
    </row>
    <row r="141" spans="1:24">
      <c r="G141" s="277">
        <f>SUM(G2:G140)</f>
        <v>2608881.79</v>
      </c>
    </row>
  </sheetData>
  <printOptions gridLines="1" gridLinesSet="0"/>
  <pageMargins left="0.75" right="0.75" top="1" bottom="1" header="0.5" footer="0.5"/>
  <pageSetup orientation="portrait" verticalDpi="0" r:id="rId1"/>
  <headerFooter alignWithMargins="0">
    <oddHeader>&amp;F</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5F16D-0A28-4762-9479-6D6C640FC0E5}">
  <dimension ref="B6:S43"/>
  <sheetViews>
    <sheetView workbookViewId="0">
      <selection activeCell="V10" sqref="V10"/>
    </sheetView>
  </sheetViews>
  <sheetFormatPr defaultRowHeight="15"/>
  <cols>
    <col min="3" max="3" width="1.140625" customWidth="1"/>
    <col min="5" max="5" width="1.140625" customWidth="1"/>
    <col min="6" max="6" width="14.140625" bestFit="1" customWidth="1"/>
    <col min="7" max="7" width="1.140625" customWidth="1"/>
    <col min="9" max="9" width="1.140625" customWidth="1"/>
    <col min="12" max="12" width="1.140625" customWidth="1"/>
    <col min="14" max="14" width="1" customWidth="1"/>
    <col min="15" max="15" width="9.5703125" bestFit="1" customWidth="1"/>
    <col min="16" max="16" width="0.85546875" customWidth="1"/>
    <col min="18" max="18" width="0.85546875" customWidth="1"/>
    <col min="19" max="19" width="9.5703125" bestFit="1" customWidth="1"/>
  </cols>
  <sheetData>
    <row r="6" spans="2:19">
      <c r="B6" s="199"/>
      <c r="C6" s="200"/>
      <c r="D6" s="200"/>
      <c r="E6" s="200"/>
      <c r="F6" s="200"/>
      <c r="G6" s="200"/>
      <c r="H6" s="200" t="s">
        <v>1300</v>
      </c>
      <c r="I6" s="200"/>
      <c r="J6" s="200"/>
      <c r="K6" s="200"/>
      <c r="L6" s="200"/>
      <c r="M6" s="200"/>
      <c r="N6" s="200"/>
      <c r="O6" s="200"/>
      <c r="P6" s="200"/>
      <c r="Q6" s="200"/>
      <c r="R6" s="200"/>
      <c r="S6" s="200"/>
    </row>
    <row r="7" spans="2:19">
      <c r="B7" s="199"/>
      <c r="C7" s="200"/>
      <c r="D7" s="200"/>
      <c r="E7" s="200"/>
      <c r="F7" s="200"/>
      <c r="G7" s="200"/>
      <c r="H7" s="200"/>
      <c r="I7" s="200"/>
      <c r="J7" s="200"/>
      <c r="K7" s="200"/>
      <c r="L7" s="200"/>
      <c r="M7" s="200"/>
      <c r="N7" s="200"/>
      <c r="O7" s="200"/>
      <c r="P7" s="200"/>
      <c r="Q7" s="200"/>
      <c r="R7" s="200"/>
      <c r="S7" s="200"/>
    </row>
    <row r="8" spans="2:19">
      <c r="B8" s="199"/>
      <c r="C8" s="200"/>
      <c r="D8" s="200"/>
      <c r="E8" s="200"/>
      <c r="F8" s="200"/>
      <c r="G8" s="200"/>
      <c r="H8" s="200"/>
      <c r="I8" s="200"/>
      <c r="J8" s="199"/>
      <c r="K8" s="200"/>
      <c r="L8" s="200"/>
      <c r="M8" s="200"/>
      <c r="N8" s="200"/>
      <c r="O8" s="200"/>
      <c r="P8" s="200"/>
      <c r="Q8" s="200"/>
      <c r="R8" s="200"/>
      <c r="S8" s="200"/>
    </row>
    <row r="9" spans="2:19" ht="15.75" thickBot="1">
      <c r="B9" s="199"/>
      <c r="C9" s="200"/>
      <c r="D9" s="200"/>
      <c r="E9" s="200"/>
      <c r="F9" s="200"/>
      <c r="G9" s="200"/>
      <c r="H9" s="200"/>
      <c r="I9" s="200"/>
      <c r="J9" s="200"/>
      <c r="K9" s="200"/>
      <c r="L9" s="200"/>
      <c r="M9" s="200"/>
      <c r="N9" s="200"/>
      <c r="O9" s="200"/>
      <c r="P9" s="200"/>
      <c r="Q9" s="200"/>
      <c r="R9" s="200"/>
      <c r="S9" s="200"/>
    </row>
    <row r="10" spans="2:19" ht="39.75" thickBot="1">
      <c r="B10" s="201" t="s">
        <v>1301</v>
      </c>
      <c r="C10" s="202"/>
      <c r="D10" s="203" t="s">
        <v>1302</v>
      </c>
      <c r="E10" s="204"/>
      <c r="F10" s="205" t="s">
        <v>1303</v>
      </c>
      <c r="G10" s="204"/>
      <c r="H10" s="205" t="s">
        <v>1304</v>
      </c>
      <c r="I10" s="204"/>
      <c r="J10" s="205" t="s">
        <v>1305</v>
      </c>
      <c r="K10" s="206"/>
      <c r="L10" s="204"/>
      <c r="M10" s="205" t="s">
        <v>1306</v>
      </c>
      <c r="N10" s="207"/>
      <c r="O10" s="208" t="s">
        <v>1307</v>
      </c>
      <c r="P10" s="209"/>
      <c r="Q10" s="210"/>
      <c r="R10" s="207"/>
      <c r="S10" s="211" t="s">
        <v>1308</v>
      </c>
    </row>
    <row r="11" spans="2:19" ht="15.75" thickBot="1">
      <c r="B11" s="212"/>
      <c r="C11" s="213"/>
      <c r="D11" s="214"/>
      <c r="E11" s="213"/>
      <c r="F11" s="215"/>
      <c r="G11" s="213"/>
      <c r="H11" s="214"/>
      <c r="I11" s="213"/>
      <c r="J11" s="214"/>
      <c r="K11" s="216"/>
      <c r="L11" s="213"/>
      <c r="M11" s="214"/>
      <c r="N11" s="217"/>
      <c r="O11" s="218"/>
      <c r="P11" s="219"/>
      <c r="Q11" s="220"/>
      <c r="R11" s="217"/>
      <c r="S11" s="221"/>
    </row>
    <row r="12" spans="2:19">
      <c r="B12" s="222"/>
      <c r="C12" s="223"/>
      <c r="D12" s="224"/>
      <c r="E12" s="223"/>
      <c r="F12" s="224"/>
      <c r="G12" s="223"/>
      <c r="H12" s="224"/>
      <c r="I12" s="223"/>
      <c r="J12" s="224"/>
      <c r="K12" s="225"/>
      <c r="L12" s="223"/>
      <c r="M12" s="224"/>
      <c r="N12" s="223"/>
      <c r="O12" s="224"/>
      <c r="P12" s="223"/>
      <c r="Q12" s="224"/>
      <c r="R12" s="223"/>
      <c r="S12" s="226"/>
    </row>
    <row r="13" spans="2:19">
      <c r="B13" s="227">
        <v>1</v>
      </c>
      <c r="C13" s="217"/>
      <c r="D13" s="220" t="s">
        <v>1309</v>
      </c>
      <c r="E13" s="217"/>
      <c r="F13" s="228">
        <v>990515425</v>
      </c>
      <c r="G13" s="220"/>
      <c r="H13" s="229">
        <f>F13/F18</f>
        <v>0.53867848895824511</v>
      </c>
      <c r="I13" s="220"/>
      <c r="J13" s="230">
        <v>5.4899999999999997E-2</v>
      </c>
      <c r="K13" s="231"/>
      <c r="L13" s="217"/>
      <c r="M13" s="229">
        <f>ROUND(H13*J13,4)</f>
        <v>2.9600000000000001E-2</v>
      </c>
      <c r="N13" s="217"/>
      <c r="O13" s="232">
        <f>O42</f>
        <v>1.004437</v>
      </c>
      <c r="P13" s="217"/>
      <c r="Q13" s="233"/>
      <c r="R13" s="217"/>
      <c r="S13" s="234">
        <f>ROUND(M13*O13,6)</f>
        <v>2.9731E-2</v>
      </c>
    </row>
    <row r="14" spans="2:19">
      <c r="B14" s="227">
        <f>+B13+1</f>
        <v>2</v>
      </c>
      <c r="C14" s="217"/>
      <c r="D14" s="220" t="s">
        <v>1310</v>
      </c>
      <c r="E14" s="217"/>
      <c r="F14" s="228">
        <v>0</v>
      </c>
      <c r="G14" s="217"/>
      <c r="H14" s="229">
        <f>F14/F18</f>
        <v>0</v>
      </c>
      <c r="I14" s="217"/>
      <c r="J14" s="230"/>
      <c r="K14" s="231"/>
      <c r="L14" s="217"/>
      <c r="M14" s="229"/>
      <c r="N14" s="217"/>
      <c r="O14" s="232"/>
      <c r="P14" s="217"/>
      <c r="Q14" s="220"/>
      <c r="R14" s="217"/>
      <c r="S14" s="234"/>
    </row>
    <row r="15" spans="2:19">
      <c r="B15" s="227">
        <f>+B14+1</f>
        <v>3</v>
      </c>
      <c r="C15" s="217"/>
      <c r="D15" s="235"/>
      <c r="E15" s="217"/>
      <c r="F15" s="228"/>
      <c r="G15" s="217"/>
      <c r="H15" s="229"/>
      <c r="I15" s="217"/>
      <c r="J15" s="230"/>
      <c r="K15" s="231"/>
      <c r="L15" s="217"/>
      <c r="M15" s="229"/>
      <c r="N15" s="217"/>
      <c r="O15" s="232"/>
      <c r="P15" s="217"/>
      <c r="Q15" s="220"/>
      <c r="R15" s="217"/>
      <c r="S15" s="234"/>
    </row>
    <row r="16" spans="2:19">
      <c r="B16" s="227">
        <f>+B15+1</f>
        <v>4</v>
      </c>
      <c r="C16" s="217"/>
      <c r="D16" s="220" t="s">
        <v>1311</v>
      </c>
      <c r="E16" s="217"/>
      <c r="F16" s="228">
        <v>848272359</v>
      </c>
      <c r="G16" s="217"/>
      <c r="H16" s="229">
        <f>F16/F18</f>
        <v>0.46132151104175489</v>
      </c>
      <c r="I16" s="217"/>
      <c r="J16" s="236">
        <v>9.7500000000000003E-2</v>
      </c>
      <c r="K16" s="237" t="s">
        <v>1312</v>
      </c>
      <c r="L16" s="217"/>
      <c r="M16" s="229">
        <f>ROUND(H16*J16,4)</f>
        <v>4.4999999999999998E-2</v>
      </c>
      <c r="N16" s="217"/>
      <c r="O16" s="238">
        <f>S42</f>
        <v>1.3384929999999999</v>
      </c>
      <c r="P16" s="217"/>
      <c r="Q16" s="239"/>
      <c r="R16" s="217"/>
      <c r="S16" s="234">
        <f>ROUND(M16*O16,6)</f>
        <v>6.0232000000000001E-2</v>
      </c>
    </row>
    <row r="17" spans="2:19">
      <c r="B17" s="227"/>
      <c r="C17" s="217"/>
      <c r="D17" s="220"/>
      <c r="E17" s="217"/>
      <c r="F17" s="228"/>
      <c r="G17" s="217"/>
      <c r="H17" s="240"/>
      <c r="I17" s="217"/>
      <c r="J17" s="241"/>
      <c r="K17" s="231"/>
      <c r="L17" s="217"/>
      <c r="M17" s="240"/>
      <c r="N17" s="217"/>
      <c r="O17" s="218"/>
      <c r="P17" s="217"/>
      <c r="Q17" s="220"/>
      <c r="R17" s="217"/>
      <c r="S17" s="234"/>
    </row>
    <row r="18" spans="2:19">
      <c r="B18" s="227">
        <f>+B16+1</f>
        <v>5</v>
      </c>
      <c r="C18" s="217"/>
      <c r="D18" s="220" t="s">
        <v>1313</v>
      </c>
      <c r="E18" s="217"/>
      <c r="F18" s="242">
        <f>SUM(F13:F16)</f>
        <v>1838787784</v>
      </c>
      <c r="G18" s="217"/>
      <c r="H18" s="243">
        <f>SUM(H13:H16)</f>
        <v>1</v>
      </c>
      <c r="I18" s="217"/>
      <c r="J18" s="241"/>
      <c r="K18" s="231"/>
      <c r="L18" s="217"/>
      <c r="M18" s="244">
        <f>ROUND(SUM(M13:M17),4)</f>
        <v>7.46E-2</v>
      </c>
      <c r="N18" s="217"/>
      <c r="O18" s="220"/>
      <c r="P18" s="217"/>
      <c r="Q18" s="220"/>
      <c r="R18" s="217"/>
      <c r="S18" s="244">
        <f>ROUND(SUM(S13:S17),4)</f>
        <v>0.09</v>
      </c>
    </row>
    <row r="19" spans="2:19">
      <c r="B19" s="227"/>
      <c r="C19" s="217"/>
      <c r="D19" s="220"/>
      <c r="E19" s="217"/>
      <c r="F19" s="220"/>
      <c r="G19" s="217"/>
      <c r="H19" s="220"/>
      <c r="I19" s="217"/>
      <c r="J19" s="220"/>
      <c r="K19" s="231"/>
      <c r="L19" s="217"/>
      <c r="M19" s="220"/>
      <c r="N19" s="217"/>
      <c r="O19" s="220"/>
      <c r="P19" s="217"/>
      <c r="Q19" s="220"/>
      <c r="R19" s="217"/>
      <c r="S19" s="245"/>
    </row>
    <row r="20" spans="2:19" ht="15.75" thickBot="1">
      <c r="B20" s="246"/>
      <c r="C20" s="247"/>
      <c r="D20" s="248"/>
      <c r="E20" s="247"/>
      <c r="F20" s="248"/>
      <c r="G20" s="247"/>
      <c r="H20" s="248"/>
      <c r="I20" s="247"/>
      <c r="J20" s="248"/>
      <c r="K20" s="249"/>
      <c r="L20" s="247"/>
      <c r="M20" s="248"/>
      <c r="N20" s="247"/>
      <c r="O20" s="248"/>
      <c r="P20" s="247"/>
      <c r="Q20" s="248"/>
      <c r="R20" s="247"/>
      <c r="S20" s="250"/>
    </row>
    <row r="21" spans="2:19">
      <c r="B21" s="251"/>
      <c r="C21" s="200"/>
      <c r="D21" s="200"/>
      <c r="E21" s="200"/>
      <c r="F21" s="200"/>
      <c r="G21" s="200"/>
      <c r="H21" s="200"/>
      <c r="I21" s="200"/>
      <c r="J21" s="200"/>
      <c r="K21" s="200"/>
      <c r="L21" s="200"/>
      <c r="M21" s="200"/>
      <c r="N21" s="200"/>
      <c r="O21" s="200"/>
      <c r="P21" s="199"/>
      <c r="Q21" s="200"/>
      <c r="R21" s="200"/>
      <c r="S21" s="252"/>
    </row>
    <row r="22" spans="2:19">
      <c r="B22" s="251"/>
      <c r="C22" s="200"/>
      <c r="D22" s="200"/>
      <c r="E22" s="200"/>
      <c r="F22" s="200"/>
      <c r="G22" s="200"/>
      <c r="H22" s="200"/>
      <c r="I22" s="200"/>
      <c r="J22" s="200"/>
      <c r="K22" s="200"/>
      <c r="L22" s="200"/>
      <c r="M22" s="200"/>
      <c r="N22" s="200"/>
      <c r="O22" s="200"/>
      <c r="P22" s="199"/>
      <c r="Q22" s="200"/>
      <c r="R22" s="200"/>
      <c r="S22" s="252"/>
    </row>
    <row r="23" spans="2:19">
      <c r="B23" s="199"/>
      <c r="C23" s="200"/>
      <c r="D23" s="200"/>
      <c r="E23" s="200"/>
      <c r="F23" s="200"/>
      <c r="G23" s="200"/>
      <c r="H23" s="200"/>
      <c r="I23" s="200"/>
      <c r="J23" s="200"/>
      <c r="K23" s="200"/>
      <c r="L23" s="200"/>
      <c r="M23" s="200"/>
      <c r="N23" s="200"/>
      <c r="O23" s="200"/>
      <c r="P23" s="199"/>
      <c r="Q23" s="200"/>
      <c r="R23" s="200"/>
      <c r="S23" s="200"/>
    </row>
    <row r="24" spans="2:19">
      <c r="B24" s="199"/>
      <c r="C24" s="200"/>
      <c r="D24" s="200"/>
      <c r="E24" s="200"/>
      <c r="F24" s="200"/>
      <c r="G24" s="200"/>
      <c r="H24" s="200"/>
      <c r="I24" s="200"/>
      <c r="J24" s="200"/>
      <c r="K24" s="200"/>
      <c r="L24" s="200"/>
      <c r="M24" s="200"/>
      <c r="N24" s="200"/>
      <c r="O24" s="200"/>
      <c r="P24" s="199"/>
      <c r="Q24" s="200"/>
      <c r="R24" s="200"/>
      <c r="S24" s="200"/>
    </row>
    <row r="25" spans="2:19">
      <c r="B25" s="199"/>
      <c r="C25" s="200"/>
      <c r="D25" s="200"/>
      <c r="E25" s="200"/>
      <c r="F25" s="200"/>
      <c r="G25" s="200"/>
      <c r="H25" s="200"/>
      <c r="I25" s="200"/>
      <c r="J25" s="200"/>
      <c r="K25" s="200"/>
      <c r="L25" s="200"/>
      <c r="M25" s="200"/>
      <c r="N25" s="200"/>
      <c r="O25" s="253" t="s">
        <v>1314</v>
      </c>
      <c r="P25" s="253"/>
      <c r="Q25" s="200"/>
      <c r="R25" s="200"/>
      <c r="S25" s="253" t="s">
        <v>1315</v>
      </c>
    </row>
    <row r="26" spans="2:19">
      <c r="B26" s="239">
        <v>6</v>
      </c>
      <c r="C26" s="220"/>
      <c r="D26" s="233" t="s">
        <v>1316</v>
      </c>
      <c r="E26" s="220"/>
      <c r="F26" s="220"/>
      <c r="G26" s="220"/>
      <c r="H26" s="220"/>
      <c r="I26" s="220"/>
      <c r="J26" s="220"/>
      <c r="K26" s="220"/>
      <c r="L26" s="220"/>
      <c r="M26" s="220"/>
      <c r="N26" s="220"/>
      <c r="O26" s="254">
        <v>100</v>
      </c>
      <c r="P26" s="220"/>
      <c r="Q26" s="220"/>
      <c r="R26" s="220"/>
      <c r="S26" s="254">
        <f>O26</f>
        <v>100</v>
      </c>
    </row>
    <row r="27" spans="2:19">
      <c r="B27" s="239"/>
      <c r="C27" s="220"/>
      <c r="D27" s="220"/>
      <c r="E27" s="220"/>
      <c r="F27" s="220"/>
      <c r="G27" s="220"/>
      <c r="H27" s="220"/>
      <c r="I27" s="220"/>
      <c r="J27" s="220"/>
      <c r="K27" s="220"/>
      <c r="L27" s="220"/>
      <c r="M27" s="220"/>
      <c r="N27" s="220"/>
      <c r="O27" s="220"/>
      <c r="P27" s="220"/>
      <c r="Q27" s="220"/>
      <c r="R27" s="220"/>
      <c r="S27" s="255"/>
    </row>
    <row r="28" spans="2:19">
      <c r="B28" s="239">
        <v>7</v>
      </c>
      <c r="C28" s="220"/>
      <c r="D28" s="233" t="s">
        <v>1317</v>
      </c>
      <c r="E28" s="220"/>
      <c r="F28" s="220"/>
      <c r="G28" s="220"/>
      <c r="H28" s="220"/>
      <c r="I28" s="220"/>
      <c r="J28" s="220"/>
      <c r="K28" s="220"/>
      <c r="L28" s="220"/>
      <c r="M28" s="220"/>
      <c r="N28" s="220"/>
      <c r="O28" s="256">
        <v>0.28220000000000001</v>
      </c>
      <c r="P28" s="220"/>
      <c r="Q28" s="220"/>
      <c r="R28" s="220"/>
      <c r="S28" s="257">
        <f>O28</f>
        <v>0.28220000000000001</v>
      </c>
    </row>
    <row r="29" spans="2:19">
      <c r="B29" s="239"/>
      <c r="C29" s="220"/>
      <c r="D29" s="220"/>
      <c r="E29" s="220"/>
      <c r="F29" s="220"/>
      <c r="G29" s="220"/>
      <c r="H29" s="220"/>
      <c r="I29" s="220"/>
      <c r="J29" s="220"/>
      <c r="K29" s="220"/>
      <c r="L29" s="220"/>
      <c r="M29" s="220"/>
      <c r="N29" s="220"/>
      <c r="O29" s="220"/>
      <c r="P29" s="220"/>
      <c r="Q29" s="220"/>
      <c r="R29" s="220"/>
      <c r="S29" s="257"/>
    </row>
    <row r="30" spans="2:19">
      <c r="B30" s="239">
        <v>8</v>
      </c>
      <c r="C30" s="220"/>
      <c r="D30" s="233" t="s">
        <v>1318</v>
      </c>
      <c r="E30" s="220"/>
      <c r="F30" s="220"/>
      <c r="G30" s="220"/>
      <c r="H30" s="220"/>
      <c r="I30" s="220"/>
      <c r="J30" s="220"/>
      <c r="K30" s="220"/>
      <c r="L30" s="220"/>
      <c r="M30" s="220"/>
      <c r="N30" s="220"/>
      <c r="O30" s="220">
        <v>0.1595</v>
      </c>
      <c r="P30" s="220"/>
      <c r="Q30" s="220"/>
      <c r="R30" s="220"/>
      <c r="S30" s="258">
        <f>O30</f>
        <v>0.1595</v>
      </c>
    </row>
    <row r="31" spans="2:19">
      <c r="B31" s="239"/>
      <c r="C31" s="220"/>
      <c r="D31" s="220"/>
      <c r="E31" s="220"/>
      <c r="F31" s="220"/>
      <c r="G31" s="220"/>
      <c r="H31" s="220"/>
      <c r="I31" s="220"/>
      <c r="J31" s="220"/>
      <c r="K31" s="220"/>
      <c r="L31" s="220"/>
      <c r="M31" s="220"/>
      <c r="N31" s="220"/>
      <c r="O31" s="233" t="s">
        <v>85</v>
      </c>
      <c r="P31" s="220"/>
      <c r="Q31" s="220"/>
      <c r="R31" s="220"/>
      <c r="S31" s="257"/>
    </row>
    <row r="32" spans="2:19">
      <c r="B32" s="239">
        <v>9</v>
      </c>
      <c r="C32" s="220"/>
      <c r="D32" s="233" t="s">
        <v>1319</v>
      </c>
      <c r="E32" s="220"/>
      <c r="F32" s="220"/>
      <c r="G32" s="220"/>
      <c r="H32" s="220"/>
      <c r="I32" s="220"/>
      <c r="J32" s="220"/>
      <c r="K32" s="220"/>
      <c r="L32" s="220"/>
      <c r="M32" s="220"/>
      <c r="N32" s="220"/>
      <c r="O32" s="256">
        <f>O26-O28-O30</f>
        <v>99.558300000000003</v>
      </c>
      <c r="P32" s="220"/>
      <c r="Q32" s="220"/>
      <c r="R32" s="220"/>
      <c r="S32" s="257">
        <f>S26-S28-S30</f>
        <v>99.558300000000003</v>
      </c>
    </row>
    <row r="33" spans="2:19">
      <c r="B33" s="239"/>
      <c r="C33" s="220"/>
      <c r="D33" s="233"/>
      <c r="E33" s="220"/>
      <c r="F33" s="220"/>
      <c r="G33" s="220"/>
      <c r="H33" s="220"/>
      <c r="I33" s="220"/>
      <c r="J33" s="220"/>
      <c r="K33" s="220"/>
      <c r="L33" s="220"/>
      <c r="M33" s="220"/>
      <c r="N33" s="220"/>
      <c r="O33" s="220"/>
      <c r="P33" s="220"/>
      <c r="Q33" s="220"/>
      <c r="R33" s="220"/>
      <c r="S33" s="257"/>
    </row>
    <row r="34" spans="2:19">
      <c r="B34" s="239">
        <v>10</v>
      </c>
      <c r="C34" s="220"/>
      <c r="D34" s="259" t="s">
        <v>1320</v>
      </c>
      <c r="E34" s="220"/>
      <c r="F34" s="220"/>
      <c r="G34" s="220"/>
      <c r="H34" s="220"/>
      <c r="I34" s="220"/>
      <c r="J34" s="220"/>
      <c r="K34" s="220"/>
      <c r="L34" s="220"/>
      <c r="M34" s="220"/>
      <c r="N34" s="220"/>
      <c r="O34" s="199"/>
      <c r="P34" s="220"/>
      <c r="Q34" s="220"/>
      <c r="R34" s="220"/>
      <c r="S34" s="257">
        <f>S32*0.050097</f>
        <v>4.9875721551000005</v>
      </c>
    </row>
    <row r="35" spans="2:19">
      <c r="B35" s="239"/>
      <c r="C35" s="220"/>
      <c r="D35" s="233"/>
      <c r="E35" s="220"/>
      <c r="F35" s="220"/>
      <c r="G35" s="220"/>
      <c r="H35" s="220"/>
      <c r="I35" s="220"/>
      <c r="J35" s="220"/>
      <c r="K35" s="220"/>
      <c r="L35" s="220"/>
      <c r="M35" s="220"/>
      <c r="N35" s="220"/>
      <c r="O35" s="218"/>
      <c r="P35" s="220"/>
      <c r="Q35" s="220"/>
      <c r="R35" s="220"/>
      <c r="S35" s="257"/>
    </row>
    <row r="36" spans="2:19">
      <c r="B36" s="239">
        <v>11</v>
      </c>
      <c r="C36" s="220"/>
      <c r="D36" s="259" t="s">
        <v>1321</v>
      </c>
      <c r="E36" s="220"/>
      <c r="F36" s="220"/>
      <c r="G36" s="220"/>
      <c r="H36" s="220"/>
      <c r="I36" s="220"/>
      <c r="J36" s="220"/>
      <c r="K36" s="220"/>
      <c r="L36" s="220"/>
      <c r="M36" s="220"/>
      <c r="N36" s="220"/>
      <c r="O36" s="218"/>
      <c r="P36" s="220"/>
      <c r="Q36" s="220"/>
      <c r="R36" s="220"/>
      <c r="S36" s="257">
        <f>S32-S34</f>
        <v>94.570727844900006</v>
      </c>
    </row>
    <row r="37" spans="2:19">
      <c r="B37" s="239"/>
      <c r="C37" s="220"/>
      <c r="D37" s="259"/>
      <c r="E37" s="220"/>
      <c r="F37" s="220"/>
      <c r="G37" s="220"/>
      <c r="H37" s="220"/>
      <c r="I37" s="220"/>
      <c r="J37" s="220"/>
      <c r="K37" s="220"/>
      <c r="L37" s="220"/>
      <c r="M37" s="220"/>
      <c r="N37" s="220"/>
      <c r="O37" s="220"/>
      <c r="P37" s="220"/>
      <c r="Q37" s="220"/>
      <c r="R37" s="220"/>
      <c r="S37" s="260"/>
    </row>
    <row r="38" spans="2:19">
      <c r="B38" s="239">
        <v>12</v>
      </c>
      <c r="C38" s="220"/>
      <c r="D38" s="259" t="s">
        <v>1322</v>
      </c>
      <c r="E38" s="220"/>
      <c r="F38" s="220"/>
      <c r="G38" s="220"/>
      <c r="H38" s="220"/>
      <c r="I38" s="220"/>
      <c r="J38" s="220"/>
      <c r="K38" s="220"/>
      <c r="L38" s="220"/>
      <c r="M38" s="220"/>
      <c r="N38" s="220"/>
      <c r="O38" s="220"/>
      <c r="P38" s="220"/>
      <c r="Q38" s="220"/>
      <c r="R38" s="220"/>
      <c r="S38" s="260">
        <f>S36*0.21</f>
        <v>19.859852847429</v>
      </c>
    </row>
    <row r="39" spans="2:19">
      <c r="B39" s="239"/>
      <c r="C39" s="220"/>
      <c r="D39" s="259"/>
      <c r="E39" s="220"/>
      <c r="F39" s="220"/>
      <c r="G39" s="220"/>
      <c r="H39" s="220"/>
      <c r="I39" s="220"/>
      <c r="J39" s="220"/>
      <c r="K39" s="220"/>
      <c r="L39" s="220"/>
      <c r="M39" s="220"/>
      <c r="N39" s="220"/>
      <c r="O39" s="220"/>
      <c r="P39" s="220"/>
      <c r="Q39" s="220"/>
      <c r="R39" s="220"/>
      <c r="S39" s="257"/>
    </row>
    <row r="40" spans="2:19">
      <c r="B40" s="239">
        <v>13</v>
      </c>
      <c r="C40" s="220"/>
      <c r="D40" s="259" t="s">
        <v>1323</v>
      </c>
      <c r="E40" s="220"/>
      <c r="F40" s="220"/>
      <c r="G40" s="220"/>
      <c r="H40" s="220"/>
      <c r="I40" s="220"/>
      <c r="J40" s="220"/>
      <c r="K40" s="220"/>
      <c r="L40" s="220"/>
      <c r="M40" s="220"/>
      <c r="N40" s="220"/>
      <c r="O40" s="220"/>
      <c r="P40" s="220"/>
      <c r="Q40" s="220"/>
      <c r="R40" s="220"/>
      <c r="S40" s="257">
        <f>S36-S38</f>
        <v>74.710874997471009</v>
      </c>
    </row>
    <row r="41" spans="2:19">
      <c r="B41" s="239"/>
      <c r="C41" s="220"/>
      <c r="D41" s="259"/>
      <c r="E41" s="220"/>
      <c r="F41" s="220"/>
      <c r="G41" s="220"/>
      <c r="H41" s="220"/>
      <c r="I41" s="220"/>
      <c r="J41" s="220"/>
      <c r="K41" s="220"/>
      <c r="L41" s="220"/>
      <c r="M41" s="220"/>
      <c r="N41" s="220"/>
      <c r="O41" s="220"/>
      <c r="P41" s="220"/>
      <c r="Q41" s="220"/>
      <c r="R41" s="220"/>
      <c r="S41" s="220"/>
    </row>
    <row r="42" spans="2:19">
      <c r="B42" s="239">
        <v>14</v>
      </c>
      <c r="C42" s="220"/>
      <c r="D42" s="259" t="s">
        <v>1324</v>
      </c>
      <c r="E42" s="220"/>
      <c r="F42" s="220"/>
      <c r="G42" s="220"/>
      <c r="H42" s="220"/>
      <c r="I42" s="220"/>
      <c r="J42" s="220"/>
      <c r="K42" s="220"/>
      <c r="L42" s="220"/>
      <c r="M42" s="220"/>
      <c r="N42" s="220"/>
      <c r="O42" s="261">
        <f>ROUND(100/O32,6)</f>
        <v>1.004437</v>
      </c>
      <c r="P42" s="220"/>
      <c r="Q42" s="220"/>
      <c r="R42" s="220"/>
      <c r="S42" s="220">
        <f>ROUND(100/S40,6)</f>
        <v>1.3384929999999999</v>
      </c>
    </row>
    <row r="43" spans="2:19">
      <c r="B43" s="239"/>
      <c r="C43" s="220"/>
      <c r="D43" s="220"/>
      <c r="E43" s="220"/>
      <c r="F43" s="220"/>
      <c r="G43" s="220"/>
      <c r="H43" s="220"/>
      <c r="I43" s="220"/>
      <c r="J43" s="220"/>
      <c r="K43" s="220"/>
      <c r="L43" s="220"/>
      <c r="M43" s="220"/>
      <c r="N43" s="220"/>
      <c r="O43" s="220"/>
      <c r="P43" s="220"/>
      <c r="Q43" s="220"/>
      <c r="R43" s="220"/>
      <c r="S43" s="220"/>
    </row>
  </sheetData>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C1C45-864A-4E48-A33A-0DAC4D2BD634}">
  <dimension ref="A1:U19"/>
  <sheetViews>
    <sheetView workbookViewId="0">
      <selection activeCell="D11" sqref="D11"/>
    </sheetView>
  </sheetViews>
  <sheetFormatPr defaultRowHeight="15"/>
  <cols>
    <col min="1" max="1" width="16.5703125" customWidth="1"/>
    <col min="2" max="2" width="29.7109375" customWidth="1"/>
    <col min="3" max="3" width="13.42578125" customWidth="1"/>
    <col min="4" max="18" width="14" bestFit="1" customWidth="1"/>
    <col min="19" max="19" width="14" hidden="1" customWidth="1"/>
    <col min="20" max="21" width="15" hidden="1" customWidth="1"/>
    <col min="22" max="48" width="15" bestFit="1" customWidth="1"/>
    <col min="49" max="50" width="16" bestFit="1" customWidth="1"/>
  </cols>
  <sheetData>
    <row r="1" spans="1:21" ht="18">
      <c r="A1" s="291" t="s">
        <v>1</v>
      </c>
      <c r="S1" t="s">
        <v>915</v>
      </c>
      <c r="T1" t="s">
        <v>812</v>
      </c>
      <c r="U1" t="s">
        <v>812</v>
      </c>
    </row>
    <row r="2" spans="1:21" ht="18">
      <c r="A2" s="291" t="s">
        <v>1325</v>
      </c>
    </row>
    <row r="4" spans="1:21">
      <c r="A4" s="594" t="s">
        <v>1326</v>
      </c>
      <c r="B4" s="594"/>
    </row>
    <row r="5" spans="1:21" ht="15.75" thickBot="1">
      <c r="A5" s="292" t="s">
        <v>1327</v>
      </c>
      <c r="B5" s="292" t="s">
        <v>1328</v>
      </c>
      <c r="S5" s="293">
        <v>2025</v>
      </c>
      <c r="T5" s="294" t="s">
        <v>1329</v>
      </c>
      <c r="U5" t="s">
        <v>1330</v>
      </c>
    </row>
    <row r="6" spans="1:21" ht="15.75" thickBot="1">
      <c r="A6" s="295">
        <v>2026</v>
      </c>
      <c r="B6" s="296" t="s">
        <v>1331</v>
      </c>
      <c r="C6" t="s">
        <v>1332</v>
      </c>
      <c r="E6" s="293"/>
      <c r="S6" s="294">
        <v>2026</v>
      </c>
      <c r="T6" s="294" t="s">
        <v>1331</v>
      </c>
      <c r="U6" s="297" t="s">
        <v>1333</v>
      </c>
    </row>
    <row r="7" spans="1:21">
      <c r="S7" s="297">
        <v>2027</v>
      </c>
      <c r="T7" s="294" t="s">
        <v>1334</v>
      </c>
      <c r="U7" s="297" t="s">
        <v>1335</v>
      </c>
    </row>
    <row r="8" spans="1:21">
      <c r="S8" s="293">
        <v>2028</v>
      </c>
      <c r="T8" s="294" t="s">
        <v>1336</v>
      </c>
      <c r="U8" t="s">
        <v>1337</v>
      </c>
    </row>
    <row r="9" spans="1:21">
      <c r="A9" s="292" t="s">
        <v>1338</v>
      </c>
      <c r="B9" s="292" t="s">
        <v>1339</v>
      </c>
      <c r="S9" s="294">
        <v>2029</v>
      </c>
      <c r="T9" s="294" t="s">
        <v>1340</v>
      </c>
      <c r="U9" s="297" t="s">
        <v>1341</v>
      </c>
    </row>
    <row r="10" spans="1:21">
      <c r="A10" s="298">
        <f>DATE(A6,B6,1)</f>
        <v>46054</v>
      </c>
      <c r="B10" s="299">
        <f>HLOOKUP(CONCATENATE($A$6,$B$6),'ADIT Calc - TOR'!$7:$61,55,0)</f>
        <v>-1319019.4308005881</v>
      </c>
      <c r="S10" s="297">
        <v>2030</v>
      </c>
      <c r="T10" s="294" t="s">
        <v>1342</v>
      </c>
      <c r="U10" s="297" t="s">
        <v>1343</v>
      </c>
    </row>
    <row r="11" spans="1:21">
      <c r="S11" s="293">
        <v>2031</v>
      </c>
      <c r="T11" s="294" t="s">
        <v>1344</v>
      </c>
      <c r="U11" t="s">
        <v>1345</v>
      </c>
    </row>
    <row r="12" spans="1:21">
      <c r="S12" s="294">
        <v>2032</v>
      </c>
      <c r="T12" s="294" t="s">
        <v>1346</v>
      </c>
      <c r="U12" s="297" t="s">
        <v>1347</v>
      </c>
    </row>
    <row r="13" spans="1:21">
      <c r="A13" s="594" t="s">
        <v>1348</v>
      </c>
      <c r="B13" s="594"/>
      <c r="S13" s="297">
        <v>2033</v>
      </c>
      <c r="T13" s="294" t="s">
        <v>1349</v>
      </c>
      <c r="U13" s="297" t="s">
        <v>1350</v>
      </c>
    </row>
    <row r="14" spans="1:21" ht="15.75" thickBot="1">
      <c r="A14" s="292" t="s">
        <v>1327</v>
      </c>
      <c r="B14" s="292" t="s">
        <v>1328</v>
      </c>
      <c r="S14" s="293">
        <v>2034</v>
      </c>
      <c r="T14" s="294" t="s">
        <v>1351</v>
      </c>
      <c r="U14" t="s">
        <v>1352</v>
      </c>
    </row>
    <row r="15" spans="1:21" ht="15.75" thickBot="1">
      <c r="A15" s="295">
        <v>2026</v>
      </c>
      <c r="B15" s="296" t="s">
        <v>1331</v>
      </c>
      <c r="C15" t="s">
        <v>1332</v>
      </c>
      <c r="S15" s="294">
        <v>2035</v>
      </c>
      <c r="T15" s="294" t="s">
        <v>1353</v>
      </c>
      <c r="U15" s="297" t="s">
        <v>1354</v>
      </c>
    </row>
    <row r="16" spans="1:21">
      <c r="S16" s="297">
        <v>2036</v>
      </c>
      <c r="T16" s="294" t="s">
        <v>1355</v>
      </c>
      <c r="U16" s="297" t="s">
        <v>1356</v>
      </c>
    </row>
    <row r="18" spans="1:2">
      <c r="A18" s="292" t="s">
        <v>1338</v>
      </c>
      <c r="B18" s="292" t="s">
        <v>1339</v>
      </c>
    </row>
    <row r="19" spans="1:2">
      <c r="A19" s="298">
        <f>DATE(A15,B15,1)</f>
        <v>46054</v>
      </c>
      <c r="B19" s="299">
        <f>HLOOKUP(CONCATENATE($A$6,$B$6),'ADIT Calc - TIR'!$7:$61,55,0)</f>
        <v>-570886.28552847961</v>
      </c>
    </row>
  </sheetData>
  <mergeCells count="2">
    <mergeCell ref="A4:B4"/>
    <mergeCell ref="A13:B13"/>
  </mergeCells>
  <dataValidations count="2">
    <dataValidation type="list" allowBlank="1" showInputMessage="1" showErrorMessage="1" sqref="B6 B15" xr:uid="{70093C85-60BB-414F-A37D-4F28E37DCC2F}">
      <formula1>$T$5:$T$16</formula1>
    </dataValidation>
    <dataValidation type="list" allowBlank="1" showInputMessage="1" showErrorMessage="1" sqref="A6 A15" xr:uid="{2066B033-8011-4812-8AD5-D4270EBD60BC}">
      <formula1>$S$5:$S$16</formula1>
    </dataValidation>
  </dataValidation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D15F1-738B-414A-8119-08BFF6649253}">
  <dimension ref="A1:CK114"/>
  <sheetViews>
    <sheetView zoomScale="80" zoomScaleNormal="80" workbookViewId="0">
      <pane xSplit="11" ySplit="8" topLeftCell="CA31" activePane="bottomRight" state="frozen"/>
      <selection activeCell="CE10" sqref="CE10"/>
      <selection pane="topRight" activeCell="CE10" sqref="CE10"/>
      <selection pane="bottomLeft" activeCell="CE10" sqref="CE10"/>
      <selection pane="bottomRight" activeCell="BU58" sqref="BU58"/>
    </sheetView>
  </sheetViews>
  <sheetFormatPr defaultRowHeight="12.75" outlineLevelRow="2" outlineLevelCol="1"/>
  <cols>
    <col min="1" max="1" width="9.140625" style="431"/>
    <col min="2" max="2" width="54" style="431" customWidth="1"/>
    <col min="3" max="9" width="17.28515625" style="431" customWidth="1"/>
    <col min="10" max="11" width="13.7109375" style="431" customWidth="1"/>
    <col min="12" max="12" width="12.7109375" style="431" customWidth="1" outlineLevel="1"/>
    <col min="13" max="13" width="13.85546875" style="431" customWidth="1" outlineLevel="1"/>
    <col min="14" max="14" width="13.28515625" style="431" customWidth="1" outlineLevel="1"/>
    <col min="15" max="15" width="12.85546875" style="431" customWidth="1" outlineLevel="1"/>
    <col min="16" max="16" width="13" style="431" customWidth="1" outlineLevel="1"/>
    <col min="17" max="17" width="14" style="431" bestFit="1" customWidth="1"/>
    <col min="18" max="26" width="14" style="431" customWidth="1" outlineLevel="1"/>
    <col min="27" max="27" width="12.28515625" style="431" customWidth="1" outlineLevel="1"/>
    <col min="28" max="28" width="14" style="431" customWidth="1" outlineLevel="1"/>
    <col min="29" max="29" width="12.28515625" style="431" customWidth="1"/>
    <col min="30" max="40" width="12.28515625" style="431" customWidth="1" outlineLevel="1"/>
    <col min="41" max="41" width="12.28515625" style="431" customWidth="1"/>
    <col min="42" max="42" width="12.28515625" style="431" customWidth="1" outlineLevel="1" collapsed="1"/>
    <col min="43" max="52" width="12.28515625" style="431" customWidth="1" outlineLevel="1"/>
    <col min="53" max="53" width="12.28515625" style="431" customWidth="1"/>
    <col min="54" max="55" width="12.28515625" style="431" customWidth="1" outlineLevel="1"/>
    <col min="56" max="56" width="14" style="431" customWidth="1" outlineLevel="1"/>
    <col min="57" max="64" width="14.5703125" style="431" customWidth="1" outlineLevel="1"/>
    <col min="65" max="82" width="14.5703125" style="431" customWidth="1"/>
    <col min="83" max="84" width="12.85546875" style="431" bestFit="1" customWidth="1"/>
    <col min="85" max="85" width="15.140625" style="431" customWidth="1"/>
    <col min="86" max="86" width="10.28515625" style="431" bestFit="1" customWidth="1"/>
    <col min="87" max="256" width="9.140625" style="431"/>
    <col min="257" max="257" width="54.140625" style="431" customWidth="1"/>
    <col min="258" max="258" width="13.28515625" style="431" customWidth="1"/>
    <col min="259" max="259" width="12.85546875" style="431" bestFit="1" customWidth="1"/>
    <col min="260" max="263" width="13" style="431" bestFit="1" customWidth="1"/>
    <col min="264" max="284" width="14" style="431" bestFit="1" customWidth="1"/>
    <col min="285" max="302" width="14" style="431" customWidth="1"/>
    <col min="303" max="512" width="9.140625" style="431"/>
    <col min="513" max="513" width="54.140625" style="431" customWidth="1"/>
    <col min="514" max="514" width="13.28515625" style="431" customWidth="1"/>
    <col min="515" max="515" width="12.85546875" style="431" bestFit="1" customWidth="1"/>
    <col min="516" max="519" width="13" style="431" bestFit="1" customWidth="1"/>
    <col min="520" max="540" width="14" style="431" bestFit="1" customWidth="1"/>
    <col min="541" max="558" width="14" style="431" customWidth="1"/>
    <col min="559" max="768" width="9.140625" style="431"/>
    <col min="769" max="769" width="54.140625" style="431" customWidth="1"/>
    <col min="770" max="770" width="13.28515625" style="431" customWidth="1"/>
    <col min="771" max="771" width="12.85546875" style="431" bestFit="1" customWidth="1"/>
    <col min="772" max="775" width="13" style="431" bestFit="1" customWidth="1"/>
    <col min="776" max="796" width="14" style="431" bestFit="1" customWidth="1"/>
    <col min="797" max="814" width="14" style="431" customWidth="1"/>
    <col min="815" max="1024" width="9.140625" style="431"/>
    <col min="1025" max="1025" width="54.140625" style="431" customWidth="1"/>
    <col min="1026" max="1026" width="13.28515625" style="431" customWidth="1"/>
    <col min="1027" max="1027" width="12.85546875" style="431" bestFit="1" customWidth="1"/>
    <col min="1028" max="1031" width="13" style="431" bestFit="1" customWidth="1"/>
    <col min="1032" max="1052" width="14" style="431" bestFit="1" customWidth="1"/>
    <col min="1053" max="1070" width="14" style="431" customWidth="1"/>
    <col min="1071" max="1280" width="9.140625" style="431"/>
    <col min="1281" max="1281" width="54.140625" style="431" customWidth="1"/>
    <col min="1282" max="1282" width="13.28515625" style="431" customWidth="1"/>
    <col min="1283" max="1283" width="12.85546875" style="431" bestFit="1" customWidth="1"/>
    <col min="1284" max="1287" width="13" style="431" bestFit="1" customWidth="1"/>
    <col min="1288" max="1308" width="14" style="431" bestFit="1" customWidth="1"/>
    <col min="1309" max="1326" width="14" style="431" customWidth="1"/>
    <col min="1327" max="1536" width="9.140625" style="431"/>
    <col min="1537" max="1537" width="54.140625" style="431" customWidth="1"/>
    <col min="1538" max="1538" width="13.28515625" style="431" customWidth="1"/>
    <col min="1539" max="1539" width="12.85546875" style="431" bestFit="1" customWidth="1"/>
    <col min="1540" max="1543" width="13" style="431" bestFit="1" customWidth="1"/>
    <col min="1544" max="1564" width="14" style="431" bestFit="1" customWidth="1"/>
    <col min="1565" max="1582" width="14" style="431" customWidth="1"/>
    <col min="1583" max="1792" width="9.140625" style="431"/>
    <col min="1793" max="1793" width="54.140625" style="431" customWidth="1"/>
    <col min="1794" max="1794" width="13.28515625" style="431" customWidth="1"/>
    <col min="1795" max="1795" width="12.85546875" style="431" bestFit="1" customWidth="1"/>
    <col min="1796" max="1799" width="13" style="431" bestFit="1" customWidth="1"/>
    <col min="1800" max="1820" width="14" style="431" bestFit="1" customWidth="1"/>
    <col min="1821" max="1838" width="14" style="431" customWidth="1"/>
    <col min="1839" max="2048" width="9.140625" style="431"/>
    <col min="2049" max="2049" width="54.140625" style="431" customWidth="1"/>
    <col min="2050" max="2050" width="13.28515625" style="431" customWidth="1"/>
    <col min="2051" max="2051" width="12.85546875" style="431" bestFit="1" customWidth="1"/>
    <col min="2052" max="2055" width="13" style="431" bestFit="1" customWidth="1"/>
    <col min="2056" max="2076" width="14" style="431" bestFit="1" customWidth="1"/>
    <col min="2077" max="2094" width="14" style="431" customWidth="1"/>
    <col min="2095" max="2304" width="9.140625" style="431"/>
    <col min="2305" max="2305" width="54.140625" style="431" customWidth="1"/>
    <col min="2306" max="2306" width="13.28515625" style="431" customWidth="1"/>
    <col min="2307" max="2307" width="12.85546875" style="431" bestFit="1" customWidth="1"/>
    <col min="2308" max="2311" width="13" style="431" bestFit="1" customWidth="1"/>
    <col min="2312" max="2332" width="14" style="431" bestFit="1" customWidth="1"/>
    <col min="2333" max="2350" width="14" style="431" customWidth="1"/>
    <col min="2351" max="2560" width="9.140625" style="431"/>
    <col min="2561" max="2561" width="54.140625" style="431" customWidth="1"/>
    <col min="2562" max="2562" width="13.28515625" style="431" customWidth="1"/>
    <col min="2563" max="2563" width="12.85546875" style="431" bestFit="1" customWidth="1"/>
    <col min="2564" max="2567" width="13" style="431" bestFit="1" customWidth="1"/>
    <col min="2568" max="2588" width="14" style="431" bestFit="1" customWidth="1"/>
    <col min="2589" max="2606" width="14" style="431" customWidth="1"/>
    <col min="2607" max="2816" width="9.140625" style="431"/>
    <col min="2817" max="2817" width="54.140625" style="431" customWidth="1"/>
    <col min="2818" max="2818" width="13.28515625" style="431" customWidth="1"/>
    <col min="2819" max="2819" width="12.85546875" style="431" bestFit="1" customWidth="1"/>
    <col min="2820" max="2823" width="13" style="431" bestFit="1" customWidth="1"/>
    <col min="2824" max="2844" width="14" style="431" bestFit="1" customWidth="1"/>
    <col min="2845" max="2862" width="14" style="431" customWidth="1"/>
    <col min="2863" max="3072" width="9.140625" style="431"/>
    <col min="3073" max="3073" width="54.140625" style="431" customWidth="1"/>
    <col min="3074" max="3074" width="13.28515625" style="431" customWidth="1"/>
    <col min="3075" max="3075" width="12.85546875" style="431" bestFit="1" customWidth="1"/>
    <col min="3076" max="3079" width="13" style="431" bestFit="1" customWidth="1"/>
    <col min="3080" max="3100" width="14" style="431" bestFit="1" customWidth="1"/>
    <col min="3101" max="3118" width="14" style="431" customWidth="1"/>
    <col min="3119" max="3328" width="9.140625" style="431"/>
    <col min="3329" max="3329" width="54.140625" style="431" customWidth="1"/>
    <col min="3330" max="3330" width="13.28515625" style="431" customWidth="1"/>
    <col min="3331" max="3331" width="12.85546875" style="431" bestFit="1" customWidth="1"/>
    <col min="3332" max="3335" width="13" style="431" bestFit="1" customWidth="1"/>
    <col min="3336" max="3356" width="14" style="431" bestFit="1" customWidth="1"/>
    <col min="3357" max="3374" width="14" style="431" customWidth="1"/>
    <col min="3375" max="3584" width="9.140625" style="431"/>
    <col min="3585" max="3585" width="54.140625" style="431" customWidth="1"/>
    <col min="3586" max="3586" width="13.28515625" style="431" customWidth="1"/>
    <col min="3587" max="3587" width="12.85546875" style="431" bestFit="1" customWidth="1"/>
    <col min="3588" max="3591" width="13" style="431" bestFit="1" customWidth="1"/>
    <col min="3592" max="3612" width="14" style="431" bestFit="1" customWidth="1"/>
    <col min="3613" max="3630" width="14" style="431" customWidth="1"/>
    <col min="3631" max="3840" width="9.140625" style="431"/>
    <col min="3841" max="3841" width="54.140625" style="431" customWidth="1"/>
    <col min="3842" max="3842" width="13.28515625" style="431" customWidth="1"/>
    <col min="3843" max="3843" width="12.85546875" style="431" bestFit="1" customWidth="1"/>
    <col min="3844" max="3847" width="13" style="431" bestFit="1" customWidth="1"/>
    <col min="3848" max="3868" width="14" style="431" bestFit="1" customWidth="1"/>
    <col min="3869" max="3886" width="14" style="431" customWidth="1"/>
    <col min="3887" max="4096" width="9.140625" style="431"/>
    <col min="4097" max="4097" width="54.140625" style="431" customWidth="1"/>
    <col min="4098" max="4098" width="13.28515625" style="431" customWidth="1"/>
    <col min="4099" max="4099" width="12.85546875" style="431" bestFit="1" customWidth="1"/>
    <col min="4100" max="4103" width="13" style="431" bestFit="1" customWidth="1"/>
    <col min="4104" max="4124" width="14" style="431" bestFit="1" customWidth="1"/>
    <col min="4125" max="4142" width="14" style="431" customWidth="1"/>
    <col min="4143" max="4352" width="9.140625" style="431"/>
    <col min="4353" max="4353" width="54.140625" style="431" customWidth="1"/>
    <col min="4354" max="4354" width="13.28515625" style="431" customWidth="1"/>
    <col min="4355" max="4355" width="12.85546875" style="431" bestFit="1" customWidth="1"/>
    <col min="4356" max="4359" width="13" style="431" bestFit="1" customWidth="1"/>
    <col min="4360" max="4380" width="14" style="431" bestFit="1" customWidth="1"/>
    <col min="4381" max="4398" width="14" style="431" customWidth="1"/>
    <col min="4399" max="4608" width="9.140625" style="431"/>
    <col min="4609" max="4609" width="54.140625" style="431" customWidth="1"/>
    <col min="4610" max="4610" width="13.28515625" style="431" customWidth="1"/>
    <col min="4611" max="4611" width="12.85546875" style="431" bestFit="1" customWidth="1"/>
    <col min="4612" max="4615" width="13" style="431" bestFit="1" customWidth="1"/>
    <col min="4616" max="4636" width="14" style="431" bestFit="1" customWidth="1"/>
    <col min="4637" max="4654" width="14" style="431" customWidth="1"/>
    <col min="4655" max="4864" width="9.140625" style="431"/>
    <col min="4865" max="4865" width="54.140625" style="431" customWidth="1"/>
    <col min="4866" max="4866" width="13.28515625" style="431" customWidth="1"/>
    <col min="4867" max="4867" width="12.85546875" style="431" bestFit="1" customWidth="1"/>
    <col min="4868" max="4871" width="13" style="431" bestFit="1" customWidth="1"/>
    <col min="4872" max="4892" width="14" style="431" bestFit="1" customWidth="1"/>
    <col min="4893" max="4910" width="14" style="431" customWidth="1"/>
    <col min="4911" max="5120" width="9.140625" style="431"/>
    <col min="5121" max="5121" width="54.140625" style="431" customWidth="1"/>
    <col min="5122" max="5122" width="13.28515625" style="431" customWidth="1"/>
    <col min="5123" max="5123" width="12.85546875" style="431" bestFit="1" customWidth="1"/>
    <col min="5124" max="5127" width="13" style="431" bestFit="1" customWidth="1"/>
    <col min="5128" max="5148" width="14" style="431" bestFit="1" customWidth="1"/>
    <col min="5149" max="5166" width="14" style="431" customWidth="1"/>
    <col min="5167" max="5376" width="9.140625" style="431"/>
    <col min="5377" max="5377" width="54.140625" style="431" customWidth="1"/>
    <col min="5378" max="5378" width="13.28515625" style="431" customWidth="1"/>
    <col min="5379" max="5379" width="12.85546875" style="431" bestFit="1" customWidth="1"/>
    <col min="5380" max="5383" width="13" style="431" bestFit="1" customWidth="1"/>
    <col min="5384" max="5404" width="14" style="431" bestFit="1" customWidth="1"/>
    <col min="5405" max="5422" width="14" style="431" customWidth="1"/>
    <col min="5423" max="5632" width="9.140625" style="431"/>
    <col min="5633" max="5633" width="54.140625" style="431" customWidth="1"/>
    <col min="5634" max="5634" width="13.28515625" style="431" customWidth="1"/>
    <col min="5635" max="5635" width="12.85546875" style="431" bestFit="1" customWidth="1"/>
    <col min="5636" max="5639" width="13" style="431" bestFit="1" customWidth="1"/>
    <col min="5640" max="5660" width="14" style="431" bestFit="1" customWidth="1"/>
    <col min="5661" max="5678" width="14" style="431" customWidth="1"/>
    <col min="5679" max="5888" width="9.140625" style="431"/>
    <col min="5889" max="5889" width="54.140625" style="431" customWidth="1"/>
    <col min="5890" max="5890" width="13.28515625" style="431" customWidth="1"/>
    <col min="5891" max="5891" width="12.85546875" style="431" bestFit="1" customWidth="1"/>
    <col min="5892" max="5895" width="13" style="431" bestFit="1" customWidth="1"/>
    <col min="5896" max="5916" width="14" style="431" bestFit="1" customWidth="1"/>
    <col min="5917" max="5934" width="14" style="431" customWidth="1"/>
    <col min="5935" max="6144" width="9.140625" style="431"/>
    <col min="6145" max="6145" width="54.140625" style="431" customWidth="1"/>
    <col min="6146" max="6146" width="13.28515625" style="431" customWidth="1"/>
    <col min="6147" max="6147" width="12.85546875" style="431" bestFit="1" customWidth="1"/>
    <col min="6148" max="6151" width="13" style="431" bestFit="1" customWidth="1"/>
    <col min="6152" max="6172" width="14" style="431" bestFit="1" customWidth="1"/>
    <col min="6173" max="6190" width="14" style="431" customWidth="1"/>
    <col min="6191" max="6400" width="9.140625" style="431"/>
    <col min="6401" max="6401" width="54.140625" style="431" customWidth="1"/>
    <col min="6402" max="6402" width="13.28515625" style="431" customWidth="1"/>
    <col min="6403" max="6403" width="12.85546875" style="431" bestFit="1" customWidth="1"/>
    <col min="6404" max="6407" width="13" style="431" bestFit="1" customWidth="1"/>
    <col min="6408" max="6428" width="14" style="431" bestFit="1" customWidth="1"/>
    <col min="6429" max="6446" width="14" style="431" customWidth="1"/>
    <col min="6447" max="6656" width="9.140625" style="431"/>
    <col min="6657" max="6657" width="54.140625" style="431" customWidth="1"/>
    <col min="6658" max="6658" width="13.28515625" style="431" customWidth="1"/>
    <col min="6659" max="6659" width="12.85546875" style="431" bestFit="1" customWidth="1"/>
    <col min="6660" max="6663" width="13" style="431" bestFit="1" customWidth="1"/>
    <col min="6664" max="6684" width="14" style="431" bestFit="1" customWidth="1"/>
    <col min="6685" max="6702" width="14" style="431" customWidth="1"/>
    <col min="6703" max="6912" width="9.140625" style="431"/>
    <col min="6913" max="6913" width="54.140625" style="431" customWidth="1"/>
    <col min="6914" max="6914" width="13.28515625" style="431" customWidth="1"/>
    <col min="6915" max="6915" width="12.85546875" style="431" bestFit="1" customWidth="1"/>
    <col min="6916" max="6919" width="13" style="431" bestFit="1" customWidth="1"/>
    <col min="6920" max="6940" width="14" style="431" bestFit="1" customWidth="1"/>
    <col min="6941" max="6958" width="14" style="431" customWidth="1"/>
    <col min="6959" max="7168" width="9.140625" style="431"/>
    <col min="7169" max="7169" width="54.140625" style="431" customWidth="1"/>
    <col min="7170" max="7170" width="13.28515625" style="431" customWidth="1"/>
    <col min="7171" max="7171" width="12.85546875" style="431" bestFit="1" customWidth="1"/>
    <col min="7172" max="7175" width="13" style="431" bestFit="1" customWidth="1"/>
    <col min="7176" max="7196" width="14" style="431" bestFit="1" customWidth="1"/>
    <col min="7197" max="7214" width="14" style="431" customWidth="1"/>
    <col min="7215" max="7424" width="9.140625" style="431"/>
    <col min="7425" max="7425" width="54.140625" style="431" customWidth="1"/>
    <col min="7426" max="7426" width="13.28515625" style="431" customWidth="1"/>
    <col min="7427" max="7427" width="12.85546875" style="431" bestFit="1" customWidth="1"/>
    <col min="7428" max="7431" width="13" style="431" bestFit="1" customWidth="1"/>
    <col min="7432" max="7452" width="14" style="431" bestFit="1" customWidth="1"/>
    <col min="7453" max="7470" width="14" style="431" customWidth="1"/>
    <col min="7471" max="7680" width="9.140625" style="431"/>
    <col min="7681" max="7681" width="54.140625" style="431" customWidth="1"/>
    <col min="7682" max="7682" width="13.28515625" style="431" customWidth="1"/>
    <col min="7683" max="7683" width="12.85546875" style="431" bestFit="1" customWidth="1"/>
    <col min="7684" max="7687" width="13" style="431" bestFit="1" customWidth="1"/>
    <col min="7688" max="7708" width="14" style="431" bestFit="1" customWidth="1"/>
    <col min="7709" max="7726" width="14" style="431" customWidth="1"/>
    <col min="7727" max="7936" width="9.140625" style="431"/>
    <col min="7937" max="7937" width="54.140625" style="431" customWidth="1"/>
    <col min="7938" max="7938" width="13.28515625" style="431" customWidth="1"/>
    <col min="7939" max="7939" width="12.85546875" style="431" bestFit="1" customWidth="1"/>
    <col min="7940" max="7943" width="13" style="431" bestFit="1" customWidth="1"/>
    <col min="7944" max="7964" width="14" style="431" bestFit="1" customWidth="1"/>
    <col min="7965" max="7982" width="14" style="431" customWidth="1"/>
    <col min="7983" max="8192" width="9.140625" style="431"/>
    <col min="8193" max="8193" width="54.140625" style="431" customWidth="1"/>
    <col min="8194" max="8194" width="13.28515625" style="431" customWidth="1"/>
    <col min="8195" max="8195" width="12.85546875" style="431" bestFit="1" customWidth="1"/>
    <col min="8196" max="8199" width="13" style="431" bestFit="1" customWidth="1"/>
    <col min="8200" max="8220" width="14" style="431" bestFit="1" customWidth="1"/>
    <col min="8221" max="8238" width="14" style="431" customWidth="1"/>
    <col min="8239" max="8448" width="9.140625" style="431"/>
    <col min="8449" max="8449" width="54.140625" style="431" customWidth="1"/>
    <col min="8450" max="8450" width="13.28515625" style="431" customWidth="1"/>
    <col min="8451" max="8451" width="12.85546875" style="431" bestFit="1" customWidth="1"/>
    <col min="8452" max="8455" width="13" style="431" bestFit="1" customWidth="1"/>
    <col min="8456" max="8476" width="14" style="431" bestFit="1" customWidth="1"/>
    <col min="8477" max="8494" width="14" style="431" customWidth="1"/>
    <col min="8495" max="8704" width="9.140625" style="431"/>
    <col min="8705" max="8705" width="54.140625" style="431" customWidth="1"/>
    <col min="8706" max="8706" width="13.28515625" style="431" customWidth="1"/>
    <col min="8707" max="8707" width="12.85546875" style="431" bestFit="1" customWidth="1"/>
    <col min="8708" max="8711" width="13" style="431" bestFit="1" customWidth="1"/>
    <col min="8712" max="8732" width="14" style="431" bestFit="1" customWidth="1"/>
    <col min="8733" max="8750" width="14" style="431" customWidth="1"/>
    <col min="8751" max="8960" width="9.140625" style="431"/>
    <col min="8961" max="8961" width="54.140625" style="431" customWidth="1"/>
    <col min="8962" max="8962" width="13.28515625" style="431" customWidth="1"/>
    <col min="8963" max="8963" width="12.85546875" style="431" bestFit="1" customWidth="1"/>
    <col min="8964" max="8967" width="13" style="431" bestFit="1" customWidth="1"/>
    <col min="8968" max="8988" width="14" style="431" bestFit="1" customWidth="1"/>
    <col min="8989" max="9006" width="14" style="431" customWidth="1"/>
    <col min="9007" max="9216" width="9.140625" style="431"/>
    <col min="9217" max="9217" width="54.140625" style="431" customWidth="1"/>
    <col min="9218" max="9218" width="13.28515625" style="431" customWidth="1"/>
    <col min="9219" max="9219" width="12.85546875" style="431" bestFit="1" customWidth="1"/>
    <col min="9220" max="9223" width="13" style="431" bestFit="1" customWidth="1"/>
    <col min="9224" max="9244" width="14" style="431" bestFit="1" customWidth="1"/>
    <col min="9245" max="9262" width="14" style="431" customWidth="1"/>
    <col min="9263" max="9472" width="9.140625" style="431"/>
    <col min="9473" max="9473" width="54.140625" style="431" customWidth="1"/>
    <col min="9474" max="9474" width="13.28515625" style="431" customWidth="1"/>
    <col min="9475" max="9475" width="12.85546875" style="431" bestFit="1" customWidth="1"/>
    <col min="9476" max="9479" width="13" style="431" bestFit="1" customWidth="1"/>
    <col min="9480" max="9500" width="14" style="431" bestFit="1" customWidth="1"/>
    <col min="9501" max="9518" width="14" style="431" customWidth="1"/>
    <col min="9519" max="9728" width="9.140625" style="431"/>
    <col min="9729" max="9729" width="54.140625" style="431" customWidth="1"/>
    <col min="9730" max="9730" width="13.28515625" style="431" customWidth="1"/>
    <col min="9731" max="9731" width="12.85546875" style="431" bestFit="1" customWidth="1"/>
    <col min="9732" max="9735" width="13" style="431" bestFit="1" customWidth="1"/>
    <col min="9736" max="9756" width="14" style="431" bestFit="1" customWidth="1"/>
    <col min="9757" max="9774" width="14" style="431" customWidth="1"/>
    <col min="9775" max="9984" width="9.140625" style="431"/>
    <col min="9985" max="9985" width="54.140625" style="431" customWidth="1"/>
    <col min="9986" max="9986" width="13.28515625" style="431" customWidth="1"/>
    <col min="9987" max="9987" width="12.85546875" style="431" bestFit="1" customWidth="1"/>
    <col min="9988" max="9991" width="13" style="431" bestFit="1" customWidth="1"/>
    <col min="9992" max="10012" width="14" style="431" bestFit="1" customWidth="1"/>
    <col min="10013" max="10030" width="14" style="431" customWidth="1"/>
    <col min="10031" max="10240" width="9.140625" style="431"/>
    <col min="10241" max="10241" width="54.140625" style="431" customWidth="1"/>
    <col min="10242" max="10242" width="13.28515625" style="431" customWidth="1"/>
    <col min="10243" max="10243" width="12.85546875" style="431" bestFit="1" customWidth="1"/>
    <col min="10244" max="10247" width="13" style="431" bestFit="1" customWidth="1"/>
    <col min="10248" max="10268" width="14" style="431" bestFit="1" customWidth="1"/>
    <col min="10269" max="10286" width="14" style="431" customWidth="1"/>
    <col min="10287" max="10496" width="9.140625" style="431"/>
    <col min="10497" max="10497" width="54.140625" style="431" customWidth="1"/>
    <col min="10498" max="10498" width="13.28515625" style="431" customWidth="1"/>
    <col min="10499" max="10499" width="12.85546875" style="431" bestFit="1" customWidth="1"/>
    <col min="10500" max="10503" width="13" style="431" bestFit="1" customWidth="1"/>
    <col min="10504" max="10524" width="14" style="431" bestFit="1" customWidth="1"/>
    <col min="10525" max="10542" width="14" style="431" customWidth="1"/>
    <col min="10543" max="10752" width="9.140625" style="431"/>
    <col min="10753" max="10753" width="54.140625" style="431" customWidth="1"/>
    <col min="10754" max="10754" width="13.28515625" style="431" customWidth="1"/>
    <col min="10755" max="10755" width="12.85546875" style="431" bestFit="1" customWidth="1"/>
    <col min="10756" max="10759" width="13" style="431" bestFit="1" customWidth="1"/>
    <col min="10760" max="10780" width="14" style="431" bestFit="1" customWidth="1"/>
    <col min="10781" max="10798" width="14" style="431" customWidth="1"/>
    <col min="10799" max="11008" width="9.140625" style="431"/>
    <col min="11009" max="11009" width="54.140625" style="431" customWidth="1"/>
    <col min="11010" max="11010" width="13.28515625" style="431" customWidth="1"/>
    <col min="11011" max="11011" width="12.85546875" style="431" bestFit="1" customWidth="1"/>
    <col min="11012" max="11015" width="13" style="431" bestFit="1" customWidth="1"/>
    <col min="11016" max="11036" width="14" style="431" bestFit="1" customWidth="1"/>
    <col min="11037" max="11054" width="14" style="431" customWidth="1"/>
    <col min="11055" max="11264" width="9.140625" style="431"/>
    <col min="11265" max="11265" width="54.140625" style="431" customWidth="1"/>
    <col min="11266" max="11266" width="13.28515625" style="431" customWidth="1"/>
    <col min="11267" max="11267" width="12.85546875" style="431" bestFit="1" customWidth="1"/>
    <col min="11268" max="11271" width="13" style="431" bestFit="1" customWidth="1"/>
    <col min="11272" max="11292" width="14" style="431" bestFit="1" customWidth="1"/>
    <col min="11293" max="11310" width="14" style="431" customWidth="1"/>
    <col min="11311" max="11520" width="9.140625" style="431"/>
    <col min="11521" max="11521" width="54.140625" style="431" customWidth="1"/>
    <col min="11522" max="11522" width="13.28515625" style="431" customWidth="1"/>
    <col min="11523" max="11523" width="12.85546875" style="431" bestFit="1" customWidth="1"/>
    <col min="11524" max="11527" width="13" style="431" bestFit="1" customWidth="1"/>
    <col min="11528" max="11548" width="14" style="431" bestFit="1" customWidth="1"/>
    <col min="11549" max="11566" width="14" style="431" customWidth="1"/>
    <col min="11567" max="11776" width="9.140625" style="431"/>
    <col min="11777" max="11777" width="54.140625" style="431" customWidth="1"/>
    <col min="11778" max="11778" width="13.28515625" style="431" customWidth="1"/>
    <col min="11779" max="11779" width="12.85546875" style="431" bestFit="1" customWidth="1"/>
    <col min="11780" max="11783" width="13" style="431" bestFit="1" customWidth="1"/>
    <col min="11784" max="11804" width="14" style="431" bestFit="1" customWidth="1"/>
    <col min="11805" max="11822" width="14" style="431" customWidth="1"/>
    <col min="11823" max="12032" width="9.140625" style="431"/>
    <col min="12033" max="12033" width="54.140625" style="431" customWidth="1"/>
    <col min="12034" max="12034" width="13.28515625" style="431" customWidth="1"/>
    <col min="12035" max="12035" width="12.85546875" style="431" bestFit="1" customWidth="1"/>
    <col min="12036" max="12039" width="13" style="431" bestFit="1" customWidth="1"/>
    <col min="12040" max="12060" width="14" style="431" bestFit="1" customWidth="1"/>
    <col min="12061" max="12078" width="14" style="431" customWidth="1"/>
    <col min="12079" max="12288" width="9.140625" style="431"/>
    <col min="12289" max="12289" width="54.140625" style="431" customWidth="1"/>
    <col min="12290" max="12290" width="13.28515625" style="431" customWidth="1"/>
    <col min="12291" max="12291" width="12.85546875" style="431" bestFit="1" customWidth="1"/>
    <col min="12292" max="12295" width="13" style="431" bestFit="1" customWidth="1"/>
    <col min="12296" max="12316" width="14" style="431" bestFit="1" customWidth="1"/>
    <col min="12317" max="12334" width="14" style="431" customWidth="1"/>
    <col min="12335" max="12544" width="9.140625" style="431"/>
    <col min="12545" max="12545" width="54.140625" style="431" customWidth="1"/>
    <col min="12546" max="12546" width="13.28515625" style="431" customWidth="1"/>
    <col min="12547" max="12547" width="12.85546875" style="431" bestFit="1" customWidth="1"/>
    <col min="12548" max="12551" width="13" style="431" bestFit="1" customWidth="1"/>
    <col min="12552" max="12572" width="14" style="431" bestFit="1" customWidth="1"/>
    <col min="12573" max="12590" width="14" style="431" customWidth="1"/>
    <col min="12591" max="12800" width="9.140625" style="431"/>
    <col min="12801" max="12801" width="54.140625" style="431" customWidth="1"/>
    <col min="12802" max="12802" width="13.28515625" style="431" customWidth="1"/>
    <col min="12803" max="12803" width="12.85546875" style="431" bestFit="1" customWidth="1"/>
    <col min="12804" max="12807" width="13" style="431" bestFit="1" customWidth="1"/>
    <col min="12808" max="12828" width="14" style="431" bestFit="1" customWidth="1"/>
    <col min="12829" max="12846" width="14" style="431" customWidth="1"/>
    <col min="12847" max="13056" width="9.140625" style="431"/>
    <col min="13057" max="13057" width="54.140625" style="431" customWidth="1"/>
    <col min="13058" max="13058" width="13.28515625" style="431" customWidth="1"/>
    <col min="13059" max="13059" width="12.85546875" style="431" bestFit="1" customWidth="1"/>
    <col min="13060" max="13063" width="13" style="431" bestFit="1" customWidth="1"/>
    <col min="13064" max="13084" width="14" style="431" bestFit="1" customWidth="1"/>
    <col min="13085" max="13102" width="14" style="431" customWidth="1"/>
    <col min="13103" max="13312" width="9.140625" style="431"/>
    <col min="13313" max="13313" width="54.140625" style="431" customWidth="1"/>
    <col min="13314" max="13314" width="13.28515625" style="431" customWidth="1"/>
    <col min="13315" max="13315" width="12.85546875" style="431" bestFit="1" customWidth="1"/>
    <col min="13316" max="13319" width="13" style="431" bestFit="1" customWidth="1"/>
    <col min="13320" max="13340" width="14" style="431" bestFit="1" customWidth="1"/>
    <col min="13341" max="13358" width="14" style="431" customWidth="1"/>
    <col min="13359" max="13568" width="9.140625" style="431"/>
    <col min="13569" max="13569" width="54.140625" style="431" customWidth="1"/>
    <col min="13570" max="13570" width="13.28515625" style="431" customWidth="1"/>
    <col min="13571" max="13571" width="12.85546875" style="431" bestFit="1" customWidth="1"/>
    <col min="13572" max="13575" width="13" style="431" bestFit="1" customWidth="1"/>
    <col min="13576" max="13596" width="14" style="431" bestFit="1" customWidth="1"/>
    <col min="13597" max="13614" width="14" style="431" customWidth="1"/>
    <col min="13615" max="13824" width="9.140625" style="431"/>
    <col min="13825" max="13825" width="54.140625" style="431" customWidth="1"/>
    <col min="13826" max="13826" width="13.28515625" style="431" customWidth="1"/>
    <col min="13827" max="13827" width="12.85546875" style="431" bestFit="1" customWidth="1"/>
    <col min="13828" max="13831" width="13" style="431" bestFit="1" customWidth="1"/>
    <col min="13832" max="13852" width="14" style="431" bestFit="1" customWidth="1"/>
    <col min="13853" max="13870" width="14" style="431" customWidth="1"/>
    <col min="13871" max="14080" width="9.140625" style="431"/>
    <col min="14081" max="14081" width="54.140625" style="431" customWidth="1"/>
    <col min="14082" max="14082" width="13.28515625" style="431" customWidth="1"/>
    <col min="14083" max="14083" width="12.85546875" style="431" bestFit="1" customWidth="1"/>
    <col min="14084" max="14087" width="13" style="431" bestFit="1" customWidth="1"/>
    <col min="14088" max="14108" width="14" style="431" bestFit="1" customWidth="1"/>
    <col min="14109" max="14126" width="14" style="431" customWidth="1"/>
    <col min="14127" max="14336" width="9.140625" style="431"/>
    <col min="14337" max="14337" width="54.140625" style="431" customWidth="1"/>
    <col min="14338" max="14338" width="13.28515625" style="431" customWidth="1"/>
    <col min="14339" max="14339" width="12.85546875" style="431" bestFit="1" customWidth="1"/>
    <col min="14340" max="14343" width="13" style="431" bestFit="1" customWidth="1"/>
    <col min="14344" max="14364" width="14" style="431" bestFit="1" customWidth="1"/>
    <col min="14365" max="14382" width="14" style="431" customWidth="1"/>
    <col min="14383" max="14592" width="9.140625" style="431"/>
    <col min="14593" max="14593" width="54.140625" style="431" customWidth="1"/>
    <col min="14594" max="14594" width="13.28515625" style="431" customWidth="1"/>
    <col min="14595" max="14595" width="12.85546875" style="431" bestFit="1" customWidth="1"/>
    <col min="14596" max="14599" width="13" style="431" bestFit="1" customWidth="1"/>
    <col min="14600" max="14620" width="14" style="431" bestFit="1" customWidth="1"/>
    <col min="14621" max="14638" width="14" style="431" customWidth="1"/>
    <col min="14639" max="14848" width="9.140625" style="431"/>
    <col min="14849" max="14849" width="54.140625" style="431" customWidth="1"/>
    <col min="14850" max="14850" width="13.28515625" style="431" customWidth="1"/>
    <col min="14851" max="14851" width="12.85546875" style="431" bestFit="1" customWidth="1"/>
    <col min="14852" max="14855" width="13" style="431" bestFit="1" customWidth="1"/>
    <col min="14856" max="14876" width="14" style="431" bestFit="1" customWidth="1"/>
    <col min="14877" max="14894" width="14" style="431" customWidth="1"/>
    <col min="14895" max="15104" width="9.140625" style="431"/>
    <col min="15105" max="15105" width="54.140625" style="431" customWidth="1"/>
    <col min="15106" max="15106" width="13.28515625" style="431" customWidth="1"/>
    <col min="15107" max="15107" width="12.85546875" style="431" bestFit="1" customWidth="1"/>
    <col min="15108" max="15111" width="13" style="431" bestFit="1" customWidth="1"/>
    <col min="15112" max="15132" width="14" style="431" bestFit="1" customWidth="1"/>
    <col min="15133" max="15150" width="14" style="431" customWidth="1"/>
    <col min="15151" max="15360" width="9.140625" style="431"/>
    <col min="15361" max="15361" width="54.140625" style="431" customWidth="1"/>
    <col min="15362" max="15362" width="13.28515625" style="431" customWidth="1"/>
    <col min="15363" max="15363" width="12.85546875" style="431" bestFit="1" customWidth="1"/>
    <col min="15364" max="15367" width="13" style="431" bestFit="1" customWidth="1"/>
    <col min="15368" max="15388" width="14" style="431" bestFit="1" customWidth="1"/>
    <col min="15389" max="15406" width="14" style="431" customWidth="1"/>
    <col min="15407" max="15616" width="9.140625" style="431"/>
    <col min="15617" max="15617" width="54.140625" style="431" customWidth="1"/>
    <col min="15618" max="15618" width="13.28515625" style="431" customWidth="1"/>
    <col min="15619" max="15619" width="12.85546875" style="431" bestFit="1" customWidth="1"/>
    <col min="15620" max="15623" width="13" style="431" bestFit="1" customWidth="1"/>
    <col min="15624" max="15644" width="14" style="431" bestFit="1" customWidth="1"/>
    <col min="15645" max="15662" width="14" style="431" customWidth="1"/>
    <col min="15663" max="15872" width="9.140625" style="431"/>
    <col min="15873" max="15873" width="54.140625" style="431" customWidth="1"/>
    <col min="15874" max="15874" width="13.28515625" style="431" customWidth="1"/>
    <col min="15875" max="15875" width="12.85546875" style="431" bestFit="1" customWidth="1"/>
    <col min="15876" max="15879" width="13" style="431" bestFit="1" customWidth="1"/>
    <col min="15880" max="15900" width="14" style="431" bestFit="1" customWidth="1"/>
    <col min="15901" max="15918" width="14" style="431" customWidth="1"/>
    <col min="15919" max="16128" width="9.140625" style="431"/>
    <col min="16129" max="16129" width="54.140625" style="431" customWidth="1"/>
    <col min="16130" max="16130" width="13.28515625" style="431" customWidth="1"/>
    <col min="16131" max="16131" width="12.85546875" style="431" bestFit="1" customWidth="1"/>
    <col min="16132" max="16135" width="13" style="431" bestFit="1" customWidth="1"/>
    <col min="16136" max="16156" width="14" style="431" bestFit="1" customWidth="1"/>
    <col min="16157" max="16174" width="14" style="431" customWidth="1"/>
    <col min="16175" max="16384" width="9.140625" style="431"/>
  </cols>
  <sheetData>
    <row r="1" spans="1:89" ht="18">
      <c r="B1" s="291" t="s">
        <v>1357</v>
      </c>
      <c r="C1" s="291"/>
      <c r="D1" s="291"/>
      <c r="E1" s="291"/>
      <c r="F1" s="291"/>
      <c r="G1" s="291"/>
      <c r="H1" s="291"/>
      <c r="I1" s="291"/>
      <c r="J1" s="291"/>
      <c r="K1" s="291"/>
      <c r="L1" s="291"/>
      <c r="M1" s="291"/>
    </row>
    <row r="2" spans="1:89" ht="18">
      <c r="B2" s="291" t="s">
        <v>1358</v>
      </c>
      <c r="C2" s="291"/>
      <c r="D2" s="291"/>
      <c r="E2" s="291"/>
      <c r="F2" s="291"/>
      <c r="G2" s="291"/>
      <c r="H2" s="291"/>
      <c r="I2" s="291"/>
      <c r="J2" s="291"/>
      <c r="K2" s="291"/>
      <c r="L2" s="291"/>
      <c r="M2" s="291"/>
      <c r="N2" s="291"/>
      <c r="O2" s="291"/>
      <c r="P2" s="291"/>
      <c r="Q2" s="291"/>
      <c r="R2" s="291"/>
      <c r="S2" s="432"/>
      <c r="T2" s="291"/>
      <c r="U2" s="291"/>
      <c r="V2" s="291"/>
      <c r="W2" s="291"/>
      <c r="X2" s="291"/>
      <c r="Y2" s="291"/>
      <c r="Z2" s="291"/>
    </row>
    <row r="3" spans="1:89" ht="18">
      <c r="B3" s="291" t="s">
        <v>1325</v>
      </c>
      <c r="C3" s="291"/>
      <c r="D3" s="291"/>
      <c r="E3" s="291"/>
      <c r="F3" s="291"/>
      <c r="G3" s="291"/>
      <c r="H3" s="291"/>
      <c r="I3" s="291"/>
      <c r="J3" s="291"/>
      <c r="K3" s="291"/>
      <c r="L3" s="291"/>
      <c r="M3" s="291"/>
      <c r="N3" s="433"/>
      <c r="O3" s="433"/>
      <c r="P3" s="433"/>
      <c r="Q3" s="433"/>
      <c r="R3" s="433"/>
      <c r="S3" s="434"/>
      <c r="T3" s="433"/>
      <c r="U3" s="433"/>
      <c r="V3" s="433"/>
      <c r="W3" s="433"/>
      <c r="X3" s="433"/>
      <c r="Y3" s="433"/>
      <c r="Z3" s="433"/>
    </row>
    <row r="4" spans="1:89" ht="6.75" customHeight="1">
      <c r="B4" s="291"/>
      <c r="C4" s="291"/>
      <c r="D4" s="291"/>
      <c r="E4" s="291"/>
      <c r="F4" s="291"/>
      <c r="G4" s="291"/>
      <c r="H4" s="291"/>
      <c r="I4" s="291"/>
      <c r="J4" s="291"/>
      <c r="K4" s="291"/>
      <c r="L4" s="291"/>
      <c r="M4" s="291"/>
      <c r="N4" s="291"/>
      <c r="O4" s="291"/>
      <c r="P4" s="291"/>
      <c r="Q4" s="291"/>
      <c r="R4" s="291"/>
      <c r="S4" s="291"/>
      <c r="T4" s="291"/>
      <c r="U4" s="291"/>
      <c r="V4" s="291"/>
      <c r="W4" s="291"/>
      <c r="X4" s="291"/>
      <c r="Y4" s="291"/>
      <c r="Z4" s="291"/>
    </row>
    <row r="5" spans="1:89" ht="15" customHeight="1">
      <c r="B5" s="291"/>
      <c r="C5" s="291" t="s">
        <v>915</v>
      </c>
      <c r="D5" s="291">
        <v>2019</v>
      </c>
      <c r="E5" s="291">
        <v>2019</v>
      </c>
      <c r="F5" s="291">
        <v>2019</v>
      </c>
      <c r="G5" s="291">
        <v>2019</v>
      </c>
      <c r="H5" s="291">
        <v>2019</v>
      </c>
      <c r="I5" s="291">
        <v>2020</v>
      </c>
      <c r="J5" s="291">
        <v>2020</v>
      </c>
      <c r="K5" s="291">
        <f t="shared" ref="K5:BV5" si="0">YEAR(K8)</f>
        <v>2020</v>
      </c>
      <c r="L5" s="291">
        <f t="shared" si="0"/>
        <v>2020</v>
      </c>
      <c r="M5" s="291">
        <f t="shared" si="0"/>
        <v>2020</v>
      </c>
      <c r="N5" s="291">
        <f t="shared" si="0"/>
        <v>2020</v>
      </c>
      <c r="O5" s="291">
        <f t="shared" si="0"/>
        <v>2020</v>
      </c>
      <c r="P5" s="291">
        <f t="shared" si="0"/>
        <v>2020</v>
      </c>
      <c r="Q5" s="291">
        <f t="shared" si="0"/>
        <v>2020</v>
      </c>
      <c r="R5" s="291">
        <f t="shared" si="0"/>
        <v>2020</v>
      </c>
      <c r="S5" s="291">
        <f t="shared" si="0"/>
        <v>2020</v>
      </c>
      <c r="T5" s="291">
        <f t="shared" si="0"/>
        <v>2020</v>
      </c>
      <c r="U5" s="291">
        <v>2021</v>
      </c>
      <c r="V5" s="291">
        <f t="shared" si="0"/>
        <v>2021</v>
      </c>
      <c r="W5" s="291">
        <f t="shared" si="0"/>
        <v>2021</v>
      </c>
      <c r="X5" s="291">
        <f t="shared" si="0"/>
        <v>2021</v>
      </c>
      <c r="Y5" s="291">
        <f t="shared" si="0"/>
        <v>2021</v>
      </c>
      <c r="Z5" s="291">
        <f t="shared" si="0"/>
        <v>2021</v>
      </c>
      <c r="AA5" s="291">
        <f t="shared" si="0"/>
        <v>2021</v>
      </c>
      <c r="AB5" s="291">
        <f t="shared" si="0"/>
        <v>2021</v>
      </c>
      <c r="AC5" s="291">
        <f t="shared" si="0"/>
        <v>2021</v>
      </c>
      <c r="AD5" s="291">
        <f t="shared" si="0"/>
        <v>2021</v>
      </c>
      <c r="AE5" s="291">
        <f t="shared" si="0"/>
        <v>2021</v>
      </c>
      <c r="AF5" s="291">
        <f t="shared" si="0"/>
        <v>2021</v>
      </c>
      <c r="AG5" s="291">
        <f t="shared" si="0"/>
        <v>2022</v>
      </c>
      <c r="AH5" s="291">
        <f t="shared" si="0"/>
        <v>2022</v>
      </c>
      <c r="AI5" s="291">
        <f t="shared" si="0"/>
        <v>2022</v>
      </c>
      <c r="AJ5" s="291">
        <f t="shared" si="0"/>
        <v>2022</v>
      </c>
      <c r="AK5" s="291">
        <f t="shared" si="0"/>
        <v>2022</v>
      </c>
      <c r="AL5" s="291">
        <f t="shared" si="0"/>
        <v>2022</v>
      </c>
      <c r="AM5" s="291">
        <f t="shared" si="0"/>
        <v>2022</v>
      </c>
      <c r="AN5" s="291">
        <f t="shared" si="0"/>
        <v>2022</v>
      </c>
      <c r="AO5" s="291">
        <f t="shared" si="0"/>
        <v>2022</v>
      </c>
      <c r="AP5" s="291">
        <f t="shared" si="0"/>
        <v>2022</v>
      </c>
      <c r="AQ5" s="291">
        <f t="shared" si="0"/>
        <v>2022</v>
      </c>
      <c r="AR5" s="291">
        <f t="shared" si="0"/>
        <v>2022</v>
      </c>
      <c r="AS5" s="291">
        <f t="shared" si="0"/>
        <v>2023</v>
      </c>
      <c r="AT5" s="291">
        <f t="shared" si="0"/>
        <v>2023</v>
      </c>
      <c r="AU5" s="291">
        <f t="shared" si="0"/>
        <v>2023</v>
      </c>
      <c r="AV5" s="291">
        <f t="shared" si="0"/>
        <v>2023</v>
      </c>
      <c r="AW5" s="291">
        <f t="shared" si="0"/>
        <v>2023</v>
      </c>
      <c r="AX5" s="291">
        <f t="shared" si="0"/>
        <v>2023</v>
      </c>
      <c r="AY5" s="291">
        <f t="shared" si="0"/>
        <v>2023</v>
      </c>
      <c r="AZ5" s="291">
        <f t="shared" si="0"/>
        <v>2023</v>
      </c>
      <c r="BA5" s="291">
        <f t="shared" si="0"/>
        <v>2023</v>
      </c>
      <c r="BB5" s="291">
        <f t="shared" si="0"/>
        <v>2023</v>
      </c>
      <c r="BC5" s="291">
        <f t="shared" si="0"/>
        <v>2023</v>
      </c>
      <c r="BD5" s="291">
        <f t="shared" si="0"/>
        <v>2023</v>
      </c>
      <c r="BE5" s="291">
        <f t="shared" si="0"/>
        <v>2024</v>
      </c>
      <c r="BF5" s="291">
        <f t="shared" si="0"/>
        <v>2024</v>
      </c>
      <c r="BG5" s="291">
        <f t="shared" si="0"/>
        <v>2024</v>
      </c>
      <c r="BH5" s="291">
        <f t="shared" si="0"/>
        <v>2024</v>
      </c>
      <c r="BI5" s="291">
        <f t="shared" si="0"/>
        <v>2024</v>
      </c>
      <c r="BJ5" s="291">
        <f t="shared" si="0"/>
        <v>2024</v>
      </c>
      <c r="BK5" s="291">
        <f t="shared" si="0"/>
        <v>2024</v>
      </c>
      <c r="BL5" s="291">
        <f t="shared" si="0"/>
        <v>2024</v>
      </c>
      <c r="BM5" s="291">
        <f t="shared" si="0"/>
        <v>2024</v>
      </c>
      <c r="BN5" s="291">
        <f t="shared" si="0"/>
        <v>2024</v>
      </c>
      <c r="BO5" s="291">
        <f t="shared" si="0"/>
        <v>2024</v>
      </c>
      <c r="BP5" s="291">
        <f t="shared" si="0"/>
        <v>2024</v>
      </c>
      <c r="BQ5" s="291">
        <f t="shared" si="0"/>
        <v>2025</v>
      </c>
      <c r="BR5" s="291">
        <f t="shared" si="0"/>
        <v>2025</v>
      </c>
      <c r="BS5" s="291">
        <f t="shared" si="0"/>
        <v>2025</v>
      </c>
      <c r="BT5" s="291">
        <f t="shared" si="0"/>
        <v>2025</v>
      </c>
      <c r="BU5" s="291">
        <f t="shared" si="0"/>
        <v>2025</v>
      </c>
      <c r="BV5" s="291">
        <f t="shared" si="0"/>
        <v>2025</v>
      </c>
      <c r="BW5" s="291">
        <f t="shared" ref="BW5:CD5" si="1">YEAR(BW8)</f>
        <v>2025</v>
      </c>
      <c r="BX5" s="291">
        <f t="shared" si="1"/>
        <v>2025</v>
      </c>
      <c r="BY5" s="291">
        <f t="shared" si="1"/>
        <v>2025</v>
      </c>
      <c r="BZ5" s="291">
        <f t="shared" si="1"/>
        <v>2025</v>
      </c>
      <c r="CA5" s="291">
        <f t="shared" si="1"/>
        <v>2025</v>
      </c>
      <c r="CB5" s="291">
        <f t="shared" si="1"/>
        <v>2025</v>
      </c>
      <c r="CC5" s="291">
        <f t="shared" si="1"/>
        <v>2026</v>
      </c>
      <c r="CD5" s="291">
        <f t="shared" si="1"/>
        <v>2026</v>
      </c>
    </row>
    <row r="6" spans="1:89" ht="15.75">
      <c r="B6" s="435"/>
      <c r="C6" s="435" t="s">
        <v>1359</v>
      </c>
      <c r="D6" s="435">
        <f t="shared" ref="D6:I6" si="2">ROUNDUP(MONTH(D8)/3,0)</f>
        <v>3</v>
      </c>
      <c r="E6" s="435">
        <f t="shared" si="2"/>
        <v>3</v>
      </c>
      <c r="F6" s="435">
        <f t="shared" si="2"/>
        <v>4</v>
      </c>
      <c r="G6" s="435">
        <f t="shared" si="2"/>
        <v>4</v>
      </c>
      <c r="H6" s="435">
        <f t="shared" si="2"/>
        <v>4</v>
      </c>
      <c r="I6" s="435">
        <f t="shared" si="2"/>
        <v>1</v>
      </c>
      <c r="J6" s="435">
        <f>ROUNDUP(MONTH(J8)/3,0)</f>
        <v>1</v>
      </c>
      <c r="K6" s="435">
        <f t="shared" ref="K6:BV6" si="3">ROUNDUP(MONTH(K8)/3,0)</f>
        <v>1</v>
      </c>
      <c r="L6" s="435">
        <f t="shared" si="3"/>
        <v>2</v>
      </c>
      <c r="M6" s="435">
        <f t="shared" si="3"/>
        <v>2</v>
      </c>
      <c r="N6" s="435">
        <f t="shared" si="3"/>
        <v>2</v>
      </c>
      <c r="O6" s="435">
        <f t="shared" si="3"/>
        <v>3</v>
      </c>
      <c r="P6" s="435">
        <f t="shared" si="3"/>
        <v>2</v>
      </c>
      <c r="Q6" s="435">
        <f t="shared" si="3"/>
        <v>3</v>
      </c>
      <c r="R6" s="435">
        <f t="shared" si="3"/>
        <v>4</v>
      </c>
      <c r="S6" s="435">
        <f t="shared" si="3"/>
        <v>4</v>
      </c>
      <c r="T6" s="435">
        <f t="shared" si="3"/>
        <v>4</v>
      </c>
      <c r="U6" s="435">
        <f t="shared" si="3"/>
        <v>1</v>
      </c>
      <c r="V6" s="435">
        <f t="shared" si="3"/>
        <v>1</v>
      </c>
      <c r="W6" s="435">
        <f t="shared" si="3"/>
        <v>1</v>
      </c>
      <c r="X6" s="435">
        <f t="shared" si="3"/>
        <v>2</v>
      </c>
      <c r="Y6" s="435">
        <f t="shared" si="3"/>
        <v>2</v>
      </c>
      <c r="Z6" s="435">
        <f t="shared" si="3"/>
        <v>2</v>
      </c>
      <c r="AA6" s="435">
        <f t="shared" si="3"/>
        <v>3</v>
      </c>
      <c r="AB6" s="435">
        <f t="shared" si="3"/>
        <v>3</v>
      </c>
      <c r="AC6" s="435">
        <f t="shared" si="3"/>
        <v>3</v>
      </c>
      <c r="AD6" s="435">
        <f t="shared" si="3"/>
        <v>4</v>
      </c>
      <c r="AE6" s="435">
        <f t="shared" si="3"/>
        <v>4</v>
      </c>
      <c r="AF6" s="435">
        <f t="shared" si="3"/>
        <v>4</v>
      </c>
      <c r="AG6" s="435">
        <f t="shared" si="3"/>
        <v>1</v>
      </c>
      <c r="AH6" s="435">
        <f t="shared" si="3"/>
        <v>1</v>
      </c>
      <c r="AI6" s="435">
        <f t="shared" si="3"/>
        <v>1</v>
      </c>
      <c r="AJ6" s="435">
        <f t="shared" si="3"/>
        <v>2</v>
      </c>
      <c r="AK6" s="435">
        <f t="shared" si="3"/>
        <v>2</v>
      </c>
      <c r="AL6" s="435">
        <f t="shared" si="3"/>
        <v>2</v>
      </c>
      <c r="AM6" s="435">
        <f t="shared" si="3"/>
        <v>3</v>
      </c>
      <c r="AN6" s="435">
        <f t="shared" si="3"/>
        <v>3</v>
      </c>
      <c r="AO6" s="435">
        <f t="shared" si="3"/>
        <v>3</v>
      </c>
      <c r="AP6" s="435">
        <f t="shared" si="3"/>
        <v>4</v>
      </c>
      <c r="AQ6" s="435">
        <f t="shared" si="3"/>
        <v>4</v>
      </c>
      <c r="AR6" s="435">
        <f t="shared" si="3"/>
        <v>4</v>
      </c>
      <c r="AS6" s="435">
        <f t="shared" si="3"/>
        <v>1</v>
      </c>
      <c r="AT6" s="435">
        <f t="shared" si="3"/>
        <v>1</v>
      </c>
      <c r="AU6" s="435">
        <f t="shared" si="3"/>
        <v>1</v>
      </c>
      <c r="AV6" s="435">
        <f t="shared" si="3"/>
        <v>2</v>
      </c>
      <c r="AW6" s="435">
        <f t="shared" si="3"/>
        <v>2</v>
      </c>
      <c r="AX6" s="435">
        <f t="shared" si="3"/>
        <v>2</v>
      </c>
      <c r="AY6" s="435">
        <f t="shared" si="3"/>
        <v>3</v>
      </c>
      <c r="AZ6" s="435">
        <f t="shared" si="3"/>
        <v>3</v>
      </c>
      <c r="BA6" s="435">
        <f t="shared" si="3"/>
        <v>3</v>
      </c>
      <c r="BB6" s="435">
        <f t="shared" si="3"/>
        <v>4</v>
      </c>
      <c r="BC6" s="435">
        <f t="shared" si="3"/>
        <v>4</v>
      </c>
      <c r="BD6" s="435">
        <f t="shared" si="3"/>
        <v>4</v>
      </c>
      <c r="BE6" s="435">
        <f t="shared" si="3"/>
        <v>1</v>
      </c>
      <c r="BF6" s="435">
        <f t="shared" si="3"/>
        <v>1</v>
      </c>
      <c r="BG6" s="435">
        <f t="shared" si="3"/>
        <v>1</v>
      </c>
      <c r="BH6" s="435">
        <f t="shared" si="3"/>
        <v>2</v>
      </c>
      <c r="BI6" s="435">
        <f t="shared" si="3"/>
        <v>2</v>
      </c>
      <c r="BJ6" s="435">
        <f t="shared" si="3"/>
        <v>2</v>
      </c>
      <c r="BK6" s="435">
        <f t="shared" si="3"/>
        <v>3</v>
      </c>
      <c r="BL6" s="435">
        <f t="shared" si="3"/>
        <v>3</v>
      </c>
      <c r="BM6" s="435">
        <f t="shared" si="3"/>
        <v>3</v>
      </c>
      <c r="BN6" s="435">
        <f t="shared" si="3"/>
        <v>4</v>
      </c>
      <c r="BO6" s="435">
        <f t="shared" si="3"/>
        <v>4</v>
      </c>
      <c r="BP6" s="435">
        <f t="shared" si="3"/>
        <v>4</v>
      </c>
      <c r="BQ6" s="435">
        <f t="shared" si="3"/>
        <v>1</v>
      </c>
      <c r="BR6" s="435">
        <f t="shared" si="3"/>
        <v>1</v>
      </c>
      <c r="BS6" s="435">
        <f t="shared" si="3"/>
        <v>1</v>
      </c>
      <c r="BT6" s="435">
        <f t="shared" si="3"/>
        <v>2</v>
      </c>
      <c r="BU6" s="435">
        <f t="shared" si="3"/>
        <v>2</v>
      </c>
      <c r="BV6" s="435">
        <f t="shared" si="3"/>
        <v>2</v>
      </c>
      <c r="BW6" s="435">
        <f t="shared" ref="BW6:CD6" si="4">ROUNDUP(MONTH(BW8)/3,0)</f>
        <v>3</v>
      </c>
      <c r="BX6" s="435">
        <f t="shared" si="4"/>
        <v>3</v>
      </c>
      <c r="BY6" s="435">
        <f t="shared" si="4"/>
        <v>3</v>
      </c>
      <c r="BZ6" s="435">
        <f t="shared" si="4"/>
        <v>4</v>
      </c>
      <c r="CA6" s="435">
        <f t="shared" si="4"/>
        <v>4</v>
      </c>
      <c r="CB6" s="435">
        <f t="shared" si="4"/>
        <v>4</v>
      </c>
      <c r="CC6" s="435">
        <f t="shared" si="4"/>
        <v>1</v>
      </c>
      <c r="CD6" s="435">
        <f t="shared" si="4"/>
        <v>1</v>
      </c>
    </row>
    <row r="7" spans="1:89" s="436" customFormat="1" ht="21.75" customHeight="1">
      <c r="C7" s="436" t="s">
        <v>1360</v>
      </c>
      <c r="D7" s="436" t="str">
        <f t="shared" ref="D7:I7" si="5">CONCATENATE(YEAR(D8),TEXT(D8,"mm"))</f>
        <v>201908</v>
      </c>
      <c r="E7" s="436" t="str">
        <f t="shared" si="5"/>
        <v>201909</v>
      </c>
      <c r="F7" s="436" t="str">
        <f t="shared" si="5"/>
        <v>201910</v>
      </c>
      <c r="G7" s="436" t="str">
        <f t="shared" si="5"/>
        <v>201911</v>
      </c>
      <c r="H7" s="436" t="str">
        <f t="shared" si="5"/>
        <v>201912</v>
      </c>
      <c r="I7" s="436" t="str">
        <f t="shared" si="5"/>
        <v>202001</v>
      </c>
      <c r="J7" s="436" t="str">
        <f>CONCATENATE(YEAR(J8),TEXT(J8,"mm"))</f>
        <v>202002</v>
      </c>
      <c r="K7" s="436" t="str">
        <f>CONCATENATE(YEAR(K8),TEXT(K8,"mm"))</f>
        <v>202003</v>
      </c>
      <c r="L7" s="436" t="str">
        <f t="shared" ref="L7:BW7" si="6">CONCATENATE(YEAR(L8),TEXT(L8,"mm"))</f>
        <v>202004</v>
      </c>
      <c r="M7" s="436" t="str">
        <f t="shared" si="6"/>
        <v>202005</v>
      </c>
      <c r="N7" s="436" t="str">
        <f t="shared" si="6"/>
        <v>202006</v>
      </c>
      <c r="O7" s="436" t="str">
        <f t="shared" si="6"/>
        <v>202007</v>
      </c>
      <c r="P7" s="436" t="str">
        <f t="shared" si="6"/>
        <v>202004</v>
      </c>
      <c r="Q7" s="436" t="str">
        <f t="shared" si="6"/>
        <v>202009</v>
      </c>
      <c r="R7" s="436" t="str">
        <f t="shared" si="6"/>
        <v>202010</v>
      </c>
      <c r="S7" s="436" t="str">
        <f t="shared" si="6"/>
        <v>202011</v>
      </c>
      <c r="T7" s="436" t="str">
        <f t="shared" si="6"/>
        <v>202012</v>
      </c>
      <c r="U7" s="436" t="str">
        <f t="shared" si="6"/>
        <v>202101</v>
      </c>
      <c r="V7" s="436" t="str">
        <f t="shared" si="6"/>
        <v>202102</v>
      </c>
      <c r="W7" s="436" t="str">
        <f t="shared" si="6"/>
        <v>202103</v>
      </c>
      <c r="X7" s="436" t="str">
        <f t="shared" si="6"/>
        <v>202104</v>
      </c>
      <c r="Y7" s="436" t="str">
        <f t="shared" si="6"/>
        <v>202105</v>
      </c>
      <c r="Z7" s="436" t="str">
        <f t="shared" si="6"/>
        <v>202106</v>
      </c>
      <c r="AA7" s="436" t="str">
        <f t="shared" si="6"/>
        <v>202107</v>
      </c>
      <c r="AB7" s="436" t="str">
        <f t="shared" si="6"/>
        <v>202108</v>
      </c>
      <c r="AC7" s="436" t="str">
        <f t="shared" si="6"/>
        <v>202109</v>
      </c>
      <c r="AD7" s="436" t="str">
        <f t="shared" si="6"/>
        <v>202110</v>
      </c>
      <c r="AE7" s="436" t="str">
        <f t="shared" si="6"/>
        <v>202111</v>
      </c>
      <c r="AF7" s="436" t="str">
        <f t="shared" si="6"/>
        <v>202112</v>
      </c>
      <c r="AG7" s="436" t="str">
        <f t="shared" si="6"/>
        <v>202201</v>
      </c>
      <c r="AH7" s="436" t="str">
        <f t="shared" si="6"/>
        <v>202202</v>
      </c>
      <c r="AI7" s="436" t="str">
        <f t="shared" si="6"/>
        <v>202203</v>
      </c>
      <c r="AJ7" s="436" t="str">
        <f t="shared" si="6"/>
        <v>202204</v>
      </c>
      <c r="AK7" s="436" t="str">
        <f t="shared" si="6"/>
        <v>202205</v>
      </c>
      <c r="AL7" s="436" t="str">
        <f t="shared" si="6"/>
        <v>202206</v>
      </c>
      <c r="AM7" s="436" t="str">
        <f t="shared" si="6"/>
        <v>202207</v>
      </c>
      <c r="AN7" s="436" t="str">
        <f t="shared" si="6"/>
        <v>202208</v>
      </c>
      <c r="AO7" s="436" t="str">
        <f t="shared" si="6"/>
        <v>202209</v>
      </c>
      <c r="AP7" s="436" t="str">
        <f t="shared" si="6"/>
        <v>202210</v>
      </c>
      <c r="AQ7" s="436" t="str">
        <f t="shared" si="6"/>
        <v>202211</v>
      </c>
      <c r="AR7" s="436" t="str">
        <f t="shared" si="6"/>
        <v>202212</v>
      </c>
      <c r="AS7" s="436" t="str">
        <f t="shared" si="6"/>
        <v>202301</v>
      </c>
      <c r="AT7" s="436" t="str">
        <f t="shared" si="6"/>
        <v>202302</v>
      </c>
      <c r="AU7" s="436" t="str">
        <f t="shared" si="6"/>
        <v>202303</v>
      </c>
      <c r="AV7" s="436" t="str">
        <f t="shared" si="6"/>
        <v>202304</v>
      </c>
      <c r="AW7" s="436" t="str">
        <f t="shared" si="6"/>
        <v>202305</v>
      </c>
      <c r="AX7" s="436" t="str">
        <f t="shared" si="6"/>
        <v>202306</v>
      </c>
      <c r="AY7" s="436" t="str">
        <f t="shared" si="6"/>
        <v>202307</v>
      </c>
      <c r="AZ7" s="436" t="str">
        <f t="shared" si="6"/>
        <v>202308</v>
      </c>
      <c r="BA7" s="436" t="str">
        <f t="shared" si="6"/>
        <v>202309</v>
      </c>
      <c r="BB7" s="436" t="str">
        <f t="shared" si="6"/>
        <v>202310</v>
      </c>
      <c r="BC7" s="436" t="str">
        <f t="shared" si="6"/>
        <v>202311</v>
      </c>
      <c r="BD7" s="436" t="str">
        <f t="shared" si="6"/>
        <v>202312</v>
      </c>
      <c r="BE7" s="436" t="str">
        <f t="shared" si="6"/>
        <v>202401</v>
      </c>
      <c r="BF7" s="436" t="str">
        <f t="shared" si="6"/>
        <v>202402</v>
      </c>
      <c r="BG7" s="436" t="str">
        <f t="shared" si="6"/>
        <v>202403</v>
      </c>
      <c r="BH7" s="436" t="str">
        <f t="shared" si="6"/>
        <v>202404</v>
      </c>
      <c r="BI7" s="436" t="str">
        <f t="shared" si="6"/>
        <v>202405</v>
      </c>
      <c r="BJ7" s="436" t="str">
        <f t="shared" si="6"/>
        <v>202406</v>
      </c>
      <c r="BK7" s="436" t="str">
        <f t="shared" si="6"/>
        <v>202407</v>
      </c>
      <c r="BL7" s="436" t="str">
        <f t="shared" si="6"/>
        <v>202408</v>
      </c>
      <c r="BM7" s="436" t="str">
        <f t="shared" si="6"/>
        <v>202409</v>
      </c>
      <c r="BN7" s="436" t="str">
        <f t="shared" si="6"/>
        <v>202410</v>
      </c>
      <c r="BO7" s="436" t="str">
        <f t="shared" si="6"/>
        <v>202411</v>
      </c>
      <c r="BP7" s="436" t="str">
        <f t="shared" si="6"/>
        <v>202412</v>
      </c>
      <c r="BQ7" s="436" t="str">
        <f t="shared" si="6"/>
        <v>202501</v>
      </c>
      <c r="BR7" s="436" t="str">
        <f t="shared" si="6"/>
        <v>202502</v>
      </c>
      <c r="BS7" s="436" t="str">
        <f t="shared" si="6"/>
        <v>202503</v>
      </c>
      <c r="BT7" s="436" t="str">
        <f t="shared" si="6"/>
        <v>202504</v>
      </c>
      <c r="BU7" s="436" t="str">
        <f t="shared" si="6"/>
        <v>202505</v>
      </c>
      <c r="BV7" s="436" t="str">
        <f t="shared" si="6"/>
        <v>202506</v>
      </c>
      <c r="BW7" s="436" t="str">
        <f t="shared" si="6"/>
        <v>202507</v>
      </c>
      <c r="BX7" s="436" t="str">
        <f t="shared" ref="BX7:CD7" si="7">CONCATENATE(YEAR(BX8),TEXT(BX8,"mm"))</f>
        <v>202508</v>
      </c>
      <c r="BY7" s="436" t="str">
        <f t="shared" si="7"/>
        <v>202509</v>
      </c>
      <c r="BZ7" s="436" t="str">
        <f t="shared" si="7"/>
        <v>202510</v>
      </c>
      <c r="CA7" s="436" t="str">
        <f t="shared" si="7"/>
        <v>202511</v>
      </c>
      <c r="CB7" s="436" t="str">
        <f t="shared" si="7"/>
        <v>202512</v>
      </c>
      <c r="CC7" s="436" t="str">
        <f t="shared" si="7"/>
        <v>202601</v>
      </c>
      <c r="CD7" s="436" t="str">
        <f t="shared" si="7"/>
        <v>202602</v>
      </c>
    </row>
    <row r="8" spans="1:89" ht="16.5" thickBot="1">
      <c r="A8" s="431" t="s">
        <v>1361</v>
      </c>
      <c r="B8" s="437" t="s">
        <v>1362</v>
      </c>
      <c r="C8" s="438" t="s">
        <v>1363</v>
      </c>
      <c r="D8" s="439">
        <v>43678</v>
      </c>
      <c r="E8" s="439">
        <v>43709</v>
      </c>
      <c r="F8" s="439">
        <v>43739</v>
      </c>
      <c r="G8" s="439">
        <v>43770</v>
      </c>
      <c r="H8" s="439">
        <v>43800</v>
      </c>
      <c r="I8" s="439">
        <v>43831</v>
      </c>
      <c r="J8" s="439">
        <v>43862</v>
      </c>
      <c r="K8" s="439">
        <v>43892</v>
      </c>
      <c r="L8" s="439">
        <v>43924</v>
      </c>
      <c r="M8" s="439">
        <v>43955</v>
      </c>
      <c r="N8" s="439">
        <v>43983</v>
      </c>
      <c r="O8" s="439">
        <v>44014</v>
      </c>
      <c r="P8" s="439">
        <v>43924</v>
      </c>
      <c r="Q8" s="439">
        <v>44078</v>
      </c>
      <c r="R8" s="439">
        <v>44105</v>
      </c>
      <c r="S8" s="439">
        <v>44137</v>
      </c>
      <c r="T8" s="439">
        <v>44166</v>
      </c>
      <c r="U8" s="439">
        <v>44197</v>
      </c>
      <c r="V8" s="439">
        <v>44228</v>
      </c>
      <c r="W8" s="439">
        <v>44256</v>
      </c>
      <c r="X8" s="439">
        <v>44287</v>
      </c>
      <c r="Y8" s="439">
        <v>44317</v>
      </c>
      <c r="Z8" s="439">
        <v>44348</v>
      </c>
      <c r="AA8" s="439">
        <v>44378</v>
      </c>
      <c r="AB8" s="439">
        <v>44409</v>
      </c>
      <c r="AC8" s="439">
        <v>44440</v>
      </c>
      <c r="AD8" s="439">
        <v>44470</v>
      </c>
      <c r="AE8" s="439">
        <v>44501</v>
      </c>
      <c r="AF8" s="439">
        <v>44531</v>
      </c>
      <c r="AG8" s="439">
        <v>44562</v>
      </c>
      <c r="AH8" s="439">
        <v>44593</v>
      </c>
      <c r="AI8" s="439">
        <v>44621</v>
      </c>
      <c r="AJ8" s="439">
        <v>44652</v>
      </c>
      <c r="AK8" s="439">
        <v>44682</v>
      </c>
      <c r="AL8" s="439">
        <v>44713</v>
      </c>
      <c r="AM8" s="439">
        <v>44743</v>
      </c>
      <c r="AN8" s="439">
        <v>44774</v>
      </c>
      <c r="AO8" s="439">
        <v>44805</v>
      </c>
      <c r="AP8" s="439">
        <v>44835</v>
      </c>
      <c r="AQ8" s="439">
        <v>44866</v>
      </c>
      <c r="AR8" s="439">
        <v>44896</v>
      </c>
      <c r="AS8" s="439">
        <v>44927</v>
      </c>
      <c r="AT8" s="439">
        <v>44958</v>
      </c>
      <c r="AU8" s="439">
        <v>44986</v>
      </c>
      <c r="AV8" s="439">
        <v>45017</v>
      </c>
      <c r="AW8" s="439">
        <v>45047</v>
      </c>
      <c r="AX8" s="439">
        <v>45078</v>
      </c>
      <c r="AY8" s="439">
        <v>45108</v>
      </c>
      <c r="AZ8" s="439">
        <v>45139</v>
      </c>
      <c r="BA8" s="439">
        <v>45170</v>
      </c>
      <c r="BB8" s="439">
        <v>45200</v>
      </c>
      <c r="BC8" s="439">
        <v>45231</v>
      </c>
      <c r="BD8" s="439">
        <v>45261</v>
      </c>
      <c r="BE8" s="439">
        <v>45292</v>
      </c>
      <c r="BF8" s="439">
        <v>45323</v>
      </c>
      <c r="BG8" s="439">
        <v>45352</v>
      </c>
      <c r="BH8" s="439">
        <v>45383</v>
      </c>
      <c r="BI8" s="439">
        <v>45413</v>
      </c>
      <c r="BJ8" s="439">
        <v>45444</v>
      </c>
      <c r="BK8" s="439">
        <v>45474</v>
      </c>
      <c r="BL8" s="439">
        <v>45505</v>
      </c>
      <c r="BM8" s="439">
        <v>45536</v>
      </c>
      <c r="BN8" s="439">
        <v>45566</v>
      </c>
      <c r="BO8" s="439">
        <v>45597</v>
      </c>
      <c r="BP8" s="439">
        <v>45627</v>
      </c>
      <c r="BQ8" s="439">
        <v>45658</v>
      </c>
      <c r="BR8" s="439">
        <v>45689</v>
      </c>
      <c r="BS8" s="439">
        <v>45717</v>
      </c>
      <c r="BT8" s="439">
        <v>45748</v>
      </c>
      <c r="BU8" s="439">
        <v>45778</v>
      </c>
      <c r="BV8" s="439">
        <v>45809</v>
      </c>
      <c r="BW8" s="439">
        <v>45839</v>
      </c>
      <c r="BX8" s="439">
        <v>45870</v>
      </c>
      <c r="BY8" s="439">
        <v>45901</v>
      </c>
      <c r="BZ8" s="439">
        <v>45931</v>
      </c>
      <c r="CA8" s="439">
        <v>45962</v>
      </c>
      <c r="CB8" s="439">
        <v>45992</v>
      </c>
      <c r="CC8" s="439">
        <v>46023</v>
      </c>
      <c r="CD8" s="439">
        <v>46054</v>
      </c>
      <c r="CE8" s="440" t="s">
        <v>833</v>
      </c>
    </row>
    <row r="9" spans="1:89" ht="16.5" customHeight="1" outlineLevel="1" thickBot="1">
      <c r="A9" s="441" t="s">
        <v>1364</v>
      </c>
      <c r="B9" s="442" t="s">
        <v>1365</v>
      </c>
      <c r="C9" s="443" t="s">
        <v>1366</v>
      </c>
      <c r="D9" s="444"/>
      <c r="E9" s="444"/>
      <c r="F9" s="444"/>
      <c r="G9" s="444"/>
      <c r="H9" s="444"/>
      <c r="I9" s="444"/>
      <c r="J9" s="445">
        <f>'Cumulative Through Feb 2026'!J10</f>
        <v>12117369.290000001</v>
      </c>
      <c r="K9" s="445">
        <f>'Cumulative Through Feb 2026'!J$11</f>
        <v>6822.86</v>
      </c>
      <c r="L9" s="445">
        <f>'Cumulative Through Feb 2026'!J12</f>
        <v>-33688.76</v>
      </c>
      <c r="M9" s="446">
        <v>10461.24</v>
      </c>
      <c r="N9" s="446">
        <v>15542.7</v>
      </c>
      <c r="O9" s="446">
        <v>13714.82</v>
      </c>
      <c r="P9" s="446">
        <v>11791.51</v>
      </c>
      <c r="Q9" s="446">
        <v>1008.6</v>
      </c>
      <c r="R9" s="446">
        <v>-2017.2</v>
      </c>
      <c r="S9" s="446">
        <v>0</v>
      </c>
      <c r="T9" s="446">
        <v>0</v>
      </c>
      <c r="U9" s="446">
        <v>0</v>
      </c>
      <c r="V9" s="446">
        <v>7554373.8700000001</v>
      </c>
      <c r="W9" s="446">
        <v>72668.34</v>
      </c>
      <c r="X9" s="446">
        <v>18919.54</v>
      </c>
      <c r="Y9" s="446">
        <v>-4042.42</v>
      </c>
      <c r="Z9" s="446">
        <v>-88066.2</v>
      </c>
      <c r="AA9" s="446">
        <v>0</v>
      </c>
      <c r="AB9" s="446">
        <v>0</v>
      </c>
      <c r="AC9" s="446">
        <v>0</v>
      </c>
      <c r="AD9" s="446">
        <v>0</v>
      </c>
      <c r="AE9" s="446">
        <v>0</v>
      </c>
      <c r="AF9" s="446">
        <v>0</v>
      </c>
      <c r="AG9" s="446">
        <v>0</v>
      </c>
      <c r="AH9" s="446">
        <v>6836837.1900000004</v>
      </c>
      <c r="AI9" s="446">
        <v>5164.07</v>
      </c>
      <c r="AJ9" s="446">
        <v>4112.7</v>
      </c>
      <c r="AK9" s="446">
        <v>4243.2700000000004</v>
      </c>
      <c r="AL9" s="446">
        <v>5048.6400000000003</v>
      </c>
      <c r="AM9" s="446">
        <v>5596.25</v>
      </c>
      <c r="AN9" s="446">
        <v>2941.37</v>
      </c>
      <c r="AO9" s="446">
        <v>3672.33</v>
      </c>
      <c r="AP9" s="446">
        <v>4748.74</v>
      </c>
      <c r="AQ9" s="446">
        <v>3773.09</v>
      </c>
      <c r="AR9" s="446">
        <v>5462.88</v>
      </c>
      <c r="AS9" s="446">
        <v>7167119.0100000007</v>
      </c>
      <c r="AT9" s="446">
        <v>696432.22000000009</v>
      </c>
      <c r="AU9" s="446">
        <v>-714290.11</v>
      </c>
      <c r="AV9" s="446">
        <v>95752.18</v>
      </c>
      <c r="AW9" s="446">
        <v>-646254.22</v>
      </c>
      <c r="AX9" s="446">
        <v>978.53</v>
      </c>
      <c r="AY9" s="446">
        <v>531.39</v>
      </c>
      <c r="AZ9" s="446">
        <v>358.56</v>
      </c>
      <c r="BA9" s="446">
        <v>-31608.48</v>
      </c>
      <c r="BB9" s="446">
        <v>403.3</v>
      </c>
      <c r="BC9" s="446">
        <v>667.18</v>
      </c>
      <c r="BD9" s="446">
        <v>914.52</v>
      </c>
      <c r="BE9" s="446">
        <v>6726433.75</v>
      </c>
      <c r="BF9" s="446">
        <v>803720.79</v>
      </c>
      <c r="BG9" s="446">
        <v>115592.57999999999</v>
      </c>
      <c r="BH9" s="446">
        <v>-45284.659999999996</v>
      </c>
      <c r="BI9" s="446">
        <v>283716.08</v>
      </c>
      <c r="BJ9" s="446">
        <v>303066.31</v>
      </c>
      <c r="BK9" s="446">
        <v>259816.72999999998</v>
      </c>
      <c r="BL9" s="446">
        <v>492635.29</v>
      </c>
      <c r="BM9" s="446">
        <v>440854.42</v>
      </c>
      <c r="BN9" s="446">
        <v>676259.48</v>
      </c>
      <c r="BO9" s="446">
        <v>799656.28</v>
      </c>
      <c r="BP9" s="446">
        <v>474778.21</v>
      </c>
      <c r="BQ9" s="446">
        <v>124547.85</v>
      </c>
      <c r="BR9" s="446">
        <v>-114184.17</v>
      </c>
      <c r="BS9" s="446">
        <v>73584.539999999994</v>
      </c>
      <c r="BT9" s="446">
        <v>-51007.18</v>
      </c>
      <c r="BU9" s="446">
        <v>14494.4</v>
      </c>
      <c r="BV9" s="446">
        <v>-3813.4900000000007</v>
      </c>
      <c r="BW9" s="446">
        <v>9461.26</v>
      </c>
      <c r="BX9" s="446">
        <v>6288.54</v>
      </c>
      <c r="BY9" s="446">
        <v>-4598.5200000000004</v>
      </c>
      <c r="BZ9" s="446">
        <v>3000.6</v>
      </c>
      <c r="CA9" s="446">
        <v>5334.8</v>
      </c>
      <c r="CB9" s="446">
        <v>18159211.710000001</v>
      </c>
      <c r="CC9" s="446">
        <v>217289.3</v>
      </c>
      <c r="CD9" s="446">
        <v>15383.74</v>
      </c>
      <c r="CE9" s="447">
        <f>SUM(D9:CD9)</f>
        <v>62933701.439999983</v>
      </c>
      <c r="CF9" s="448"/>
      <c r="CG9" s="448"/>
      <c r="CH9" s="448"/>
      <c r="CI9" s="448"/>
      <c r="CJ9" s="448"/>
      <c r="CK9" s="448"/>
    </row>
    <row r="10" spans="1:89" ht="16.5" customHeight="1" outlineLevel="1">
      <c r="A10" s="441" t="s">
        <v>1367</v>
      </c>
      <c r="B10" s="431" t="s">
        <v>1368</v>
      </c>
      <c r="C10" s="444" t="s">
        <v>1366</v>
      </c>
      <c r="D10" s="445">
        <f>'Cumulative Through Feb 2026'!J102</f>
        <v>5995105.7300000004</v>
      </c>
      <c r="E10" s="444"/>
      <c r="F10" s="444"/>
      <c r="G10" s="444"/>
      <c r="H10" s="444"/>
      <c r="I10" s="444"/>
      <c r="J10" s="445"/>
      <c r="K10" s="445"/>
      <c r="L10" s="445"/>
      <c r="M10" s="445"/>
      <c r="N10" s="449"/>
      <c r="O10" s="449"/>
      <c r="P10" s="449"/>
      <c r="Q10" s="449"/>
      <c r="R10" s="449"/>
      <c r="S10" s="449"/>
      <c r="T10" s="449"/>
      <c r="U10" s="449"/>
      <c r="V10" s="450"/>
      <c r="W10" s="450"/>
      <c r="X10" s="450"/>
      <c r="Y10" s="450"/>
      <c r="Z10" s="450"/>
      <c r="AA10" s="450"/>
      <c r="AB10" s="450"/>
      <c r="AC10" s="450"/>
      <c r="AD10" s="450"/>
      <c r="AE10" s="450"/>
      <c r="AF10" s="450"/>
      <c r="AG10" s="450"/>
      <c r="AH10" s="450"/>
      <c r="AI10" s="450"/>
      <c r="AJ10" s="450"/>
      <c r="BA10" s="448"/>
      <c r="CE10" s="447">
        <f>SUM(D10:CD10)</f>
        <v>5995105.7300000004</v>
      </c>
      <c r="CF10" s="448"/>
      <c r="CG10" s="448"/>
      <c r="CH10" s="448"/>
      <c r="CI10" s="448"/>
      <c r="CJ10" s="448"/>
      <c r="CK10" s="448"/>
    </row>
    <row r="11" spans="1:89" ht="16.5" customHeight="1" outlineLevel="1">
      <c r="A11" s="451"/>
      <c r="C11" s="444"/>
      <c r="D11" s="444"/>
      <c r="E11" s="444"/>
      <c r="F11" s="444"/>
      <c r="G11" s="444"/>
      <c r="H11" s="444"/>
      <c r="I11" s="444"/>
      <c r="J11" s="445"/>
      <c r="K11" s="445"/>
      <c r="L11" s="445"/>
      <c r="M11" s="445"/>
      <c r="N11" s="449"/>
      <c r="O11" s="449"/>
      <c r="P11" s="449"/>
      <c r="Q11" s="449"/>
      <c r="R11" s="449"/>
      <c r="S11" s="449"/>
      <c r="T11" s="449"/>
      <c r="U11" s="449"/>
      <c r="V11" s="450"/>
      <c r="W11" s="450"/>
      <c r="X11" s="450"/>
      <c r="Y11" s="450"/>
      <c r="Z11" s="450"/>
      <c r="AA11" s="450"/>
      <c r="AB11" s="450"/>
      <c r="AC11" s="450"/>
      <c r="AD11" s="450"/>
      <c r="AE11" s="450"/>
      <c r="AF11" s="450"/>
      <c r="AG11" s="450"/>
      <c r="AH11" s="450"/>
      <c r="AI11" s="450"/>
      <c r="AJ11" s="450"/>
      <c r="BA11" s="448"/>
      <c r="CE11" s="452"/>
      <c r="CF11" s="448"/>
      <c r="CG11" s="448"/>
      <c r="CH11" s="448"/>
      <c r="CI11" s="448"/>
      <c r="CJ11" s="448"/>
      <c r="CK11" s="448"/>
    </row>
    <row r="12" spans="1:89" ht="16.5" customHeight="1" outlineLevel="1">
      <c r="A12" s="451"/>
      <c r="C12" s="444"/>
      <c r="D12" s="444"/>
      <c r="E12" s="444"/>
      <c r="F12" s="444"/>
      <c r="G12" s="444"/>
      <c r="H12" s="444"/>
      <c r="I12" s="444"/>
      <c r="J12" s="445"/>
      <c r="K12" s="445"/>
      <c r="L12" s="445"/>
      <c r="M12" s="445"/>
      <c r="N12" s="449"/>
      <c r="O12" s="449"/>
      <c r="P12" s="449"/>
      <c r="Q12" s="449"/>
      <c r="R12" s="449"/>
      <c r="S12" s="449"/>
      <c r="T12" s="449"/>
      <c r="U12" s="449"/>
      <c r="V12" s="450"/>
      <c r="W12" s="450"/>
      <c r="X12" s="450"/>
      <c r="Y12" s="450"/>
      <c r="Z12" s="450"/>
      <c r="AA12" s="450"/>
      <c r="AB12" s="450"/>
      <c r="AC12" s="450"/>
      <c r="AD12" s="450"/>
      <c r="AE12" s="450"/>
      <c r="AF12" s="450"/>
      <c r="AG12" s="450"/>
      <c r="AH12" s="450"/>
      <c r="AI12" s="450"/>
      <c r="AJ12" s="450"/>
      <c r="BA12" s="448"/>
      <c r="CE12" s="452"/>
      <c r="CG12" s="448"/>
      <c r="CH12" s="448"/>
      <c r="CI12" s="448"/>
      <c r="CJ12" s="448"/>
      <c r="CK12" s="448"/>
    </row>
    <row r="13" spans="1:89" ht="16.5" customHeight="1" outlineLevel="1">
      <c r="A13" s="451"/>
      <c r="C13" s="444"/>
      <c r="D13" s="444"/>
      <c r="E13" s="444"/>
      <c r="F13" s="444"/>
      <c r="G13" s="444"/>
      <c r="H13" s="444"/>
      <c r="I13" s="444"/>
      <c r="J13" s="445"/>
      <c r="K13" s="445"/>
      <c r="L13" s="445"/>
      <c r="M13" s="445"/>
      <c r="N13" s="449"/>
      <c r="O13" s="449"/>
      <c r="P13" s="449"/>
      <c r="Q13" s="449"/>
      <c r="R13" s="449"/>
      <c r="S13" s="449"/>
      <c r="T13" s="449"/>
      <c r="U13" s="449"/>
      <c r="V13" s="450"/>
      <c r="W13" s="450"/>
      <c r="X13" s="450"/>
      <c r="Y13" s="450"/>
      <c r="Z13" s="450"/>
      <c r="AA13" s="450"/>
      <c r="AB13" s="450"/>
      <c r="AC13" s="450"/>
      <c r="AD13" s="450"/>
      <c r="AE13" s="450"/>
      <c r="AF13" s="450"/>
      <c r="AG13" s="450"/>
      <c r="AH13" s="450"/>
      <c r="AI13" s="450"/>
      <c r="AJ13" s="450"/>
      <c r="BA13" s="448"/>
      <c r="CE13" s="452"/>
      <c r="CG13" s="448"/>
      <c r="CH13" s="448"/>
      <c r="CI13" s="448"/>
      <c r="CJ13" s="448"/>
      <c r="CK13" s="448"/>
    </row>
    <row r="14" spans="1:89" ht="16.5" hidden="1" customHeight="1" outlineLevel="2">
      <c r="A14" s="451"/>
      <c r="C14" s="444"/>
      <c r="D14" s="444"/>
      <c r="E14" s="444"/>
      <c r="F14" s="444"/>
      <c r="G14" s="444"/>
      <c r="H14" s="444"/>
      <c r="I14" s="444"/>
      <c r="J14" s="445"/>
      <c r="K14" s="445"/>
      <c r="L14" s="445"/>
      <c r="M14" s="445"/>
      <c r="N14" s="449"/>
      <c r="O14" s="449"/>
      <c r="P14" s="449"/>
      <c r="Q14" s="449"/>
      <c r="R14" s="449"/>
      <c r="S14" s="449"/>
      <c r="T14" s="449"/>
      <c r="U14" s="449"/>
      <c r="V14" s="450"/>
      <c r="W14" s="450"/>
      <c r="X14" s="450"/>
      <c r="Y14" s="450"/>
      <c r="Z14" s="450"/>
      <c r="AA14" s="450"/>
      <c r="AB14" s="450"/>
      <c r="AC14" s="450"/>
      <c r="AD14" s="450"/>
      <c r="AE14" s="450"/>
      <c r="AF14" s="450"/>
      <c r="AG14" s="450"/>
      <c r="AH14" s="450"/>
      <c r="AI14" s="450"/>
      <c r="AJ14" s="450"/>
      <c r="BA14" s="448"/>
      <c r="CE14" s="452"/>
      <c r="CG14" s="448"/>
      <c r="CH14" s="448"/>
      <c r="CI14" s="448"/>
      <c r="CJ14" s="448"/>
      <c r="CK14" s="448"/>
    </row>
    <row r="15" spans="1:89" ht="16.5" hidden="1" customHeight="1" outlineLevel="2">
      <c r="A15" s="451"/>
      <c r="C15" s="444"/>
      <c r="D15" s="444"/>
      <c r="E15" s="444"/>
      <c r="F15" s="444"/>
      <c r="G15" s="444"/>
      <c r="H15" s="444"/>
      <c r="I15" s="444"/>
      <c r="J15" s="445"/>
      <c r="K15" s="445"/>
      <c r="L15" s="445"/>
      <c r="M15" s="445"/>
      <c r="N15" s="449"/>
      <c r="O15" s="449"/>
      <c r="P15" s="449"/>
      <c r="Q15" s="449"/>
      <c r="R15" s="449"/>
      <c r="S15" s="449"/>
      <c r="T15" s="449"/>
      <c r="U15" s="449"/>
      <c r="V15" s="450"/>
      <c r="W15" s="450"/>
      <c r="X15" s="450"/>
      <c r="Y15" s="450"/>
      <c r="Z15" s="450"/>
      <c r="AA15" s="450"/>
      <c r="AB15" s="450"/>
      <c r="AC15" s="450"/>
      <c r="AD15" s="450"/>
      <c r="AE15" s="450"/>
      <c r="AF15" s="450"/>
      <c r="AG15" s="450"/>
      <c r="AH15" s="450"/>
      <c r="AI15" s="450"/>
      <c r="AJ15" s="450"/>
      <c r="BA15" s="448"/>
      <c r="CE15" s="452"/>
      <c r="CG15" s="448"/>
      <c r="CH15" s="448"/>
      <c r="CI15" s="448"/>
      <c r="CJ15" s="448"/>
      <c r="CK15" s="448"/>
    </row>
    <row r="16" spans="1:89" ht="16.5" hidden="1" customHeight="1" outlineLevel="2">
      <c r="A16" s="451"/>
      <c r="C16" s="444"/>
      <c r="D16" s="444"/>
      <c r="E16" s="444"/>
      <c r="F16" s="444"/>
      <c r="G16" s="444"/>
      <c r="H16" s="444"/>
      <c r="I16" s="444"/>
      <c r="J16" s="445"/>
      <c r="K16" s="445"/>
      <c r="L16" s="445"/>
      <c r="M16" s="445"/>
      <c r="N16" s="449"/>
      <c r="O16" s="449"/>
      <c r="P16" s="449"/>
      <c r="Q16" s="449"/>
      <c r="R16" s="449"/>
      <c r="S16" s="449"/>
      <c r="T16" s="449"/>
      <c r="U16" s="449"/>
      <c r="V16" s="450"/>
      <c r="W16" s="450"/>
      <c r="X16" s="450"/>
      <c r="Y16" s="450"/>
      <c r="Z16" s="450"/>
      <c r="AA16" s="450"/>
      <c r="AB16" s="450"/>
      <c r="AC16" s="450"/>
      <c r="AD16" s="450"/>
      <c r="AE16" s="450"/>
      <c r="AF16" s="450"/>
      <c r="AG16" s="450"/>
      <c r="AH16" s="450"/>
      <c r="AI16" s="450"/>
      <c r="AJ16" s="450"/>
      <c r="BA16" s="448"/>
      <c r="CE16" s="452"/>
      <c r="CG16" s="448"/>
      <c r="CH16" s="448"/>
      <c r="CI16" s="448"/>
      <c r="CJ16" s="448"/>
      <c r="CK16" s="448"/>
    </row>
    <row r="17" spans="1:89" ht="16.5" hidden="1" customHeight="1" outlineLevel="2">
      <c r="A17" s="451"/>
      <c r="C17" s="444"/>
      <c r="D17" s="444"/>
      <c r="E17" s="444"/>
      <c r="F17" s="444"/>
      <c r="G17" s="444"/>
      <c r="H17" s="444"/>
      <c r="I17" s="444"/>
      <c r="J17" s="445"/>
      <c r="K17" s="445"/>
      <c r="L17" s="445"/>
      <c r="M17" s="445"/>
      <c r="N17" s="449"/>
      <c r="O17" s="449"/>
      <c r="P17" s="449"/>
      <c r="Q17" s="449"/>
      <c r="R17" s="449"/>
      <c r="S17" s="449"/>
      <c r="T17" s="449"/>
      <c r="U17" s="449"/>
      <c r="V17" s="450"/>
      <c r="W17" s="450"/>
      <c r="X17" s="450"/>
      <c r="Y17" s="450"/>
      <c r="Z17" s="450"/>
      <c r="AA17" s="450"/>
      <c r="AB17" s="450"/>
      <c r="AC17" s="450"/>
      <c r="AD17" s="450"/>
      <c r="AE17" s="450"/>
      <c r="AF17" s="450"/>
      <c r="AG17" s="450"/>
      <c r="AH17" s="450"/>
      <c r="AI17" s="450"/>
      <c r="AJ17" s="450"/>
      <c r="BA17" s="448"/>
      <c r="CE17" s="452"/>
      <c r="CG17" s="448"/>
      <c r="CH17" s="448"/>
      <c r="CI17" s="448"/>
      <c r="CJ17" s="448"/>
      <c r="CK17" s="448"/>
    </row>
    <row r="18" spans="1:89" ht="16.5" hidden="1" customHeight="1" outlineLevel="2">
      <c r="A18" s="451"/>
      <c r="C18" s="444"/>
      <c r="D18" s="444"/>
      <c r="E18" s="444"/>
      <c r="F18" s="444"/>
      <c r="G18" s="444"/>
      <c r="H18" s="444"/>
      <c r="I18" s="444"/>
      <c r="J18" s="445"/>
      <c r="K18" s="445"/>
      <c r="L18" s="445"/>
      <c r="M18" s="445"/>
      <c r="N18" s="449"/>
      <c r="O18" s="449"/>
      <c r="P18" s="449"/>
      <c r="Q18" s="449"/>
      <c r="R18" s="449"/>
      <c r="S18" s="449"/>
      <c r="T18" s="449"/>
      <c r="U18" s="449"/>
      <c r="V18" s="450"/>
      <c r="W18" s="450"/>
      <c r="X18" s="450"/>
      <c r="Y18" s="450"/>
      <c r="Z18" s="450"/>
      <c r="AA18" s="450"/>
      <c r="AB18" s="450"/>
      <c r="AC18" s="450"/>
      <c r="AD18" s="450"/>
      <c r="AE18" s="450"/>
      <c r="AF18" s="450"/>
      <c r="AG18" s="450"/>
      <c r="AH18" s="450"/>
      <c r="AI18" s="450"/>
      <c r="AJ18" s="450"/>
      <c r="BA18" s="448"/>
      <c r="CE18" s="452"/>
      <c r="CG18" s="448"/>
      <c r="CH18" s="448"/>
      <c r="CI18" s="448"/>
      <c r="CJ18" s="448"/>
      <c r="CK18" s="448"/>
    </row>
    <row r="19" spans="1:89" ht="16.5" hidden="1" customHeight="1" outlineLevel="2">
      <c r="A19" s="451"/>
      <c r="C19" s="444"/>
      <c r="D19" s="444"/>
      <c r="E19" s="444"/>
      <c r="F19" s="444"/>
      <c r="G19" s="444"/>
      <c r="H19" s="444"/>
      <c r="I19" s="444"/>
      <c r="J19" s="445"/>
      <c r="K19" s="445"/>
      <c r="L19" s="445"/>
      <c r="M19" s="445"/>
      <c r="N19" s="449"/>
      <c r="O19" s="449"/>
      <c r="P19" s="449"/>
      <c r="Q19" s="449"/>
      <c r="R19" s="449"/>
      <c r="S19" s="449"/>
      <c r="T19" s="449"/>
      <c r="U19" s="449"/>
      <c r="V19" s="450"/>
      <c r="W19" s="450"/>
      <c r="X19" s="450"/>
      <c r="Y19" s="450"/>
      <c r="Z19" s="450"/>
      <c r="AA19" s="450"/>
      <c r="AB19" s="450"/>
      <c r="AC19" s="450"/>
      <c r="AD19" s="450"/>
      <c r="AE19" s="450"/>
      <c r="AF19" s="450"/>
      <c r="AG19" s="450"/>
      <c r="AH19" s="450"/>
      <c r="AI19" s="450"/>
      <c r="AJ19" s="450"/>
      <c r="BA19" s="448"/>
      <c r="CE19" s="452"/>
      <c r="CG19" s="448"/>
      <c r="CH19" s="448"/>
      <c r="CI19" s="448"/>
      <c r="CJ19" s="448"/>
      <c r="CK19" s="448"/>
    </row>
    <row r="20" spans="1:89" ht="16.5" hidden="1" customHeight="1" outlineLevel="2">
      <c r="A20" s="451"/>
      <c r="C20" s="444"/>
      <c r="D20" s="444"/>
      <c r="E20" s="444"/>
      <c r="F20" s="444"/>
      <c r="G20" s="444"/>
      <c r="H20" s="444"/>
      <c r="I20" s="444"/>
      <c r="J20" s="445"/>
      <c r="K20" s="445"/>
      <c r="L20" s="445"/>
      <c r="M20" s="445"/>
      <c r="N20" s="449"/>
      <c r="O20" s="449"/>
      <c r="P20" s="449"/>
      <c r="Q20" s="449"/>
      <c r="R20" s="449"/>
      <c r="S20" s="449"/>
      <c r="T20" s="449"/>
      <c r="U20" s="449"/>
      <c r="V20" s="450"/>
      <c r="W20" s="450"/>
      <c r="X20" s="450"/>
      <c r="Y20" s="450"/>
      <c r="Z20" s="450"/>
      <c r="AA20" s="450"/>
      <c r="AB20" s="450"/>
      <c r="AC20" s="450"/>
      <c r="AD20" s="450"/>
      <c r="AE20" s="450"/>
      <c r="AF20" s="450"/>
      <c r="AG20" s="450"/>
      <c r="AH20" s="450"/>
      <c r="AI20" s="450"/>
      <c r="AJ20" s="450"/>
      <c r="BA20" s="448"/>
      <c r="CE20" s="452"/>
      <c r="CG20" s="448"/>
      <c r="CH20" s="448"/>
      <c r="CI20" s="448"/>
      <c r="CJ20" s="448"/>
      <c r="CK20" s="448"/>
    </row>
    <row r="21" spans="1:89" ht="16.5" hidden="1" customHeight="1" outlineLevel="2">
      <c r="A21" s="451"/>
      <c r="C21" s="444"/>
      <c r="D21" s="444"/>
      <c r="E21" s="444"/>
      <c r="F21" s="444"/>
      <c r="G21" s="444"/>
      <c r="H21" s="444"/>
      <c r="I21" s="444"/>
      <c r="J21" s="445"/>
      <c r="K21" s="445"/>
      <c r="L21" s="445"/>
      <c r="M21" s="445"/>
      <c r="N21" s="449"/>
      <c r="O21" s="449"/>
      <c r="P21" s="449"/>
      <c r="Q21" s="449"/>
      <c r="R21" s="449"/>
      <c r="S21" s="449"/>
      <c r="T21" s="449"/>
      <c r="U21" s="449"/>
      <c r="V21" s="450"/>
      <c r="W21" s="450"/>
      <c r="X21" s="450"/>
      <c r="Y21" s="450"/>
      <c r="Z21" s="450"/>
      <c r="AA21" s="450"/>
      <c r="AB21" s="450"/>
      <c r="AC21" s="450"/>
      <c r="AD21" s="450"/>
      <c r="AE21" s="450"/>
      <c r="AF21" s="450"/>
      <c r="AG21" s="450"/>
      <c r="AH21" s="450"/>
      <c r="AI21" s="450"/>
      <c r="AJ21" s="450"/>
      <c r="CE21" s="452"/>
      <c r="CG21" s="448"/>
      <c r="CH21" s="448"/>
      <c r="CI21" s="448"/>
      <c r="CJ21" s="448"/>
      <c r="CK21" s="448"/>
    </row>
    <row r="22" spans="1:89" ht="15" hidden="1" outlineLevel="2">
      <c r="A22" s="451"/>
      <c r="C22" s="444"/>
      <c r="D22" s="444"/>
      <c r="E22" s="444"/>
      <c r="F22" s="444"/>
      <c r="G22" s="444"/>
      <c r="H22" s="444"/>
      <c r="I22" s="444"/>
      <c r="J22" s="445"/>
      <c r="K22" s="445"/>
      <c r="L22" s="445"/>
      <c r="M22" s="445"/>
      <c r="N22" s="178"/>
      <c r="O22" s="449"/>
      <c r="P22" s="449"/>
      <c r="Q22" s="449"/>
      <c r="R22" s="449"/>
      <c r="S22" s="449"/>
      <c r="T22" s="449"/>
      <c r="U22" s="449"/>
      <c r="V22" s="450"/>
      <c r="W22" s="450"/>
      <c r="X22" s="450"/>
      <c r="Y22" s="450"/>
      <c r="Z22" s="450"/>
      <c r="AA22" s="450"/>
      <c r="AB22" s="450"/>
      <c r="AC22" s="450"/>
      <c r="AD22" s="450"/>
      <c r="AE22" s="450"/>
      <c r="AF22" s="450"/>
      <c r="AG22" s="450"/>
      <c r="AH22" s="450"/>
      <c r="AI22" s="450"/>
      <c r="AJ22" s="450"/>
      <c r="CE22" s="452"/>
      <c r="CG22" s="448"/>
      <c r="CH22" s="448"/>
      <c r="CI22" s="448"/>
      <c r="CJ22" s="448"/>
      <c r="CK22" s="448"/>
    </row>
    <row r="23" spans="1:89" ht="16.5" hidden="1" customHeight="1" outlineLevel="2">
      <c r="A23" s="451"/>
      <c r="C23" s="444"/>
      <c r="D23" s="444"/>
      <c r="E23" s="444"/>
      <c r="F23" s="444"/>
      <c r="G23" s="444"/>
      <c r="H23" s="444"/>
      <c r="I23" s="444"/>
      <c r="J23" s="445"/>
      <c r="K23" s="445"/>
      <c r="L23" s="445"/>
      <c r="M23" s="445"/>
      <c r="N23" s="449"/>
      <c r="O23" s="449"/>
      <c r="P23" s="449"/>
      <c r="Q23" s="449"/>
      <c r="R23" s="449"/>
      <c r="S23" s="449"/>
      <c r="T23" s="449"/>
      <c r="U23" s="449"/>
      <c r="V23" s="450"/>
      <c r="W23" s="450"/>
      <c r="X23" s="450"/>
      <c r="Y23" s="450"/>
      <c r="Z23" s="450"/>
      <c r="AA23" s="450"/>
      <c r="AB23" s="450"/>
      <c r="AC23" s="450"/>
      <c r="AD23" s="450"/>
      <c r="AE23" s="450"/>
      <c r="AF23" s="450"/>
      <c r="AG23" s="450"/>
      <c r="AH23" s="450"/>
      <c r="AI23" s="450"/>
      <c r="AJ23" s="450"/>
      <c r="CE23" s="452"/>
      <c r="CG23" s="448"/>
      <c r="CH23" s="448"/>
      <c r="CI23" s="448"/>
      <c r="CJ23" s="448"/>
      <c r="CK23" s="448"/>
    </row>
    <row r="24" spans="1:89" ht="16.5" hidden="1" customHeight="1" outlineLevel="2">
      <c r="A24" s="451"/>
      <c r="C24" s="444"/>
      <c r="D24" s="444"/>
      <c r="E24" s="444"/>
      <c r="F24" s="444"/>
      <c r="G24" s="444"/>
      <c r="H24" s="444"/>
      <c r="I24" s="444"/>
      <c r="J24" s="445"/>
      <c r="K24" s="445"/>
      <c r="L24" s="445"/>
      <c r="M24" s="445"/>
      <c r="N24" s="449"/>
      <c r="O24" s="449"/>
      <c r="P24" s="449"/>
      <c r="Q24" s="449"/>
      <c r="R24" s="449"/>
      <c r="S24" s="449"/>
      <c r="T24" s="449"/>
      <c r="U24" s="449"/>
      <c r="V24" s="450"/>
      <c r="W24" s="450"/>
      <c r="X24" s="450"/>
      <c r="Y24" s="450"/>
      <c r="Z24" s="450"/>
      <c r="AA24" s="450"/>
      <c r="AB24" s="450"/>
      <c r="AC24" s="450"/>
      <c r="AD24" s="450"/>
      <c r="AE24" s="450"/>
      <c r="AF24" s="450"/>
      <c r="AG24" s="450"/>
      <c r="AH24" s="450"/>
      <c r="AI24" s="450"/>
      <c r="AJ24" s="450"/>
      <c r="CE24" s="452"/>
      <c r="CG24" s="448"/>
      <c r="CH24" s="448"/>
      <c r="CI24" s="448"/>
      <c r="CJ24" s="448"/>
      <c r="CK24" s="448"/>
    </row>
    <row r="25" spans="1:89" ht="16.5" hidden="1" customHeight="1" outlineLevel="2">
      <c r="A25" s="451"/>
      <c r="C25" s="444"/>
      <c r="D25" s="444"/>
      <c r="E25" s="444"/>
      <c r="F25" s="444"/>
      <c r="G25" s="444"/>
      <c r="H25" s="444"/>
      <c r="I25" s="444"/>
      <c r="J25" s="445"/>
      <c r="K25" s="445"/>
      <c r="L25" s="445"/>
      <c r="M25" s="445"/>
      <c r="N25" s="449"/>
      <c r="O25" s="449"/>
      <c r="P25" s="449"/>
      <c r="Q25" s="449"/>
      <c r="R25" s="449"/>
      <c r="S25" s="449"/>
      <c r="T25" s="449"/>
      <c r="U25" s="449"/>
      <c r="V25" s="450"/>
      <c r="W25" s="450"/>
      <c r="X25" s="450"/>
      <c r="Y25" s="450"/>
      <c r="Z25" s="450"/>
      <c r="AA25" s="450"/>
      <c r="AB25" s="450"/>
      <c r="AC25" s="450"/>
      <c r="AD25" s="450"/>
      <c r="AE25" s="450"/>
      <c r="AF25" s="450"/>
      <c r="AG25" s="450"/>
      <c r="AH25" s="450"/>
      <c r="AI25" s="450"/>
      <c r="AJ25" s="450"/>
      <c r="CE25" s="452"/>
      <c r="CG25" s="448"/>
      <c r="CH25" s="448"/>
      <c r="CI25" s="448"/>
      <c r="CJ25" s="448"/>
      <c r="CK25" s="448"/>
    </row>
    <row r="26" spans="1:89" ht="16.5" hidden="1" customHeight="1" outlineLevel="2">
      <c r="A26" s="451"/>
      <c r="C26" s="444"/>
      <c r="D26" s="444"/>
      <c r="E26" s="444"/>
      <c r="F26" s="444"/>
      <c r="G26" s="444"/>
      <c r="H26" s="444"/>
      <c r="I26" s="444"/>
      <c r="J26" s="445"/>
      <c r="K26" s="445"/>
      <c r="L26" s="445"/>
      <c r="M26" s="445"/>
      <c r="N26" s="449"/>
      <c r="O26" s="449"/>
      <c r="P26" s="449"/>
      <c r="Q26" s="449"/>
      <c r="R26" s="449"/>
      <c r="S26" s="449"/>
      <c r="T26" s="449"/>
      <c r="U26" s="449"/>
      <c r="V26" s="450"/>
      <c r="W26" s="450"/>
      <c r="X26" s="450"/>
      <c r="Y26" s="450"/>
      <c r="Z26" s="450"/>
      <c r="AA26" s="450"/>
      <c r="AB26" s="450"/>
      <c r="AC26" s="450"/>
      <c r="AD26" s="450"/>
      <c r="AE26" s="450"/>
      <c r="AF26" s="450"/>
      <c r="AG26" s="450"/>
      <c r="AH26" s="450"/>
      <c r="AI26" s="450"/>
      <c r="AJ26" s="450"/>
      <c r="CE26" s="452"/>
      <c r="CG26" s="448"/>
      <c r="CH26" s="448"/>
      <c r="CI26" s="448"/>
      <c r="CJ26" s="448"/>
      <c r="CK26" s="448"/>
    </row>
    <row r="27" spans="1:89" ht="16.5" hidden="1" customHeight="1" outlineLevel="2">
      <c r="A27" s="451"/>
      <c r="C27" s="444"/>
      <c r="D27" s="444"/>
      <c r="E27" s="444"/>
      <c r="F27" s="444"/>
      <c r="G27" s="444"/>
      <c r="H27" s="444"/>
      <c r="I27" s="444"/>
      <c r="J27" s="445"/>
      <c r="K27" s="445"/>
      <c r="L27" s="445"/>
      <c r="M27" s="445"/>
      <c r="N27" s="449"/>
      <c r="O27" s="449"/>
      <c r="P27" s="449"/>
      <c r="Q27" s="449"/>
      <c r="R27" s="449"/>
      <c r="S27" s="449"/>
      <c r="T27" s="449"/>
      <c r="U27" s="449"/>
      <c r="V27" s="450"/>
      <c r="W27" s="450"/>
      <c r="X27" s="450"/>
      <c r="Y27" s="450"/>
      <c r="Z27" s="450"/>
      <c r="AA27" s="450"/>
      <c r="AB27" s="450"/>
      <c r="AC27" s="450"/>
      <c r="AD27" s="450"/>
      <c r="AE27" s="450"/>
      <c r="AF27" s="450"/>
      <c r="AG27" s="450"/>
      <c r="AH27" s="450"/>
      <c r="AI27" s="450"/>
      <c r="AJ27" s="450"/>
      <c r="CE27" s="452"/>
      <c r="CG27" s="448"/>
      <c r="CH27" s="448"/>
      <c r="CI27" s="448"/>
      <c r="CJ27" s="448"/>
      <c r="CK27" s="448"/>
    </row>
    <row r="28" spans="1:89" ht="16.5" hidden="1" customHeight="1" outlineLevel="2">
      <c r="A28" s="451"/>
      <c r="C28" s="444"/>
      <c r="D28" s="444"/>
      <c r="E28" s="444"/>
      <c r="F28" s="444"/>
      <c r="G28" s="444"/>
      <c r="H28" s="444"/>
      <c r="I28" s="444"/>
      <c r="J28" s="445"/>
      <c r="K28" s="445"/>
      <c r="L28" s="445"/>
      <c r="M28" s="445"/>
      <c r="N28" s="449"/>
      <c r="O28" s="449"/>
      <c r="P28" s="449"/>
      <c r="Q28" s="449"/>
      <c r="R28" s="449"/>
      <c r="S28" s="449"/>
      <c r="T28" s="449"/>
      <c r="U28" s="449"/>
      <c r="V28" s="450"/>
      <c r="W28" s="450"/>
      <c r="X28" s="450"/>
      <c r="Y28" s="450"/>
      <c r="Z28" s="450"/>
      <c r="AA28" s="450"/>
      <c r="AB28" s="450"/>
      <c r="AC28" s="450"/>
      <c r="AD28" s="450"/>
      <c r="AE28" s="450"/>
      <c r="AF28" s="450"/>
      <c r="AG28" s="450"/>
      <c r="AH28" s="450"/>
      <c r="AI28" s="450"/>
      <c r="AJ28" s="450"/>
      <c r="CE28" s="452"/>
      <c r="CG28" s="448"/>
      <c r="CH28" s="448"/>
      <c r="CI28" s="448"/>
      <c r="CJ28" s="448"/>
      <c r="CK28" s="448"/>
    </row>
    <row r="29" spans="1:89" outlineLevel="1" collapsed="1">
      <c r="A29" s="451"/>
      <c r="B29" s="438"/>
      <c r="C29" s="438"/>
      <c r="D29" s="438"/>
      <c r="E29" s="438"/>
      <c r="F29" s="438"/>
      <c r="G29" s="438"/>
      <c r="H29" s="438"/>
      <c r="I29" s="438"/>
      <c r="J29" s="453"/>
      <c r="K29" s="453"/>
      <c r="L29" s="453"/>
      <c r="M29" s="453"/>
      <c r="N29" s="454"/>
      <c r="O29" s="454"/>
      <c r="P29" s="454"/>
      <c r="Q29" s="454"/>
      <c r="R29" s="454"/>
      <c r="S29" s="454"/>
      <c r="T29" s="454"/>
      <c r="U29" s="454"/>
      <c r="V29" s="455"/>
      <c r="W29" s="455"/>
      <c r="X29" s="455"/>
      <c r="Y29" s="455"/>
      <c r="Z29" s="455"/>
      <c r="AA29" s="455"/>
      <c r="AB29" s="455"/>
      <c r="AC29" s="455"/>
      <c r="AD29" s="455"/>
      <c r="AE29" s="455"/>
      <c r="AF29" s="455"/>
      <c r="AG29" s="455"/>
      <c r="AH29" s="455"/>
      <c r="AI29" s="455"/>
      <c r="AJ29" s="455"/>
      <c r="CE29" s="452"/>
      <c r="CG29" s="448"/>
      <c r="CH29" s="448"/>
      <c r="CI29" s="448"/>
      <c r="CJ29" s="448"/>
      <c r="CK29" s="448"/>
    </row>
    <row r="30" spans="1:89" ht="13.5" thickBot="1">
      <c r="A30" s="456"/>
      <c r="B30" s="457" t="s">
        <v>1369</v>
      </c>
      <c r="C30" s="458"/>
      <c r="D30" s="459">
        <f t="shared" ref="D30:I30" si="8">SUM(D9:D29)</f>
        <v>5995105.7300000004</v>
      </c>
      <c r="E30" s="459">
        <f t="shared" si="8"/>
        <v>0</v>
      </c>
      <c r="F30" s="459">
        <f t="shared" si="8"/>
        <v>0</v>
      </c>
      <c r="G30" s="459">
        <f t="shared" si="8"/>
        <v>0</v>
      </c>
      <c r="H30" s="459">
        <f t="shared" si="8"/>
        <v>0</v>
      </c>
      <c r="I30" s="459">
        <f t="shared" si="8"/>
        <v>0</v>
      </c>
      <c r="J30" s="459">
        <f>SUM(J9:J29)</f>
        <v>12117369.290000001</v>
      </c>
      <c r="K30" s="459">
        <f t="shared" ref="K30:BV30" si="9">SUM(K9:K23)</f>
        <v>6822.86</v>
      </c>
      <c r="L30" s="459">
        <f t="shared" si="9"/>
        <v>-33688.76</v>
      </c>
      <c r="M30" s="459">
        <f t="shared" si="9"/>
        <v>10461.24</v>
      </c>
      <c r="N30" s="459">
        <f t="shared" si="9"/>
        <v>15542.7</v>
      </c>
      <c r="O30" s="459">
        <f t="shared" si="9"/>
        <v>13714.82</v>
      </c>
      <c r="P30" s="459">
        <f t="shared" si="9"/>
        <v>11791.51</v>
      </c>
      <c r="Q30" s="459">
        <f t="shared" si="9"/>
        <v>1008.6</v>
      </c>
      <c r="R30" s="459">
        <f t="shared" si="9"/>
        <v>-2017.2</v>
      </c>
      <c r="S30" s="459">
        <f t="shared" si="9"/>
        <v>0</v>
      </c>
      <c r="T30" s="459">
        <f t="shared" si="9"/>
        <v>0</v>
      </c>
      <c r="U30" s="459">
        <f t="shared" si="9"/>
        <v>0</v>
      </c>
      <c r="V30" s="459">
        <f t="shared" si="9"/>
        <v>7554373.8700000001</v>
      </c>
      <c r="W30" s="459">
        <f t="shared" si="9"/>
        <v>72668.34</v>
      </c>
      <c r="X30" s="459">
        <f t="shared" si="9"/>
        <v>18919.54</v>
      </c>
      <c r="Y30" s="459">
        <f t="shared" si="9"/>
        <v>-4042.42</v>
      </c>
      <c r="Z30" s="459">
        <f t="shared" si="9"/>
        <v>-88066.2</v>
      </c>
      <c r="AA30" s="459">
        <f t="shared" si="9"/>
        <v>0</v>
      </c>
      <c r="AB30" s="459">
        <f t="shared" si="9"/>
        <v>0</v>
      </c>
      <c r="AC30" s="459">
        <f t="shared" si="9"/>
        <v>0</v>
      </c>
      <c r="AD30" s="459">
        <f t="shared" si="9"/>
        <v>0</v>
      </c>
      <c r="AE30" s="459">
        <f t="shared" si="9"/>
        <v>0</v>
      </c>
      <c r="AF30" s="459">
        <f t="shared" si="9"/>
        <v>0</v>
      </c>
      <c r="AG30" s="459">
        <f t="shared" si="9"/>
        <v>0</v>
      </c>
      <c r="AH30" s="459">
        <f t="shared" si="9"/>
        <v>6836837.1900000004</v>
      </c>
      <c r="AI30" s="459">
        <f t="shared" si="9"/>
        <v>5164.07</v>
      </c>
      <c r="AJ30" s="459">
        <f t="shared" si="9"/>
        <v>4112.7</v>
      </c>
      <c r="AK30" s="459">
        <f t="shared" si="9"/>
        <v>4243.2700000000004</v>
      </c>
      <c r="AL30" s="459">
        <f t="shared" si="9"/>
        <v>5048.6400000000003</v>
      </c>
      <c r="AM30" s="459">
        <f t="shared" si="9"/>
        <v>5596.25</v>
      </c>
      <c r="AN30" s="459">
        <f t="shared" si="9"/>
        <v>2941.37</v>
      </c>
      <c r="AO30" s="459">
        <f t="shared" si="9"/>
        <v>3672.33</v>
      </c>
      <c r="AP30" s="459">
        <f t="shared" si="9"/>
        <v>4748.74</v>
      </c>
      <c r="AQ30" s="459">
        <f t="shared" si="9"/>
        <v>3773.09</v>
      </c>
      <c r="AR30" s="459">
        <f t="shared" si="9"/>
        <v>5462.88</v>
      </c>
      <c r="AS30" s="459">
        <f t="shared" si="9"/>
        <v>7167119.0100000007</v>
      </c>
      <c r="AT30" s="459">
        <f t="shared" si="9"/>
        <v>696432.22000000009</v>
      </c>
      <c r="AU30" s="459">
        <f t="shared" si="9"/>
        <v>-714290.11</v>
      </c>
      <c r="AV30" s="459">
        <f t="shared" si="9"/>
        <v>95752.18</v>
      </c>
      <c r="AW30" s="459">
        <f t="shared" si="9"/>
        <v>-646254.22</v>
      </c>
      <c r="AX30" s="459">
        <f t="shared" si="9"/>
        <v>978.53</v>
      </c>
      <c r="AY30" s="459">
        <f t="shared" si="9"/>
        <v>531.39</v>
      </c>
      <c r="AZ30" s="459">
        <f t="shared" si="9"/>
        <v>358.56</v>
      </c>
      <c r="BA30" s="459">
        <f t="shared" si="9"/>
        <v>-31608.48</v>
      </c>
      <c r="BB30" s="459">
        <f t="shared" si="9"/>
        <v>403.3</v>
      </c>
      <c r="BC30" s="459">
        <f t="shared" si="9"/>
        <v>667.18</v>
      </c>
      <c r="BD30" s="459">
        <f t="shared" si="9"/>
        <v>914.52</v>
      </c>
      <c r="BE30" s="459">
        <f t="shared" si="9"/>
        <v>6726433.75</v>
      </c>
      <c r="BF30" s="459">
        <f t="shared" si="9"/>
        <v>803720.79</v>
      </c>
      <c r="BG30" s="459">
        <f t="shared" si="9"/>
        <v>115592.57999999999</v>
      </c>
      <c r="BH30" s="459">
        <f t="shared" si="9"/>
        <v>-45284.659999999996</v>
      </c>
      <c r="BI30" s="459">
        <f t="shared" si="9"/>
        <v>283716.08</v>
      </c>
      <c r="BJ30" s="459">
        <f t="shared" si="9"/>
        <v>303066.31</v>
      </c>
      <c r="BK30" s="459">
        <f t="shared" si="9"/>
        <v>259816.72999999998</v>
      </c>
      <c r="BL30" s="459">
        <f t="shared" si="9"/>
        <v>492635.29</v>
      </c>
      <c r="BM30" s="459">
        <f t="shared" si="9"/>
        <v>440854.42</v>
      </c>
      <c r="BN30" s="459">
        <f t="shared" si="9"/>
        <v>676259.48</v>
      </c>
      <c r="BO30" s="459">
        <f t="shared" si="9"/>
        <v>799656.28</v>
      </c>
      <c r="BP30" s="459">
        <f t="shared" si="9"/>
        <v>474778.21</v>
      </c>
      <c r="BQ30" s="459">
        <f t="shared" si="9"/>
        <v>124547.85</v>
      </c>
      <c r="BR30" s="459">
        <f t="shared" si="9"/>
        <v>-114184.17</v>
      </c>
      <c r="BS30" s="459">
        <f t="shared" si="9"/>
        <v>73584.539999999994</v>
      </c>
      <c r="BT30" s="459">
        <f t="shared" si="9"/>
        <v>-51007.18</v>
      </c>
      <c r="BU30" s="459">
        <f t="shared" si="9"/>
        <v>14494.4</v>
      </c>
      <c r="BV30" s="459">
        <f t="shared" si="9"/>
        <v>-3813.4900000000007</v>
      </c>
      <c r="BW30" s="459">
        <f t="shared" ref="BW30:CD30" si="10">SUM(BW9:BW23)</f>
        <v>9461.26</v>
      </c>
      <c r="BX30" s="459">
        <f t="shared" si="10"/>
        <v>6288.54</v>
      </c>
      <c r="BY30" s="459">
        <f t="shared" si="10"/>
        <v>-4598.5200000000004</v>
      </c>
      <c r="BZ30" s="459">
        <f t="shared" si="10"/>
        <v>3000.6</v>
      </c>
      <c r="CA30" s="459">
        <f t="shared" si="10"/>
        <v>5334.8</v>
      </c>
      <c r="CB30" s="459">
        <f t="shared" si="10"/>
        <v>18159211.710000001</v>
      </c>
      <c r="CC30" s="459">
        <f t="shared" si="10"/>
        <v>217289.3</v>
      </c>
      <c r="CD30" s="459">
        <f t="shared" si="10"/>
        <v>15383.74</v>
      </c>
      <c r="CE30" s="452">
        <f>SUM(D30:CD30)</f>
        <v>68928807.169999987</v>
      </c>
      <c r="CG30" s="448"/>
      <c r="CH30" s="448"/>
      <c r="CI30" s="448"/>
      <c r="CJ30" s="448"/>
      <c r="CK30" s="448"/>
    </row>
    <row r="31" spans="1:89">
      <c r="A31" s="460"/>
      <c r="B31" s="461" t="s">
        <v>1370</v>
      </c>
      <c r="C31" s="461"/>
      <c r="D31" s="462">
        <f>D30</f>
        <v>5995105.7300000004</v>
      </c>
      <c r="E31" s="462">
        <f>E30+D31</f>
        <v>5995105.7300000004</v>
      </c>
      <c r="F31" s="462">
        <f t="shared" ref="F31:I31" si="11">F30+E31</f>
        <v>5995105.7300000004</v>
      </c>
      <c r="G31" s="462">
        <f t="shared" si="11"/>
        <v>5995105.7300000004</v>
      </c>
      <c r="H31" s="462">
        <f t="shared" si="11"/>
        <v>5995105.7300000004</v>
      </c>
      <c r="I31" s="462">
        <f t="shared" si="11"/>
        <v>5995105.7300000004</v>
      </c>
      <c r="J31" s="462">
        <f>+I31+J30</f>
        <v>18112475.020000003</v>
      </c>
      <c r="K31" s="462">
        <f>+J31+K30</f>
        <v>18119297.880000003</v>
      </c>
      <c r="L31" s="462">
        <f>+K31+L30</f>
        <v>18085609.120000001</v>
      </c>
      <c r="M31" s="462">
        <f t="shared" ref="M31:BX31" si="12">+L31+M30</f>
        <v>18096070.359999999</v>
      </c>
      <c r="N31" s="462">
        <f t="shared" si="12"/>
        <v>18111613.059999999</v>
      </c>
      <c r="O31" s="462">
        <f t="shared" si="12"/>
        <v>18125327.879999999</v>
      </c>
      <c r="P31" s="462">
        <f t="shared" si="12"/>
        <v>18137119.390000001</v>
      </c>
      <c r="Q31" s="462">
        <f t="shared" si="12"/>
        <v>18138127.990000002</v>
      </c>
      <c r="R31" s="462">
        <f t="shared" si="12"/>
        <v>18136110.790000003</v>
      </c>
      <c r="S31" s="462">
        <f t="shared" si="12"/>
        <v>18136110.790000003</v>
      </c>
      <c r="T31" s="462">
        <f t="shared" si="12"/>
        <v>18136110.790000003</v>
      </c>
      <c r="U31" s="462">
        <f t="shared" si="12"/>
        <v>18136110.790000003</v>
      </c>
      <c r="V31" s="462">
        <f t="shared" si="12"/>
        <v>25690484.660000004</v>
      </c>
      <c r="W31" s="462">
        <f t="shared" si="12"/>
        <v>25763153.000000004</v>
      </c>
      <c r="X31" s="462">
        <f t="shared" si="12"/>
        <v>25782072.540000003</v>
      </c>
      <c r="Y31" s="462">
        <f t="shared" si="12"/>
        <v>25778030.120000001</v>
      </c>
      <c r="Z31" s="462">
        <f t="shared" si="12"/>
        <v>25689963.920000002</v>
      </c>
      <c r="AA31" s="462">
        <f t="shared" si="12"/>
        <v>25689963.920000002</v>
      </c>
      <c r="AB31" s="462">
        <f t="shared" si="12"/>
        <v>25689963.920000002</v>
      </c>
      <c r="AC31" s="462">
        <f t="shared" si="12"/>
        <v>25689963.920000002</v>
      </c>
      <c r="AD31" s="462">
        <f t="shared" si="12"/>
        <v>25689963.920000002</v>
      </c>
      <c r="AE31" s="462">
        <f t="shared" si="12"/>
        <v>25689963.920000002</v>
      </c>
      <c r="AF31" s="462">
        <f t="shared" si="12"/>
        <v>25689963.920000002</v>
      </c>
      <c r="AG31" s="462">
        <f t="shared" si="12"/>
        <v>25689963.920000002</v>
      </c>
      <c r="AH31" s="462">
        <f t="shared" si="12"/>
        <v>32526801.110000003</v>
      </c>
      <c r="AI31" s="462">
        <f t="shared" si="12"/>
        <v>32531965.180000003</v>
      </c>
      <c r="AJ31" s="462">
        <f t="shared" si="12"/>
        <v>32536077.880000003</v>
      </c>
      <c r="AK31" s="462">
        <f t="shared" si="12"/>
        <v>32540321.150000002</v>
      </c>
      <c r="AL31" s="462">
        <f t="shared" si="12"/>
        <v>32545369.790000003</v>
      </c>
      <c r="AM31" s="462">
        <f t="shared" si="12"/>
        <v>32550966.040000003</v>
      </c>
      <c r="AN31" s="462">
        <f t="shared" si="12"/>
        <v>32553907.410000004</v>
      </c>
      <c r="AO31" s="462">
        <f t="shared" si="12"/>
        <v>32557579.740000002</v>
      </c>
      <c r="AP31" s="462">
        <f t="shared" si="12"/>
        <v>32562328.48</v>
      </c>
      <c r="AQ31" s="462">
        <f t="shared" si="12"/>
        <v>32566101.57</v>
      </c>
      <c r="AR31" s="462">
        <f t="shared" si="12"/>
        <v>32571564.449999999</v>
      </c>
      <c r="AS31" s="462">
        <f t="shared" si="12"/>
        <v>39738683.460000001</v>
      </c>
      <c r="AT31" s="462">
        <f t="shared" si="12"/>
        <v>40435115.68</v>
      </c>
      <c r="AU31" s="462">
        <f t="shared" si="12"/>
        <v>39720825.57</v>
      </c>
      <c r="AV31" s="462">
        <f t="shared" si="12"/>
        <v>39816577.75</v>
      </c>
      <c r="AW31" s="462">
        <f t="shared" si="12"/>
        <v>39170323.530000001</v>
      </c>
      <c r="AX31" s="462">
        <f t="shared" si="12"/>
        <v>39171302.060000002</v>
      </c>
      <c r="AY31" s="462">
        <f t="shared" si="12"/>
        <v>39171833.450000003</v>
      </c>
      <c r="AZ31" s="462">
        <f t="shared" si="12"/>
        <v>39172192.010000005</v>
      </c>
      <c r="BA31" s="462">
        <f t="shared" si="12"/>
        <v>39140583.530000009</v>
      </c>
      <c r="BB31" s="462">
        <f t="shared" si="12"/>
        <v>39140986.830000006</v>
      </c>
      <c r="BC31" s="462">
        <f t="shared" si="12"/>
        <v>39141654.010000005</v>
      </c>
      <c r="BD31" s="462">
        <f t="shared" si="12"/>
        <v>39142568.530000009</v>
      </c>
      <c r="BE31" s="462">
        <f t="shared" si="12"/>
        <v>45869002.280000009</v>
      </c>
      <c r="BF31" s="462">
        <f t="shared" si="12"/>
        <v>46672723.070000008</v>
      </c>
      <c r="BG31" s="462">
        <f t="shared" si="12"/>
        <v>46788315.650000006</v>
      </c>
      <c r="BH31" s="462">
        <f t="shared" si="12"/>
        <v>46743030.99000001</v>
      </c>
      <c r="BI31" s="462">
        <f t="shared" si="12"/>
        <v>47026747.070000008</v>
      </c>
      <c r="BJ31" s="462">
        <f t="shared" si="12"/>
        <v>47329813.38000001</v>
      </c>
      <c r="BK31" s="462">
        <f t="shared" si="12"/>
        <v>47589630.110000007</v>
      </c>
      <c r="BL31" s="462">
        <f t="shared" si="12"/>
        <v>48082265.400000006</v>
      </c>
      <c r="BM31" s="462">
        <f t="shared" si="12"/>
        <v>48523119.820000008</v>
      </c>
      <c r="BN31" s="462">
        <f t="shared" si="12"/>
        <v>49199379.300000004</v>
      </c>
      <c r="BO31" s="462">
        <f t="shared" si="12"/>
        <v>49999035.580000006</v>
      </c>
      <c r="BP31" s="462">
        <f t="shared" si="12"/>
        <v>50473813.790000007</v>
      </c>
      <c r="BQ31" s="462">
        <f t="shared" si="12"/>
        <v>50598361.640000008</v>
      </c>
      <c r="BR31" s="462">
        <f t="shared" si="12"/>
        <v>50484177.470000006</v>
      </c>
      <c r="BS31" s="462">
        <f t="shared" si="12"/>
        <v>50557762.010000005</v>
      </c>
      <c r="BT31" s="462">
        <f t="shared" si="12"/>
        <v>50506754.830000006</v>
      </c>
      <c r="BU31" s="462">
        <f t="shared" si="12"/>
        <v>50521249.230000004</v>
      </c>
      <c r="BV31" s="462">
        <f t="shared" si="12"/>
        <v>50517435.740000002</v>
      </c>
      <c r="BW31" s="462">
        <f t="shared" si="12"/>
        <v>50526897</v>
      </c>
      <c r="BX31" s="462">
        <f t="shared" si="12"/>
        <v>50533185.539999999</v>
      </c>
      <c r="BY31" s="462">
        <f t="shared" ref="BY31:CD31" si="13">+BX31+BY30</f>
        <v>50528587.019999996</v>
      </c>
      <c r="BZ31" s="462">
        <f t="shared" si="13"/>
        <v>50531587.619999997</v>
      </c>
      <c r="CA31" s="462">
        <f t="shared" si="13"/>
        <v>50536922.419999994</v>
      </c>
      <c r="CB31" s="462">
        <f t="shared" si="13"/>
        <v>68696134.129999995</v>
      </c>
      <c r="CC31" s="462">
        <f t="shared" si="13"/>
        <v>68913423.429999992</v>
      </c>
      <c r="CD31" s="462">
        <f t="shared" si="13"/>
        <v>68928807.169999987</v>
      </c>
      <c r="CE31" s="463">
        <f>CD31-'Cumulative Through Feb 2026'!K82-'Cumulative Through Feb 2026'!J182</f>
        <v>0</v>
      </c>
    </row>
    <row r="32" spans="1:89" ht="13.5" thickBot="1">
      <c r="A32" s="456"/>
      <c r="B32" s="464" t="s">
        <v>1371</v>
      </c>
      <c r="C32" s="464"/>
      <c r="D32" s="464"/>
      <c r="E32" s="464"/>
      <c r="F32" s="464"/>
      <c r="G32" s="464"/>
      <c r="H32" s="464"/>
      <c r="I32" s="464"/>
      <c r="J32" s="465"/>
      <c r="K32" s="465"/>
      <c r="L32" s="465"/>
      <c r="M32" s="466"/>
      <c r="N32" s="467"/>
      <c r="O32" s="468"/>
      <c r="P32" s="468"/>
      <c r="Q32" s="468"/>
      <c r="R32" s="468"/>
      <c r="S32" s="468"/>
      <c r="T32" s="468"/>
      <c r="U32" s="468"/>
      <c r="V32" s="468"/>
      <c r="W32" s="468"/>
      <c r="X32" s="468"/>
      <c r="Y32" s="468"/>
      <c r="Z32" s="468"/>
      <c r="AA32" s="468"/>
      <c r="AB32" s="468"/>
      <c r="AC32" s="469"/>
      <c r="AD32" s="469"/>
      <c r="AE32" s="469"/>
      <c r="AF32" s="469"/>
      <c r="AG32" s="469"/>
      <c r="AH32" s="469"/>
      <c r="AI32" s="469"/>
      <c r="AJ32" s="469"/>
      <c r="AK32" s="469"/>
      <c r="AL32" s="469"/>
      <c r="AM32" s="469"/>
      <c r="AN32" s="469"/>
      <c r="AO32" s="469"/>
      <c r="AP32" s="469"/>
      <c r="AQ32" s="470"/>
      <c r="AR32" s="470"/>
      <c r="AS32" s="470"/>
      <c r="AT32" s="470"/>
      <c r="AU32" s="470"/>
      <c r="AV32" s="470"/>
      <c r="AW32" s="470"/>
      <c r="AX32" s="470"/>
      <c r="AY32" s="470"/>
      <c r="AZ32" s="470"/>
      <c r="BA32" s="470"/>
      <c r="BB32" s="470"/>
      <c r="BC32" s="470"/>
      <c r="BD32" s="470"/>
      <c r="BE32" s="470"/>
      <c r="BF32" s="470"/>
      <c r="BG32" s="470"/>
      <c r="BH32" s="470"/>
      <c r="BI32" s="470"/>
      <c r="BJ32" s="470"/>
      <c r="BK32" s="470"/>
      <c r="BL32" s="470"/>
      <c r="BM32" s="470"/>
      <c r="BN32" s="470"/>
      <c r="BO32" s="470"/>
      <c r="BP32" s="470"/>
      <c r="BQ32" s="470"/>
      <c r="BR32" s="470"/>
      <c r="BS32" s="470"/>
      <c r="BT32" s="470"/>
      <c r="BU32" s="470"/>
      <c r="BV32" s="470"/>
      <c r="BW32" s="470"/>
      <c r="BX32" s="470"/>
      <c r="BY32" s="470"/>
      <c r="BZ32" s="470"/>
      <c r="CA32" s="470"/>
      <c r="CB32" s="470"/>
      <c r="CC32" s="470"/>
      <c r="CD32" s="470"/>
      <c r="CE32" s="452"/>
    </row>
    <row r="33" spans="1:85" ht="14.25" customHeight="1" outlineLevel="1" thickBot="1">
      <c r="A33" s="441" t="str">
        <f>A9</f>
        <v>Assets 1</v>
      </c>
      <c r="B33" s="471" t="str">
        <f>B9</f>
        <v>FERC Plant Account 36400</v>
      </c>
      <c r="C33" s="472">
        <f>'Cumulative Through Feb 2026'!L4</f>
        <v>3.5200000000000002E-2</v>
      </c>
      <c r="D33" s="473"/>
      <c r="E33" s="473"/>
      <c r="F33" s="473"/>
      <c r="G33" s="473"/>
      <c r="H33" s="473"/>
      <c r="I33" s="473"/>
      <c r="J33" s="473"/>
      <c r="K33" s="473">
        <f>$J9*$C33/12</f>
        <v>35544.283250666667</v>
      </c>
      <c r="L33" s="473">
        <f>SUM($J9:K9)*$C33/12</f>
        <v>35564.296973333338</v>
      </c>
      <c r="M33" s="473">
        <f>SUM($J9:L9)*$C33/12</f>
        <v>35465.476610666672</v>
      </c>
      <c r="N33" s="473">
        <f>SUM($J9:M9)*$C33/12</f>
        <v>35496.162914666675</v>
      </c>
      <c r="O33" s="473">
        <f>SUM($J9:N9)*$C33/12</f>
        <v>35541.754834666666</v>
      </c>
      <c r="P33" s="473">
        <f>SUM($J9:O9)*$C33/12</f>
        <v>35581.984973333332</v>
      </c>
      <c r="Q33" s="473">
        <f>SUM($J9:P9)*$C33/12</f>
        <v>35616.573402666669</v>
      </c>
      <c r="R33" s="473">
        <f>SUM($J9:Q9)*$C33/12</f>
        <v>35619.531962666668</v>
      </c>
      <c r="S33" s="473">
        <f>SUM($J9:R9)*$C33/12</f>
        <v>35613.61484266667</v>
      </c>
      <c r="T33" s="473">
        <f>SUM($J9:S9)*$C33/12</f>
        <v>35613.61484266667</v>
      </c>
      <c r="U33" s="473">
        <f>SUM($J9:T9)*$C33/12</f>
        <v>35613.61484266667</v>
      </c>
      <c r="V33" s="473">
        <f>SUM($J9:U9)*$C33/12</f>
        <v>35613.61484266667</v>
      </c>
      <c r="W33" s="473">
        <f>SUM($J9:V9)*$C33/12</f>
        <v>57773.111528000001</v>
      </c>
      <c r="X33" s="473">
        <f>SUM($J9:W9)*$C33/12</f>
        <v>57986.271992000002</v>
      </c>
      <c r="Y33" s="473">
        <f>SUM($J9:X9)*$C33/12</f>
        <v>58041.769309333329</v>
      </c>
      <c r="Z33" s="473">
        <f>SUM($J9:Y9)*$C33/12</f>
        <v>58029.911543999995</v>
      </c>
      <c r="AA33" s="473">
        <f>SUM($J9:Z9)*$C33/12</f>
        <v>57771.584024000003</v>
      </c>
      <c r="AB33" s="473">
        <f>SUM($J9:AA9)*$C33/12</f>
        <v>57771.584024000003</v>
      </c>
      <c r="AC33" s="473">
        <f>SUM($J9:AB9)*$C33/12</f>
        <v>57771.584024000003</v>
      </c>
      <c r="AD33" s="473">
        <f>SUM($J9:AC9)*$C33/12</f>
        <v>57771.584024000003</v>
      </c>
      <c r="AE33" s="473">
        <f>SUM($J9:AD9)*$C33/12</f>
        <v>57771.584024000003</v>
      </c>
      <c r="AF33" s="473">
        <f>SUM($J9:AE9)*$C33/12</f>
        <v>57771.584024000003</v>
      </c>
      <c r="AG33" s="473">
        <f>SUM($J9:AF9)*$C33/12</f>
        <v>57771.584024000003</v>
      </c>
      <c r="AH33" s="473">
        <f>SUM($J9:AG9)*$C33/12</f>
        <v>57771.584024000003</v>
      </c>
      <c r="AI33" s="473">
        <f>SUM($J9:AH9)*$C33/12</f>
        <v>77826.306448000003</v>
      </c>
      <c r="AJ33" s="473">
        <f>SUM($J9:AI9)*$C33/12</f>
        <v>77841.454386666665</v>
      </c>
      <c r="AK33" s="473">
        <f>SUM($J9:AJ9)*$C33/12</f>
        <v>77853.518306666665</v>
      </c>
      <c r="AL33" s="473">
        <f>SUM($J9:AK9)*$C33/12</f>
        <v>77865.965232000002</v>
      </c>
      <c r="AM33" s="473">
        <f>SUM($J9:AL9)*$C33/12</f>
        <v>77880.774575999996</v>
      </c>
      <c r="AN33" s="473">
        <f>SUM($J9:AM9)*$C33/12</f>
        <v>77897.190242666664</v>
      </c>
      <c r="AO33" s="473">
        <f>SUM($J9:AN9)*$C33/12</f>
        <v>77905.818261333334</v>
      </c>
      <c r="AP33" s="473">
        <f>SUM($J9:AO9)*$C33/12</f>
        <v>77916.59042933333</v>
      </c>
      <c r="AQ33" s="473">
        <f>SUM($J9:AP9)*$C33/12</f>
        <v>77930.520066666664</v>
      </c>
      <c r="AR33" s="473">
        <f>SUM($J9:AQ9)*$C33/12</f>
        <v>77941.587797333326</v>
      </c>
      <c r="AS33" s="473">
        <f>SUM($J9:AR9)*$C33/12</f>
        <v>77957.612245333323</v>
      </c>
      <c r="AT33" s="473">
        <f>SUM($J9:AS9)*$C33/12</f>
        <v>98981.16134133334</v>
      </c>
      <c r="AU33" s="473">
        <f>SUM($J9:AT9)*$C33/12</f>
        <v>101024.02918666665</v>
      </c>
      <c r="AV33" s="473">
        <f>SUM($J9:AU9)*$C33/12</f>
        <v>98928.778197333333</v>
      </c>
      <c r="AW33" s="473">
        <f>SUM($J9:AV9)*$C33/12</f>
        <v>99209.651258666665</v>
      </c>
      <c r="AX33" s="473">
        <f>SUM($J9:AW9)*$C33/12</f>
        <v>97313.972213333342</v>
      </c>
      <c r="AY33" s="473">
        <f>SUM($J9:AX9)*$C33/12</f>
        <v>97316.842568000007</v>
      </c>
      <c r="AZ33" s="473">
        <f>SUM($J9:AY9)*$C33/12</f>
        <v>97318.401312000002</v>
      </c>
      <c r="BA33" s="473">
        <f>SUM($J9:AZ9)*$C33/12</f>
        <v>97319.453087999995</v>
      </c>
      <c r="BB33" s="473">
        <f>SUM($J9:BA9)*$C33/12</f>
        <v>97226.734880000004</v>
      </c>
      <c r="BC33" s="473">
        <f>SUM($J9:BB9)*$C33/12</f>
        <v>97227.917893333346</v>
      </c>
      <c r="BD33" s="473">
        <f>SUM($J9:BC9)*$C33/12</f>
        <v>97229.874954666666</v>
      </c>
      <c r="BE33" s="473">
        <f>SUM($J9:BD9)*$C33/12</f>
        <v>97232.557546666663</v>
      </c>
      <c r="BF33" s="473">
        <f>SUM($J9:BE9)*$C33/12</f>
        <v>116963.42988</v>
      </c>
      <c r="BG33" s="473">
        <f>SUM($J9:BF9)*$C33/12</f>
        <v>119321.010864</v>
      </c>
      <c r="BH33" s="473">
        <f>SUM($J9:BG9)*$C33/12</f>
        <v>119660.08243199998</v>
      </c>
      <c r="BI33" s="473">
        <f>SUM($J9:BH9)*$C33/12</f>
        <v>119527.24742933334</v>
      </c>
      <c r="BJ33" s="473">
        <f>SUM($J9:BI9)*$C33/12</f>
        <v>120359.481264</v>
      </c>
      <c r="BK33" s="473">
        <f>SUM($J9:BJ9)*$C33/12</f>
        <v>121248.47577333334</v>
      </c>
      <c r="BL33" s="473">
        <f>SUM($J9:BK9)*$C33/12</f>
        <v>122010.60484799999</v>
      </c>
      <c r="BM33" s="473">
        <f>SUM($J9:BL9)*$C33/12</f>
        <v>123455.66836533333</v>
      </c>
      <c r="BN33" s="473">
        <f>SUM($J9:BM9)*$C33/12</f>
        <v>124748.84133066666</v>
      </c>
      <c r="BO33" s="473">
        <f>SUM($J9:BN9)*$C33/12</f>
        <v>126732.53580533333</v>
      </c>
      <c r="BP33" s="473">
        <f>SUM($J9:BO9)*$C33/12</f>
        <v>129078.19422666666</v>
      </c>
      <c r="BQ33" s="473">
        <f>SUM($J9:BP9)*$C33/12</f>
        <v>130470.87697599999</v>
      </c>
      <c r="BR33" s="473">
        <f>SUM($J9:BQ9)*$C33/12</f>
        <v>130836.217336</v>
      </c>
      <c r="BS33" s="473">
        <f>SUM($J9:BR9)*$C33/12</f>
        <v>130501.27710399999</v>
      </c>
      <c r="BT33" s="473">
        <f>SUM($J9:BS9)*$C33/12</f>
        <v>130717.12508799999</v>
      </c>
      <c r="BU33" s="473">
        <f>SUM($J9:BT9)*$C33/12</f>
        <v>130567.50402666665</v>
      </c>
      <c r="BV33" s="473">
        <f>SUM($J9:BU9)*$C33/12</f>
        <v>130610.02093333332</v>
      </c>
      <c r="BW33" s="473">
        <f>SUM($J9:BV9)*$C33/12</f>
        <v>130598.83469599998</v>
      </c>
      <c r="BX33" s="473">
        <f>SUM($J9:BW9)*$C33/12</f>
        <v>130626.5877253333</v>
      </c>
      <c r="BY33" s="473">
        <f>SUM($J9:BX9)*$C33/12</f>
        <v>130645.0341093333</v>
      </c>
      <c r="BZ33" s="473">
        <f>SUM($J9:BY9)*$C33/12</f>
        <v>130631.5451173333</v>
      </c>
      <c r="CA33" s="473">
        <f>SUM($J9:BZ9)*$C33/12</f>
        <v>130640.3468773333</v>
      </c>
      <c r="CB33" s="473">
        <f>SUM($J9:CA9)*$C33/12</f>
        <v>130655.99562399996</v>
      </c>
      <c r="CC33" s="473">
        <f>SUM($J9:CB9)*$C33/12</f>
        <v>183923.01663999996</v>
      </c>
      <c r="CD33" s="473">
        <f>SUM($J9:CC9)*$C33/12</f>
        <v>184560.39858666665</v>
      </c>
      <c r="CE33" s="452">
        <f>SUM(D33:CD33)</f>
        <v>6433125.3263493329</v>
      </c>
    </row>
    <row r="34" spans="1:85" ht="14.25" customHeight="1" outlineLevel="1">
      <c r="A34" s="441" t="str">
        <f>A10</f>
        <v>Assets 2</v>
      </c>
      <c r="B34" s="474" t="s">
        <v>1368</v>
      </c>
      <c r="C34" s="475">
        <f>'Cumulative Through Feb 2026'!L88</f>
        <v>3.5200000000000002E-2</v>
      </c>
      <c r="D34" s="476"/>
      <c r="E34" s="476">
        <f>SUM(D10)*C34/12</f>
        <v>17585.643474666667</v>
      </c>
      <c r="F34" s="476">
        <f>SUM($D10:E10)*$C34/12</f>
        <v>17585.643474666667</v>
      </c>
      <c r="G34" s="476">
        <f>SUM($D10:F10)*$C34/12</f>
        <v>17585.643474666667</v>
      </c>
      <c r="H34" s="476">
        <f>SUM($D10:G10)*$C34/12</f>
        <v>17585.643474666667</v>
      </c>
      <c r="I34" s="476">
        <f>SUM($D10:H10)*$C34/12</f>
        <v>17585.643474666667</v>
      </c>
      <c r="J34" s="476">
        <f>SUM($D10:I10)*$C34/12</f>
        <v>17585.643474666667</v>
      </c>
      <c r="K34" s="476">
        <f>SUM($D10:J10)*$C34/12</f>
        <v>17585.643474666667</v>
      </c>
      <c r="L34" s="476">
        <f>SUM($D10:K10)*$C34/12</f>
        <v>17585.643474666667</v>
      </c>
      <c r="M34" s="476">
        <f>SUM($D10:L10)*$C34/12</f>
        <v>17585.643474666667</v>
      </c>
      <c r="N34" s="476">
        <f>SUM($D10:M10)*$C34/12</f>
        <v>17585.643474666667</v>
      </c>
      <c r="O34" s="476">
        <f>SUM($D10:N10)*$C34/12</f>
        <v>17585.643474666667</v>
      </c>
      <c r="P34" s="476">
        <f>SUM($D10:O10)*$C34/12</f>
        <v>17585.643474666667</v>
      </c>
      <c r="Q34" s="476">
        <f>SUM($D10:P10)*$C34/12</f>
        <v>17585.643474666667</v>
      </c>
      <c r="R34" s="476">
        <f>SUM($D10:Q10)*$C34/12</f>
        <v>17585.643474666667</v>
      </c>
      <c r="S34" s="476">
        <f>SUM($D10:R10)*$C34/12</f>
        <v>17585.643474666667</v>
      </c>
      <c r="T34" s="476">
        <f>SUM($D10:S10)*$C34/12</f>
        <v>17585.643474666667</v>
      </c>
      <c r="U34" s="476">
        <f>SUM($D10:T10)*$C34/12</f>
        <v>17585.643474666667</v>
      </c>
      <c r="V34" s="476">
        <f>SUM($D10:U10)*$C34/12</f>
        <v>17585.643474666667</v>
      </c>
      <c r="W34" s="476">
        <f>SUM($D10:V10)*$C34/12</f>
        <v>17585.643474666667</v>
      </c>
      <c r="X34" s="476">
        <f>SUM($D10:W10)*$C34/12</f>
        <v>17585.643474666667</v>
      </c>
      <c r="Y34" s="476">
        <f>SUM($D10:X10)*$C34/12</f>
        <v>17585.643474666667</v>
      </c>
      <c r="Z34" s="476">
        <f>SUM($D10:Y10)*$C34/12</f>
        <v>17585.643474666667</v>
      </c>
      <c r="AA34" s="476">
        <f>SUM($D10:Z10)*$C34/12</f>
        <v>17585.643474666667</v>
      </c>
      <c r="AB34" s="476">
        <f>SUM($D10:AA10)*$C34/12</f>
        <v>17585.643474666667</v>
      </c>
      <c r="AC34" s="476">
        <f>SUM($D10:AB10)*$C34/12</f>
        <v>17585.643474666667</v>
      </c>
      <c r="AD34" s="476">
        <f>SUM($D10:AC10)*$C34/12</f>
        <v>17585.643474666667</v>
      </c>
      <c r="AE34" s="476">
        <f>SUM($D10:AD10)*$C34/12</f>
        <v>17585.643474666667</v>
      </c>
      <c r="AF34" s="476">
        <f>SUM($D10:AE10)*$C34/12</f>
        <v>17585.643474666667</v>
      </c>
      <c r="AG34" s="476">
        <f>SUM($D10:AF10)*$C34/12</f>
        <v>17585.643474666667</v>
      </c>
      <c r="AH34" s="476">
        <f>SUM($D10:AG10)*$C34/12</f>
        <v>17585.643474666667</v>
      </c>
      <c r="AI34" s="476">
        <f>SUM($D10:AH10)*$C34/12</f>
        <v>17585.643474666667</v>
      </c>
      <c r="AJ34" s="476">
        <f>SUM($D10:AI10)*$C34/12</f>
        <v>17585.643474666667</v>
      </c>
      <c r="AK34" s="476">
        <f>SUM($D10:AJ10)*$C34/12</f>
        <v>17585.643474666667</v>
      </c>
      <c r="AL34" s="476">
        <f>SUM($D10:AK10)*$C34/12</f>
        <v>17585.643474666667</v>
      </c>
      <c r="AM34" s="476">
        <f>SUM($D10:AL10)*$C34/12</f>
        <v>17585.643474666667</v>
      </c>
      <c r="AN34" s="476">
        <f>SUM($D10:AM10)*$C34/12</f>
        <v>17585.643474666667</v>
      </c>
      <c r="AO34" s="476">
        <f>SUM($D10:AN10)*$C34/12</f>
        <v>17585.643474666667</v>
      </c>
      <c r="AP34" s="476">
        <f>SUM($D10:AO10)*$C34/12</f>
        <v>17585.643474666667</v>
      </c>
      <c r="AQ34" s="476">
        <f>SUM($D10:AP10)*$C34/12</f>
        <v>17585.643474666667</v>
      </c>
      <c r="AR34" s="476">
        <f>SUM($D10:AQ10)*$C34/12</f>
        <v>17585.643474666667</v>
      </c>
      <c r="AS34" s="476">
        <f>SUM($D10:AR10)*$C34/12</f>
        <v>17585.643474666667</v>
      </c>
      <c r="AT34" s="476">
        <f>SUM($D10:AS10)*$C34/12</f>
        <v>17585.643474666667</v>
      </c>
      <c r="AU34" s="476">
        <f>SUM($D10:AT10)*$C34/12</f>
        <v>17585.643474666667</v>
      </c>
      <c r="AV34" s="476">
        <f>SUM($D10:AU10)*$C34/12</f>
        <v>17585.643474666667</v>
      </c>
      <c r="AW34" s="476">
        <f>SUM($D10:AV10)*$C34/12</f>
        <v>17585.643474666667</v>
      </c>
      <c r="AX34" s="476">
        <f>SUM($D10:AW10)*$C34/12</f>
        <v>17585.643474666667</v>
      </c>
      <c r="AY34" s="476">
        <f>SUM($D10:AX10)*$C34/12</f>
        <v>17585.643474666667</v>
      </c>
      <c r="AZ34" s="476">
        <f>SUM($D10:AY10)*$C34/12</f>
        <v>17585.643474666667</v>
      </c>
      <c r="BA34" s="476">
        <f>SUM($D10:AZ10)*$C34/12</f>
        <v>17585.643474666667</v>
      </c>
      <c r="BB34" s="476">
        <f>SUM($D10:BA10)*$C34/12</f>
        <v>17585.643474666667</v>
      </c>
      <c r="BC34" s="476">
        <f>SUM($D10:BB10)*$C34/12</f>
        <v>17585.643474666667</v>
      </c>
      <c r="BD34" s="476">
        <f>SUM($D10:BC10)*$C34/12</f>
        <v>17585.643474666667</v>
      </c>
      <c r="BE34" s="476">
        <f>SUM($D10:BD10)*$C34/12</f>
        <v>17585.643474666667</v>
      </c>
      <c r="BF34" s="476">
        <f>SUM($D10:BE10)*$C34/12</f>
        <v>17585.643474666667</v>
      </c>
      <c r="BG34" s="476">
        <f>SUM($D10:BF10)*$C34/12</f>
        <v>17585.643474666667</v>
      </c>
      <c r="BH34" s="476">
        <f>SUM($D10:BG10)*$C34/12</f>
        <v>17585.643474666667</v>
      </c>
      <c r="BI34" s="476">
        <f>SUM($D10:BH10)*$C34/12</f>
        <v>17585.643474666667</v>
      </c>
      <c r="BJ34" s="476">
        <f>SUM($D10:BI10)*$C34/12</f>
        <v>17585.643474666667</v>
      </c>
      <c r="BK34" s="476">
        <f>SUM($D10:BJ10)*$C34/12</f>
        <v>17585.643474666667</v>
      </c>
      <c r="BL34" s="476">
        <f>SUM($D10:BK10)*$C34/12</f>
        <v>17585.643474666667</v>
      </c>
      <c r="BM34" s="476">
        <f>SUM($D10:BL10)*$C34/12</f>
        <v>17585.643474666667</v>
      </c>
      <c r="BN34" s="476">
        <f>SUM($D10:BM10)*$C34/12</f>
        <v>17585.643474666667</v>
      </c>
      <c r="BO34" s="476">
        <f>SUM($D10:BN10)*$C34/12</f>
        <v>17585.643474666667</v>
      </c>
      <c r="BP34" s="476">
        <f>SUM($D10:BO10)*$C34/12</f>
        <v>17585.643474666667</v>
      </c>
      <c r="BQ34" s="476">
        <f>SUM($D10:BP10)*$C34/12</f>
        <v>17585.643474666667</v>
      </c>
      <c r="BR34" s="476">
        <f>SUM($D10:BQ10)*$C34/12</f>
        <v>17585.643474666667</v>
      </c>
      <c r="BS34" s="476">
        <f>SUM($D10:BR10)*$C34/12</f>
        <v>17585.643474666667</v>
      </c>
      <c r="BT34" s="476">
        <f>SUM($D10:BS10)*$C34/12</f>
        <v>17585.643474666667</v>
      </c>
      <c r="BU34" s="476">
        <f>SUM($D10:BT10)*$C34/12</f>
        <v>17585.643474666667</v>
      </c>
      <c r="BV34" s="476">
        <f>SUM($D10:BU10)*$C34/12</f>
        <v>17585.643474666667</v>
      </c>
      <c r="BW34" s="476">
        <f>SUM($D10:BV10)*$C34/12</f>
        <v>17585.643474666667</v>
      </c>
      <c r="BX34" s="476">
        <f>SUM($D10:BW10)*$C34/12</f>
        <v>17585.643474666667</v>
      </c>
      <c r="BY34" s="476">
        <f>SUM($D10:BX10)*$C34/12</f>
        <v>17585.643474666667</v>
      </c>
      <c r="BZ34" s="476">
        <f>SUM($D10:BY10)*$C34/12</f>
        <v>17585.643474666667</v>
      </c>
      <c r="CA34" s="476">
        <f>SUM($D10:BZ10)*$C34/12</f>
        <v>17585.643474666667</v>
      </c>
      <c r="CB34" s="476">
        <f>SUM($D10:CA10)*$C34/12</f>
        <v>17585.643474666667</v>
      </c>
      <c r="CC34" s="476">
        <f>SUM($D10:CB10)*$C34/12</f>
        <v>17585.643474666667</v>
      </c>
      <c r="CD34" s="476">
        <f>SUM($D10:CC10)*$C34/12</f>
        <v>17585.643474666667</v>
      </c>
      <c r="CE34" s="452">
        <f>SUM(D34:CD34)</f>
        <v>1371680.1910239989</v>
      </c>
    </row>
    <row r="35" spans="1:85" ht="14.25" customHeight="1" outlineLevel="1" thickBot="1">
      <c r="A35" s="456"/>
      <c r="B35" s="457"/>
      <c r="C35" s="457"/>
      <c r="D35" s="457"/>
      <c r="E35" s="457"/>
      <c r="F35" s="457"/>
      <c r="G35" s="457"/>
      <c r="H35" s="457"/>
      <c r="I35" s="457"/>
      <c r="J35" s="477"/>
      <c r="K35" s="477"/>
      <c r="L35" s="477"/>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c r="BB35" s="477"/>
      <c r="BC35" s="477"/>
      <c r="BD35" s="477"/>
      <c r="BE35" s="477"/>
      <c r="BF35" s="477"/>
      <c r="BG35" s="477"/>
      <c r="BH35" s="477"/>
      <c r="BI35" s="477"/>
      <c r="BJ35" s="477"/>
      <c r="BK35" s="477"/>
      <c r="BL35" s="477"/>
      <c r="BM35" s="477"/>
      <c r="BN35" s="477"/>
      <c r="BO35" s="477"/>
      <c r="BP35" s="477"/>
      <c r="BQ35" s="477"/>
      <c r="BR35" s="477"/>
      <c r="BS35" s="477"/>
      <c r="BT35" s="477"/>
      <c r="BU35" s="477"/>
      <c r="BV35" s="477"/>
      <c r="BW35" s="477"/>
      <c r="BX35" s="477"/>
      <c r="BY35" s="477"/>
      <c r="BZ35" s="477"/>
      <c r="CA35" s="477"/>
      <c r="CB35" s="477"/>
      <c r="CC35" s="477"/>
      <c r="CD35" s="477"/>
      <c r="CE35" s="452"/>
    </row>
    <row r="36" spans="1:85" outlineLevel="1">
      <c r="B36" s="474" t="s">
        <v>1372</v>
      </c>
      <c r="C36" s="474"/>
      <c r="D36" s="478">
        <f t="shared" ref="D36:BO36" si="14">SUM(D33:D35)</f>
        <v>0</v>
      </c>
      <c r="E36" s="478">
        <f t="shared" si="14"/>
        <v>17585.643474666667</v>
      </c>
      <c r="F36" s="478">
        <f t="shared" si="14"/>
        <v>17585.643474666667</v>
      </c>
      <c r="G36" s="478">
        <f t="shared" si="14"/>
        <v>17585.643474666667</v>
      </c>
      <c r="H36" s="478">
        <f t="shared" si="14"/>
        <v>17585.643474666667</v>
      </c>
      <c r="I36" s="478">
        <f t="shared" si="14"/>
        <v>17585.643474666667</v>
      </c>
      <c r="J36" s="478">
        <f t="shared" si="14"/>
        <v>17585.643474666667</v>
      </c>
      <c r="K36" s="478">
        <f t="shared" si="14"/>
        <v>53129.926725333338</v>
      </c>
      <c r="L36" s="478">
        <f t="shared" si="14"/>
        <v>53149.940448000008</v>
      </c>
      <c r="M36" s="478">
        <f t="shared" si="14"/>
        <v>53051.120085333343</v>
      </c>
      <c r="N36" s="478">
        <f t="shared" si="14"/>
        <v>53081.806389333346</v>
      </c>
      <c r="O36" s="478">
        <f t="shared" si="14"/>
        <v>53127.398309333337</v>
      </c>
      <c r="P36" s="478">
        <f t="shared" si="14"/>
        <v>53167.628448000003</v>
      </c>
      <c r="Q36" s="478">
        <f t="shared" si="14"/>
        <v>53202.21687733334</v>
      </c>
      <c r="R36" s="478">
        <f t="shared" si="14"/>
        <v>53205.175437333339</v>
      </c>
      <c r="S36" s="478">
        <f t="shared" si="14"/>
        <v>53199.258317333341</v>
      </c>
      <c r="T36" s="478">
        <f t="shared" si="14"/>
        <v>53199.258317333341</v>
      </c>
      <c r="U36" s="478">
        <f t="shared" si="14"/>
        <v>53199.258317333341</v>
      </c>
      <c r="V36" s="478">
        <f t="shared" si="14"/>
        <v>53199.258317333341</v>
      </c>
      <c r="W36" s="478">
        <f t="shared" si="14"/>
        <v>75358.755002666672</v>
      </c>
      <c r="X36" s="478">
        <f t="shared" si="14"/>
        <v>75571.915466666673</v>
      </c>
      <c r="Y36" s="478">
        <f t="shared" si="14"/>
        <v>75627.412784</v>
      </c>
      <c r="Z36" s="478">
        <f t="shared" si="14"/>
        <v>75615.555018666666</v>
      </c>
      <c r="AA36" s="478">
        <f t="shared" si="14"/>
        <v>75357.227498666674</v>
      </c>
      <c r="AB36" s="478">
        <f t="shared" si="14"/>
        <v>75357.227498666674</v>
      </c>
      <c r="AC36" s="478">
        <f t="shared" si="14"/>
        <v>75357.227498666674</v>
      </c>
      <c r="AD36" s="478">
        <f t="shared" si="14"/>
        <v>75357.227498666674</v>
      </c>
      <c r="AE36" s="478">
        <f t="shared" si="14"/>
        <v>75357.227498666674</v>
      </c>
      <c r="AF36" s="478">
        <f t="shared" si="14"/>
        <v>75357.227498666674</v>
      </c>
      <c r="AG36" s="478">
        <f t="shared" si="14"/>
        <v>75357.227498666674</v>
      </c>
      <c r="AH36" s="478">
        <f t="shared" si="14"/>
        <v>75357.227498666674</v>
      </c>
      <c r="AI36" s="478">
        <f t="shared" si="14"/>
        <v>95411.949922666667</v>
      </c>
      <c r="AJ36" s="478">
        <f t="shared" si="14"/>
        <v>95427.097861333328</v>
      </c>
      <c r="AK36" s="478">
        <f t="shared" si="14"/>
        <v>95439.161781333329</v>
      </c>
      <c r="AL36" s="478">
        <f t="shared" si="14"/>
        <v>95451.608706666666</v>
      </c>
      <c r="AM36" s="478">
        <f t="shared" si="14"/>
        <v>95466.41805066666</v>
      </c>
      <c r="AN36" s="478">
        <f t="shared" si="14"/>
        <v>95482.833717333328</v>
      </c>
      <c r="AO36" s="478">
        <f t="shared" si="14"/>
        <v>95491.461735999997</v>
      </c>
      <c r="AP36" s="478">
        <f t="shared" si="14"/>
        <v>95502.233903999993</v>
      </c>
      <c r="AQ36" s="478">
        <f t="shared" si="14"/>
        <v>95516.163541333328</v>
      </c>
      <c r="AR36" s="478">
        <f t="shared" si="14"/>
        <v>95527.23127199999</v>
      </c>
      <c r="AS36" s="478">
        <f t="shared" si="14"/>
        <v>95543.255719999986</v>
      </c>
      <c r="AT36" s="478">
        <f t="shared" si="14"/>
        <v>116566.804816</v>
      </c>
      <c r="AU36" s="478">
        <f t="shared" si="14"/>
        <v>118609.67266133332</v>
      </c>
      <c r="AV36" s="478">
        <f t="shared" si="14"/>
        <v>116514.421672</v>
      </c>
      <c r="AW36" s="478">
        <f t="shared" si="14"/>
        <v>116795.29473333333</v>
      </c>
      <c r="AX36" s="478">
        <f t="shared" si="14"/>
        <v>114899.61568800001</v>
      </c>
      <c r="AY36" s="478">
        <f t="shared" si="14"/>
        <v>114902.48604266667</v>
      </c>
      <c r="AZ36" s="478">
        <f t="shared" si="14"/>
        <v>114904.04478666667</v>
      </c>
      <c r="BA36" s="478">
        <f t="shared" si="14"/>
        <v>114905.09656266666</v>
      </c>
      <c r="BB36" s="478">
        <f t="shared" si="14"/>
        <v>114812.37835466667</v>
      </c>
      <c r="BC36" s="478">
        <f t="shared" si="14"/>
        <v>114813.56136800001</v>
      </c>
      <c r="BD36" s="478">
        <f t="shared" si="14"/>
        <v>114815.51842933333</v>
      </c>
      <c r="BE36" s="478">
        <f t="shared" si="14"/>
        <v>114818.20102133333</v>
      </c>
      <c r="BF36" s="478">
        <f t="shared" si="14"/>
        <v>134549.07335466667</v>
      </c>
      <c r="BG36" s="478">
        <f t="shared" si="14"/>
        <v>136906.65433866667</v>
      </c>
      <c r="BH36" s="478">
        <f t="shared" si="14"/>
        <v>137245.72590666666</v>
      </c>
      <c r="BI36" s="478">
        <f t="shared" si="14"/>
        <v>137112.890904</v>
      </c>
      <c r="BJ36" s="478">
        <f t="shared" si="14"/>
        <v>137945.12473866667</v>
      </c>
      <c r="BK36" s="478">
        <f t="shared" si="14"/>
        <v>138834.119248</v>
      </c>
      <c r="BL36" s="478">
        <f t="shared" si="14"/>
        <v>139596.24832266665</v>
      </c>
      <c r="BM36" s="478">
        <f t="shared" si="14"/>
        <v>141041.31184000001</v>
      </c>
      <c r="BN36" s="478">
        <f t="shared" si="14"/>
        <v>142334.48480533334</v>
      </c>
      <c r="BO36" s="478">
        <f t="shared" si="14"/>
        <v>144318.17928000001</v>
      </c>
      <c r="BP36" s="478">
        <f t="shared" ref="BP36:CD36" si="15">SUM(BP33:BP35)</f>
        <v>146663.83770133334</v>
      </c>
      <c r="BQ36" s="478">
        <f t="shared" si="15"/>
        <v>148056.52045066666</v>
      </c>
      <c r="BR36" s="478">
        <f t="shared" si="15"/>
        <v>148421.86081066667</v>
      </c>
      <c r="BS36" s="478">
        <f t="shared" si="15"/>
        <v>148086.92057866667</v>
      </c>
      <c r="BT36" s="478">
        <f t="shared" si="15"/>
        <v>148302.76856266666</v>
      </c>
      <c r="BU36" s="478">
        <f t="shared" si="15"/>
        <v>148153.14750133333</v>
      </c>
      <c r="BV36" s="478">
        <f t="shared" si="15"/>
        <v>148195.66440799998</v>
      </c>
      <c r="BW36" s="478">
        <f t="shared" si="15"/>
        <v>148184.47817066664</v>
      </c>
      <c r="BX36" s="478">
        <f t="shared" si="15"/>
        <v>148212.23119999998</v>
      </c>
      <c r="BY36" s="478">
        <f t="shared" si="15"/>
        <v>148230.67758399996</v>
      </c>
      <c r="BZ36" s="478">
        <f t="shared" si="15"/>
        <v>148217.18859199996</v>
      </c>
      <c r="CA36" s="478">
        <f t="shared" si="15"/>
        <v>148225.99035199996</v>
      </c>
      <c r="CB36" s="478">
        <f t="shared" si="15"/>
        <v>148241.63909866664</v>
      </c>
      <c r="CC36" s="478">
        <f t="shared" si="15"/>
        <v>201508.66011466662</v>
      </c>
      <c r="CD36" s="478">
        <f t="shared" si="15"/>
        <v>202146.04206133331</v>
      </c>
      <c r="CE36" s="452">
        <f>SUM(D36:CD36)</f>
        <v>7804805.5173733328</v>
      </c>
    </row>
    <row r="37" spans="1:85" outlineLevel="1">
      <c r="B37" s="479"/>
      <c r="C37" s="479"/>
      <c r="D37" s="479"/>
      <c r="E37" s="479"/>
      <c r="F37" s="479"/>
      <c r="G37" s="479"/>
      <c r="H37" s="479"/>
      <c r="I37" s="479"/>
      <c r="J37" s="480"/>
      <c r="K37" s="480"/>
      <c r="L37" s="480"/>
      <c r="M37" s="480"/>
      <c r="N37" s="480"/>
      <c r="O37" s="480"/>
      <c r="P37" s="480"/>
      <c r="Q37" s="480"/>
      <c r="R37" s="480"/>
      <c r="S37" s="480"/>
      <c r="T37" s="480"/>
      <c r="U37" s="480"/>
      <c r="V37" s="479"/>
      <c r="W37" s="479"/>
      <c r="X37" s="479"/>
      <c r="Y37" s="481"/>
      <c r="Z37" s="479"/>
      <c r="AA37" s="479"/>
      <c r="AB37" s="479"/>
      <c r="AC37" s="479"/>
      <c r="AD37" s="479"/>
      <c r="AE37" s="479"/>
      <c r="AF37" s="479"/>
      <c r="AG37" s="479"/>
      <c r="AH37" s="479"/>
      <c r="AI37" s="479"/>
      <c r="AJ37" s="479"/>
      <c r="AK37" s="479"/>
      <c r="AL37" s="479"/>
      <c r="AM37" s="479"/>
      <c r="AN37" s="479"/>
      <c r="AO37" s="479"/>
      <c r="AP37" s="479"/>
      <c r="AQ37" s="430"/>
      <c r="AR37" s="430"/>
      <c r="AS37" s="430"/>
      <c r="AT37" s="430"/>
      <c r="AU37" s="430"/>
      <c r="AV37" s="430"/>
      <c r="AW37" s="430"/>
      <c r="AX37" s="430"/>
      <c r="AY37" s="430"/>
      <c r="AZ37" s="430"/>
      <c r="CE37" s="452"/>
    </row>
    <row r="38" spans="1:85">
      <c r="B38" s="482" t="s">
        <v>1373</v>
      </c>
      <c r="C38" s="482"/>
      <c r="D38" s="483">
        <f t="shared" ref="D38" si="16">+D36</f>
        <v>0</v>
      </c>
      <c r="E38" s="483">
        <f>D38+E36</f>
        <v>17585.643474666667</v>
      </c>
      <c r="F38" s="483">
        <f t="shared" ref="F38:BQ38" si="17">E38+F36</f>
        <v>35171.286949333335</v>
      </c>
      <c r="G38" s="483">
        <f t="shared" si="17"/>
        <v>52756.930424000006</v>
      </c>
      <c r="H38" s="483">
        <f t="shared" si="17"/>
        <v>70342.573898666669</v>
      </c>
      <c r="I38" s="483">
        <f t="shared" si="17"/>
        <v>87928.217373333333</v>
      </c>
      <c r="J38" s="483">
        <f t="shared" si="17"/>
        <v>105513.860848</v>
      </c>
      <c r="K38" s="483">
        <f t="shared" si="17"/>
        <v>158643.78757333333</v>
      </c>
      <c r="L38" s="483">
        <f t="shared" si="17"/>
        <v>211793.72802133334</v>
      </c>
      <c r="M38" s="483">
        <f t="shared" si="17"/>
        <v>264844.8481066667</v>
      </c>
      <c r="N38" s="483">
        <f t="shared" si="17"/>
        <v>317926.65449600003</v>
      </c>
      <c r="O38" s="483">
        <f t="shared" si="17"/>
        <v>371054.0528053334</v>
      </c>
      <c r="P38" s="483">
        <f t="shared" si="17"/>
        <v>424221.6812533334</v>
      </c>
      <c r="Q38" s="483">
        <f t="shared" si="17"/>
        <v>477423.89813066676</v>
      </c>
      <c r="R38" s="483">
        <f t="shared" si="17"/>
        <v>530629.07356800011</v>
      </c>
      <c r="S38" s="483">
        <f t="shared" si="17"/>
        <v>583828.33188533341</v>
      </c>
      <c r="T38" s="483">
        <f t="shared" si="17"/>
        <v>637027.5902026667</v>
      </c>
      <c r="U38" s="483">
        <f t="shared" si="17"/>
        <v>690226.84852</v>
      </c>
      <c r="V38" s="483">
        <f t="shared" si="17"/>
        <v>743426.1068373333</v>
      </c>
      <c r="W38" s="483">
        <f t="shared" si="17"/>
        <v>818784.86183999991</v>
      </c>
      <c r="X38" s="483">
        <f t="shared" si="17"/>
        <v>894356.7773066666</v>
      </c>
      <c r="Y38" s="483">
        <f t="shared" si="17"/>
        <v>969984.19009066664</v>
      </c>
      <c r="Z38" s="483">
        <f t="shared" si="17"/>
        <v>1045599.7451093333</v>
      </c>
      <c r="AA38" s="483">
        <f t="shared" si="17"/>
        <v>1120956.972608</v>
      </c>
      <c r="AB38" s="483">
        <f t="shared" si="17"/>
        <v>1196314.2001066667</v>
      </c>
      <c r="AC38" s="483">
        <f t="shared" si="17"/>
        <v>1271671.4276053333</v>
      </c>
      <c r="AD38" s="483">
        <f t="shared" si="17"/>
        <v>1347028.6551039999</v>
      </c>
      <c r="AE38" s="483">
        <f t="shared" si="17"/>
        <v>1422385.8826026665</v>
      </c>
      <c r="AF38" s="483">
        <f t="shared" si="17"/>
        <v>1497743.1101013331</v>
      </c>
      <c r="AG38" s="483">
        <f t="shared" si="17"/>
        <v>1573100.3375999997</v>
      </c>
      <c r="AH38" s="483">
        <f t="shared" si="17"/>
        <v>1648457.5650986664</v>
      </c>
      <c r="AI38" s="483">
        <f t="shared" si="17"/>
        <v>1743869.515021333</v>
      </c>
      <c r="AJ38" s="483">
        <f t="shared" si="17"/>
        <v>1839296.6128826663</v>
      </c>
      <c r="AK38" s="483">
        <f t="shared" si="17"/>
        <v>1934735.7746639997</v>
      </c>
      <c r="AL38" s="483">
        <f t="shared" si="17"/>
        <v>2030187.3833706663</v>
      </c>
      <c r="AM38" s="483">
        <f t="shared" si="17"/>
        <v>2125653.8014213331</v>
      </c>
      <c r="AN38" s="483">
        <f t="shared" si="17"/>
        <v>2221136.6351386663</v>
      </c>
      <c r="AO38" s="483">
        <f t="shared" si="17"/>
        <v>2316628.0968746664</v>
      </c>
      <c r="AP38" s="483">
        <f t="shared" si="17"/>
        <v>2412130.3307786663</v>
      </c>
      <c r="AQ38" s="483">
        <f t="shared" si="17"/>
        <v>2507646.4943199996</v>
      </c>
      <c r="AR38" s="483">
        <f t="shared" si="17"/>
        <v>2603173.7255919995</v>
      </c>
      <c r="AS38" s="483">
        <f t="shared" si="17"/>
        <v>2698716.9813119993</v>
      </c>
      <c r="AT38" s="483">
        <f t="shared" si="17"/>
        <v>2815283.7861279994</v>
      </c>
      <c r="AU38" s="483">
        <f t="shared" si="17"/>
        <v>2933893.4587893328</v>
      </c>
      <c r="AV38" s="483">
        <f t="shared" si="17"/>
        <v>3050407.8804613329</v>
      </c>
      <c r="AW38" s="483">
        <f t="shared" si="17"/>
        <v>3167203.1751946663</v>
      </c>
      <c r="AX38" s="483">
        <f t="shared" si="17"/>
        <v>3282102.7908826661</v>
      </c>
      <c r="AY38" s="483">
        <f t="shared" si="17"/>
        <v>3397005.2769253328</v>
      </c>
      <c r="AZ38" s="483">
        <f t="shared" si="17"/>
        <v>3511909.3217119994</v>
      </c>
      <c r="BA38" s="483">
        <f t="shared" si="17"/>
        <v>3626814.4182746662</v>
      </c>
      <c r="BB38" s="483">
        <f t="shared" si="17"/>
        <v>3741626.7966293329</v>
      </c>
      <c r="BC38" s="483">
        <f t="shared" si="17"/>
        <v>3856440.3579973332</v>
      </c>
      <c r="BD38" s="483">
        <f t="shared" si="17"/>
        <v>3971255.8764266665</v>
      </c>
      <c r="BE38" s="483">
        <f t="shared" si="17"/>
        <v>4086074.0774479997</v>
      </c>
      <c r="BF38" s="483">
        <f t="shared" si="17"/>
        <v>4220623.1508026663</v>
      </c>
      <c r="BG38" s="483">
        <f t="shared" si="17"/>
        <v>4357529.8051413326</v>
      </c>
      <c r="BH38" s="483">
        <f t="shared" si="17"/>
        <v>4494775.5310479989</v>
      </c>
      <c r="BI38" s="483">
        <f t="shared" si="17"/>
        <v>4631888.421951999</v>
      </c>
      <c r="BJ38" s="483">
        <f t="shared" si="17"/>
        <v>4769833.5466906652</v>
      </c>
      <c r="BK38" s="483">
        <f t="shared" si="17"/>
        <v>4908667.6659386652</v>
      </c>
      <c r="BL38" s="483">
        <f t="shared" si="17"/>
        <v>5048263.9142613318</v>
      </c>
      <c r="BM38" s="483">
        <f t="shared" si="17"/>
        <v>5189305.2261013314</v>
      </c>
      <c r="BN38" s="483">
        <f t="shared" si="17"/>
        <v>5331639.7109066648</v>
      </c>
      <c r="BO38" s="483">
        <f t="shared" si="17"/>
        <v>5475957.8901866646</v>
      </c>
      <c r="BP38" s="483">
        <f t="shared" si="17"/>
        <v>5622621.7278879983</v>
      </c>
      <c r="BQ38" s="483">
        <f t="shared" si="17"/>
        <v>5770678.2483386649</v>
      </c>
      <c r="BR38" s="483">
        <f t="shared" ref="BR38:CD38" si="18">BQ38+BR36</f>
        <v>5919100.1091493312</v>
      </c>
      <c r="BS38" s="483">
        <f t="shared" si="18"/>
        <v>6067187.0297279982</v>
      </c>
      <c r="BT38" s="483">
        <f t="shared" si="18"/>
        <v>6215489.7982906653</v>
      </c>
      <c r="BU38" s="483">
        <f t="shared" si="18"/>
        <v>6363642.9457919989</v>
      </c>
      <c r="BV38" s="483">
        <f t="shared" si="18"/>
        <v>6511838.6101999991</v>
      </c>
      <c r="BW38" s="483">
        <f t="shared" si="18"/>
        <v>6660023.0883706659</v>
      </c>
      <c r="BX38" s="483">
        <f t="shared" si="18"/>
        <v>6808235.3195706662</v>
      </c>
      <c r="BY38" s="483">
        <f t="shared" si="18"/>
        <v>6956465.9971546661</v>
      </c>
      <c r="BZ38" s="483">
        <f t="shared" si="18"/>
        <v>7104683.185746666</v>
      </c>
      <c r="CA38" s="483">
        <f t="shared" si="18"/>
        <v>7252909.1760986662</v>
      </c>
      <c r="CB38" s="483">
        <f t="shared" si="18"/>
        <v>7401150.8151973328</v>
      </c>
      <c r="CC38" s="483">
        <f t="shared" si="18"/>
        <v>7602659.4753119992</v>
      </c>
      <c r="CD38" s="483">
        <f t="shared" si="18"/>
        <v>7804805.5173733328</v>
      </c>
      <c r="CE38" s="440"/>
    </row>
    <row r="39" spans="1:85">
      <c r="B39" s="479"/>
      <c r="C39" s="479"/>
      <c r="D39" s="479"/>
      <c r="E39" s="479"/>
      <c r="F39" s="479"/>
      <c r="G39" s="479"/>
      <c r="H39" s="479"/>
      <c r="I39" s="479"/>
      <c r="J39" s="480"/>
      <c r="K39" s="480"/>
      <c r="L39" s="480"/>
      <c r="M39" s="480"/>
      <c r="N39" s="480"/>
      <c r="O39" s="480"/>
      <c r="P39" s="480"/>
      <c r="Q39" s="480"/>
      <c r="R39" s="480"/>
      <c r="S39" s="480"/>
      <c r="T39" s="480"/>
      <c r="U39" s="480"/>
      <c r="V39" s="479"/>
      <c r="W39" s="479"/>
      <c r="X39" s="479"/>
      <c r="Y39" s="484"/>
      <c r="Z39" s="479"/>
      <c r="AA39" s="479"/>
      <c r="AB39" s="479"/>
      <c r="AC39" s="479"/>
      <c r="AD39" s="479"/>
      <c r="AE39" s="479"/>
      <c r="AF39" s="479"/>
      <c r="AG39" s="479"/>
      <c r="AH39" s="479"/>
      <c r="AI39" s="479"/>
      <c r="AJ39" s="479"/>
      <c r="CE39" s="440"/>
    </row>
    <row r="40" spans="1:85" ht="13.5" thickBot="1">
      <c r="B40" s="438" t="s">
        <v>1374</v>
      </c>
      <c r="C40" s="458" t="s">
        <v>1375</v>
      </c>
      <c r="D40" s="438"/>
      <c r="E40" s="438"/>
      <c r="F40" s="438"/>
      <c r="G40" s="438"/>
      <c r="H40" s="438"/>
      <c r="I40" s="438"/>
      <c r="J40" s="485"/>
      <c r="K40" s="485"/>
      <c r="L40" s="485"/>
      <c r="M40" s="485"/>
      <c r="N40" s="480"/>
      <c r="O40" s="480"/>
      <c r="P40" s="480"/>
      <c r="Q40" s="480"/>
      <c r="R40" s="480"/>
      <c r="S40" s="480"/>
      <c r="T40" s="480"/>
      <c r="U40" s="480"/>
      <c r="V40" s="479"/>
      <c r="W40" s="479"/>
      <c r="X40" s="479"/>
      <c r="Y40" s="484"/>
      <c r="Z40" s="479"/>
      <c r="AA40" s="479"/>
      <c r="AB40" s="479"/>
      <c r="AC40" s="479"/>
      <c r="AD40" s="479"/>
      <c r="AE40" s="479"/>
      <c r="AF40" s="479"/>
      <c r="AG40" s="479"/>
      <c r="AH40" s="479"/>
      <c r="AI40" s="479"/>
      <c r="AJ40" s="479"/>
      <c r="CE40" s="440"/>
    </row>
    <row r="41" spans="1:85" outlineLevel="1">
      <c r="A41" s="441" t="str">
        <f>A9</f>
        <v>Assets 1</v>
      </c>
      <c r="B41" s="471" t="str">
        <f>B9</f>
        <v>FERC Plant Account 36400</v>
      </c>
      <c r="C41" s="486" t="s">
        <v>1376</v>
      </c>
      <c r="D41" s="487"/>
      <c r="E41" s="487"/>
      <c r="F41" s="487"/>
      <c r="G41" s="487"/>
      <c r="H41" s="487"/>
      <c r="I41" s="487"/>
      <c r="J41" s="487">
        <f t="shared" ref="J41:T41" si="19">SUM($J9:$T9)*$K$80/12</f>
        <v>37940.640812500002</v>
      </c>
      <c r="K41" s="487">
        <f t="shared" si="19"/>
        <v>37940.640812500002</v>
      </c>
      <c r="L41" s="487">
        <f t="shared" si="19"/>
        <v>37940.640812500002</v>
      </c>
      <c r="M41" s="487">
        <f t="shared" si="19"/>
        <v>37940.640812500002</v>
      </c>
      <c r="N41" s="487">
        <f t="shared" si="19"/>
        <v>37940.640812500002</v>
      </c>
      <c r="O41" s="487">
        <f t="shared" si="19"/>
        <v>37940.640812500002</v>
      </c>
      <c r="P41" s="487">
        <f t="shared" si="19"/>
        <v>37940.640812500002</v>
      </c>
      <c r="Q41" s="487">
        <f t="shared" si="19"/>
        <v>37940.640812500002</v>
      </c>
      <c r="R41" s="487">
        <f t="shared" si="19"/>
        <v>37940.640812500002</v>
      </c>
      <c r="S41" s="487">
        <f t="shared" si="19"/>
        <v>37940.640812500002</v>
      </c>
      <c r="T41" s="487">
        <f t="shared" si="19"/>
        <v>37940.640812500002</v>
      </c>
      <c r="U41" s="487">
        <f t="shared" ref="U41:AF41" si="20">SUM($J9:$T9)*$L$80/12+SUM($U9:$AF9)*$K$80/12</f>
        <v>96644.05397136668</v>
      </c>
      <c r="V41" s="487">
        <f t="shared" si="20"/>
        <v>96644.05397136668</v>
      </c>
      <c r="W41" s="487">
        <f t="shared" si="20"/>
        <v>96644.05397136668</v>
      </c>
      <c r="X41" s="487">
        <f t="shared" si="20"/>
        <v>96644.05397136668</v>
      </c>
      <c r="Y41" s="487">
        <f t="shared" si="20"/>
        <v>96644.05397136668</v>
      </c>
      <c r="Z41" s="487">
        <f t="shared" si="20"/>
        <v>96644.05397136668</v>
      </c>
      <c r="AA41" s="487">
        <f t="shared" si="20"/>
        <v>96644.05397136668</v>
      </c>
      <c r="AB41" s="487">
        <f t="shared" si="20"/>
        <v>96644.05397136668</v>
      </c>
      <c r="AC41" s="487">
        <f t="shared" si="20"/>
        <v>96644.05397136668</v>
      </c>
      <c r="AD41" s="487">
        <f t="shared" si="20"/>
        <v>96644.05397136668</v>
      </c>
      <c r="AE41" s="487">
        <f t="shared" si="20"/>
        <v>96644.05397136668</v>
      </c>
      <c r="AF41" s="487">
        <f t="shared" si="20"/>
        <v>96644.05397136668</v>
      </c>
      <c r="AG41" s="487">
        <f>SUM($J9:$T9)*$M$80/12+SUM($U9:$AF9)*$L$80/12+SUM($AG9:$AR9)*$K$80/12</f>
        <v>134502.29876549167</v>
      </c>
      <c r="AH41" s="487">
        <f t="shared" ref="AH41:AR41" si="21">SUM($J9:$T9)*$M$80/12+SUM($U9:$AF9)*$L$80/12+SUM($AG9:$AR9)*$K$80/12</f>
        <v>134502.29876549167</v>
      </c>
      <c r="AI41" s="487">
        <f t="shared" si="21"/>
        <v>134502.29876549167</v>
      </c>
      <c r="AJ41" s="487">
        <f t="shared" si="21"/>
        <v>134502.29876549167</v>
      </c>
      <c r="AK41" s="487">
        <f t="shared" si="21"/>
        <v>134502.29876549167</v>
      </c>
      <c r="AL41" s="487">
        <f t="shared" si="21"/>
        <v>134502.29876549167</v>
      </c>
      <c r="AM41" s="487">
        <f t="shared" si="21"/>
        <v>134502.29876549167</v>
      </c>
      <c r="AN41" s="487">
        <f t="shared" si="21"/>
        <v>134502.29876549167</v>
      </c>
      <c r="AO41" s="487">
        <f t="shared" si="21"/>
        <v>134502.29876549167</v>
      </c>
      <c r="AP41" s="487">
        <f t="shared" si="21"/>
        <v>134502.29876549167</v>
      </c>
      <c r="AQ41" s="487">
        <f t="shared" si="21"/>
        <v>134502.29876549167</v>
      </c>
      <c r="AR41" s="487">
        <f t="shared" si="21"/>
        <v>134502.29876549167</v>
      </c>
      <c r="AS41" s="487">
        <f>SUM($J9:$T9)*$N$80/12+SUM($U9:$AF9)*$M$80/12+SUM($AG9:$AR9)*$L$80/12+SUM($AS9:$BC9)*$K$80/12</f>
        <v>166456.81306725001</v>
      </c>
      <c r="AT41" s="487">
        <f t="shared" ref="AT41:BD41" si="22">SUM($J9:$T9)*$N$80/12+SUM($U9:$AF9)*$M$80/12+SUM($AG9:$AR9)*$L$80/12+SUM($AS9:$BC9)*$K$80/12</f>
        <v>166456.81306725001</v>
      </c>
      <c r="AU41" s="487">
        <f t="shared" si="22"/>
        <v>166456.81306725001</v>
      </c>
      <c r="AV41" s="487">
        <f t="shared" si="22"/>
        <v>166456.81306725001</v>
      </c>
      <c r="AW41" s="487">
        <f t="shared" si="22"/>
        <v>166456.81306725001</v>
      </c>
      <c r="AX41" s="487">
        <f t="shared" si="22"/>
        <v>166456.81306725001</v>
      </c>
      <c r="AY41" s="487">
        <f t="shared" si="22"/>
        <v>166456.81306725001</v>
      </c>
      <c r="AZ41" s="487">
        <f t="shared" si="22"/>
        <v>166456.81306725001</v>
      </c>
      <c r="BA41" s="487">
        <f t="shared" si="22"/>
        <v>166456.81306725001</v>
      </c>
      <c r="BB41" s="487">
        <f t="shared" si="22"/>
        <v>166456.81306725001</v>
      </c>
      <c r="BC41" s="487">
        <f t="shared" si="22"/>
        <v>166456.81306725001</v>
      </c>
      <c r="BD41" s="487">
        <f t="shared" si="22"/>
        <v>166456.81306725001</v>
      </c>
      <c r="BE41" s="487">
        <f>SUM($J9:$T9)*$O$80/12+SUM($U9:$AF9)*$N$80/12+SUM($AG9:$AR9)*$M$80/12+SUM($AS9:$BC9)*$L$80/12+SUM($BE9:$BP9)*$K$80/12</f>
        <v>209909.83807436665</v>
      </c>
      <c r="BF41" s="487">
        <f t="shared" ref="BF41:BP41" si="23">SUM($J9:$T9)*$O$80/12+SUM($U9:$AF9)*$N$80/12+SUM($AG9:$AR9)*$M$80/12+SUM($AS9:$BC9)*$L$80/12+SUM($BE9:$BP9)*$K$80/12</f>
        <v>209909.83807436665</v>
      </c>
      <c r="BG41" s="487">
        <f t="shared" si="23"/>
        <v>209909.83807436665</v>
      </c>
      <c r="BH41" s="487">
        <f t="shared" si="23"/>
        <v>209909.83807436665</v>
      </c>
      <c r="BI41" s="487">
        <f t="shared" si="23"/>
        <v>209909.83807436665</v>
      </c>
      <c r="BJ41" s="487">
        <f t="shared" si="23"/>
        <v>209909.83807436665</v>
      </c>
      <c r="BK41" s="487">
        <f t="shared" si="23"/>
        <v>209909.83807436665</v>
      </c>
      <c r="BL41" s="487">
        <f t="shared" si="23"/>
        <v>209909.83807436665</v>
      </c>
      <c r="BM41" s="487">
        <f t="shared" si="23"/>
        <v>209909.83807436665</v>
      </c>
      <c r="BN41" s="487">
        <f t="shared" si="23"/>
        <v>209909.83807436665</v>
      </c>
      <c r="BO41" s="487">
        <f t="shared" si="23"/>
        <v>209909.83807436665</v>
      </c>
      <c r="BP41" s="487">
        <f t="shared" si="23"/>
        <v>209909.83807436665</v>
      </c>
      <c r="BQ41" s="487">
        <f t="shared" ref="BQ41:CA41" si="24">SUM($J9:$T9)*$P$80/12+SUM($U9:$AF9)*$O$80/12+SUM($AG9:$AR9)*$N$80/12+SUM($AS9:$BC9)*$M$80/12+SUM($BE9:$BP9)*$L$80/12+SUM($BQ9:$CB9)*$K$80/12</f>
        <v>286525.39162221667</v>
      </c>
      <c r="BR41" s="487">
        <f t="shared" si="24"/>
        <v>286525.39162221667</v>
      </c>
      <c r="BS41" s="487">
        <f t="shared" si="24"/>
        <v>286525.39162221667</v>
      </c>
      <c r="BT41" s="487">
        <f t="shared" si="24"/>
        <v>286525.39162221667</v>
      </c>
      <c r="BU41" s="487">
        <f t="shared" si="24"/>
        <v>286525.39162221667</v>
      </c>
      <c r="BV41" s="487">
        <f t="shared" si="24"/>
        <v>286525.39162221667</v>
      </c>
      <c r="BW41" s="487">
        <f t="shared" si="24"/>
        <v>286525.39162221667</v>
      </c>
      <c r="BX41" s="487">
        <f t="shared" si="24"/>
        <v>286525.39162221667</v>
      </c>
      <c r="BY41" s="487">
        <f t="shared" si="24"/>
        <v>286525.39162221667</v>
      </c>
      <c r="BZ41" s="487">
        <f t="shared" si="24"/>
        <v>286525.39162221667</v>
      </c>
      <c r="CA41" s="487">
        <f t="shared" si="24"/>
        <v>286525.39162221667</v>
      </c>
      <c r="CB41" s="487">
        <f>SUM($J9:$T9)*$P$80/12+SUM($U9:$AF9)*$O$80/12+SUM($AG9:$AR9)*$N$80/12+SUM($AS9:$BC9)*$M$80/12+SUM($BE9:$BP9)*$L$80/12+SUM($BQ9:$CB9)*$K$80/12</f>
        <v>286525.39162221667</v>
      </c>
      <c r="CC41" s="487">
        <f>SUM($J9:$T9)*$Q$80/12+SUM($U9:$AF9)*$P$80/12+SUM($AG9:$AR9)*$O$80/12+SUM($AS9:$BC9)*$N$80/12+SUM($BE9:$BP9)*$M$80/12+SUM($BQ9:$CB9)*$L$80/12+SUM($CC9:$CD9)*$K$80/12</f>
        <v>322702.96050068329</v>
      </c>
      <c r="CD41" s="487">
        <f>SUM($J9:$T9)*$Q$80/12+SUM($U9:$AF9)*$P$80/12+SUM($AG9:$AR9)*$O$80/12+SUM($AS9:$BC9)*$N$80/12+SUM($BE9:$BP9)*$M$80/12+SUM($BQ9:$CB9)*$L$80/12+SUM($CC9:$CD9)*$K$80/12</f>
        <v>322702.96050068329</v>
      </c>
      <c r="CE41" s="452">
        <f>SUM(D41:CD41)</f>
        <v>11791213.715947174</v>
      </c>
      <c r="CF41" s="488"/>
      <c r="CG41" s="488"/>
    </row>
    <row r="42" spans="1:85" outlineLevel="1">
      <c r="A42" s="489" t="str">
        <f>A10</f>
        <v>Assets 2</v>
      </c>
      <c r="B42" s="474" t="str">
        <f>B10</f>
        <v>FERC Plant Account 36500</v>
      </c>
      <c r="C42" s="486" t="s">
        <v>1376</v>
      </c>
      <c r="D42" s="490">
        <f>SUM($D10:$H10)*$K$80/12</f>
        <v>18734.705406249999</v>
      </c>
      <c r="E42" s="490">
        <f>SUM($D10:$H10)*$K$80/12</f>
        <v>18734.705406249999</v>
      </c>
      <c r="F42" s="490">
        <f t="shared" ref="F42:G42" si="25">SUM($D10:$H10)*$K$80/12</f>
        <v>18734.705406249999</v>
      </c>
      <c r="G42" s="490">
        <f t="shared" si="25"/>
        <v>18734.705406249999</v>
      </c>
      <c r="H42" s="490">
        <f>SUM($D10:$H10)*$K$80/12</f>
        <v>18734.705406249999</v>
      </c>
      <c r="I42" s="490">
        <f>SUM($D10:$H10)*$L$80/12+SUM($I10:$T10)*$K$80/12</f>
        <v>36065.556887391671</v>
      </c>
      <c r="J42" s="490">
        <f t="shared" ref="J42:S42" si="26">SUM($D10:$H10)*$L$80/12+SUM($I10:$T10)*$K$80/12</f>
        <v>36065.556887391671</v>
      </c>
      <c r="K42" s="490">
        <f t="shared" si="26"/>
        <v>36065.556887391671</v>
      </c>
      <c r="L42" s="490">
        <f t="shared" si="26"/>
        <v>36065.556887391671</v>
      </c>
      <c r="M42" s="490">
        <f t="shared" si="26"/>
        <v>36065.556887391671</v>
      </c>
      <c r="N42" s="490">
        <f t="shared" si="26"/>
        <v>36065.556887391671</v>
      </c>
      <c r="O42" s="490">
        <f t="shared" si="26"/>
        <v>36065.556887391671</v>
      </c>
      <c r="P42" s="490">
        <f t="shared" si="26"/>
        <v>36065.556887391671</v>
      </c>
      <c r="Q42" s="490">
        <f t="shared" si="26"/>
        <v>36065.556887391671</v>
      </c>
      <c r="R42" s="490">
        <f t="shared" si="26"/>
        <v>36065.556887391671</v>
      </c>
      <c r="S42" s="490">
        <f t="shared" si="26"/>
        <v>36065.556887391671</v>
      </c>
      <c r="T42" s="490">
        <f>SUM($D10:$H10)*$L$80/12+SUM($I10:$T10)*$K$80/12</f>
        <v>36065.556887391671</v>
      </c>
      <c r="U42" s="490">
        <f>SUM($D10:$H10)*$M$80/12+SUM($I10:$T10)*$L$80/12+SUM($U10:$AF10)*$K$80/12</f>
        <v>33357.767466008336</v>
      </c>
      <c r="V42" s="490">
        <f t="shared" ref="V42:AE42" si="27">SUM($D10:$H10)*$M$80/12+SUM($I10:$T10)*$L$80/12+SUM($U10:$AF10)*$K$80/12</f>
        <v>33357.767466008336</v>
      </c>
      <c r="W42" s="490">
        <f t="shared" si="27"/>
        <v>33357.767466008336</v>
      </c>
      <c r="X42" s="490">
        <f t="shared" si="27"/>
        <v>33357.767466008336</v>
      </c>
      <c r="Y42" s="490">
        <f t="shared" si="27"/>
        <v>33357.767466008336</v>
      </c>
      <c r="Z42" s="490">
        <f t="shared" si="27"/>
        <v>33357.767466008336</v>
      </c>
      <c r="AA42" s="490">
        <f t="shared" si="27"/>
        <v>33357.767466008336</v>
      </c>
      <c r="AB42" s="490">
        <f t="shared" si="27"/>
        <v>33357.767466008336</v>
      </c>
      <c r="AC42" s="490">
        <f t="shared" si="27"/>
        <v>33357.767466008336</v>
      </c>
      <c r="AD42" s="490">
        <f t="shared" si="27"/>
        <v>33357.767466008336</v>
      </c>
      <c r="AE42" s="490">
        <f t="shared" si="27"/>
        <v>33357.767466008336</v>
      </c>
      <c r="AF42" s="490">
        <f>SUM($D10:$H10)*$M$80/12+SUM($I10:$T10)*$L$80/12+SUM($U10:$AF10)*$K$80/12</f>
        <v>33357.767466008336</v>
      </c>
      <c r="AG42" s="490">
        <f>SUM($D10:$H10)*$N$80/12+SUM($I10:$T10)*$M$80/12+SUM($U10:$AF10)*$L$80/12+SUM($AG10:$AR10)*$K$80/12</f>
        <v>30859.806745174999</v>
      </c>
      <c r="AH42" s="490">
        <f t="shared" ref="AH42:AQ42" si="28">SUM($D10:$H10)*$N$80/12+SUM($I10:$T10)*$M$80/12+SUM($U10:$AF10)*$L$80/12+SUM($AG10:$AR10)*$K$80/12</f>
        <v>30859.806745174999</v>
      </c>
      <c r="AI42" s="490">
        <f t="shared" si="28"/>
        <v>30859.806745174999</v>
      </c>
      <c r="AJ42" s="490">
        <f t="shared" si="28"/>
        <v>30859.806745174999</v>
      </c>
      <c r="AK42" s="490">
        <f t="shared" si="28"/>
        <v>30859.806745174999</v>
      </c>
      <c r="AL42" s="490">
        <f t="shared" si="28"/>
        <v>30859.806745174999</v>
      </c>
      <c r="AM42" s="490">
        <f t="shared" si="28"/>
        <v>30859.806745174999</v>
      </c>
      <c r="AN42" s="490">
        <f t="shared" si="28"/>
        <v>30859.806745174999</v>
      </c>
      <c r="AO42" s="490">
        <f t="shared" si="28"/>
        <v>30859.806745174999</v>
      </c>
      <c r="AP42" s="490">
        <f t="shared" si="28"/>
        <v>30859.806745174999</v>
      </c>
      <c r="AQ42" s="490">
        <f t="shared" si="28"/>
        <v>30859.806745174999</v>
      </c>
      <c r="AR42" s="490">
        <f>SUM($D10:$H10)*$N$80/12+SUM($I10:$T10)*$M$80/12+SUM($U10:$AF10)*$L$80/12+SUM($AG10:$AR10)*$K$80/12</f>
        <v>30859.806745174999</v>
      </c>
      <c r="AS42" s="490">
        <f>SUM($D10:$H10)*$O$80/12+SUM($I10:$T10)*$N$80/12+SUM($U10:$AF10)*$M$80/12+SUM($AG10:$AR10)*$L$80/12+SUM($AS10:$BD10)*$K$80/12</f>
        <v>28541.699196241669</v>
      </c>
      <c r="AT42" s="490">
        <f t="shared" ref="AT42:BC42" si="29">SUM($D10:$H10)*$O$80/12+SUM($I10:$T10)*$N$80/12+SUM($U10:$AF10)*$M$80/12+SUM($AG10:$AR10)*$L$80/12+SUM($AS10:$BD10)*$K$80/12</f>
        <v>28541.699196241669</v>
      </c>
      <c r="AU42" s="490">
        <f t="shared" si="29"/>
        <v>28541.699196241669</v>
      </c>
      <c r="AV42" s="490">
        <f t="shared" si="29"/>
        <v>28541.699196241669</v>
      </c>
      <c r="AW42" s="490">
        <f t="shared" si="29"/>
        <v>28541.699196241669</v>
      </c>
      <c r="AX42" s="490">
        <f t="shared" si="29"/>
        <v>28541.699196241669</v>
      </c>
      <c r="AY42" s="490">
        <f t="shared" si="29"/>
        <v>28541.699196241669</v>
      </c>
      <c r="AZ42" s="490">
        <f t="shared" si="29"/>
        <v>28541.699196241669</v>
      </c>
      <c r="BA42" s="490">
        <f t="shared" si="29"/>
        <v>28541.699196241669</v>
      </c>
      <c r="BB42" s="490">
        <f t="shared" si="29"/>
        <v>28541.699196241669</v>
      </c>
      <c r="BC42" s="490">
        <f t="shared" si="29"/>
        <v>28541.699196241669</v>
      </c>
      <c r="BD42" s="490">
        <f>SUM($D10:$H10)*$O$80/12+SUM($I10:$T10)*$N$80/12+SUM($U10:$AF10)*$M$80/12+SUM($AG10:$AR10)*$L$80/12+SUM($AS10:$BD10)*$K$80/12</f>
        <v>28541.699196241669</v>
      </c>
      <c r="BE42" s="490">
        <f>SUM($D10:$H10)*$P$80/12+SUM($I10:$T10)*$O$80/12+SUM($U10:$AF10)*$N$80/12+SUM($AG10:$AR10)*$M$80/12+SUM($AS10:$BD10)*$L$80/12+SUM($BE10:$BP10)*$K$80/12</f>
        <v>26403.444819208336</v>
      </c>
      <c r="BF42" s="490">
        <f t="shared" ref="BF42:BO42" si="30">SUM($D10:$H10)*$P$80/12+SUM($I10:$T10)*$O$80/12+SUM($U10:$AF10)*$N$80/12+SUM($AG10:$AR10)*$M$80/12+SUM($AS10:$BD10)*$L$80/12+SUM($BE10:$BP10)*$K$80/12</f>
        <v>26403.444819208336</v>
      </c>
      <c r="BG42" s="490">
        <f t="shared" si="30"/>
        <v>26403.444819208336</v>
      </c>
      <c r="BH42" s="490">
        <f t="shared" si="30"/>
        <v>26403.444819208336</v>
      </c>
      <c r="BI42" s="490">
        <f t="shared" si="30"/>
        <v>26403.444819208336</v>
      </c>
      <c r="BJ42" s="490">
        <f t="shared" si="30"/>
        <v>26403.444819208336</v>
      </c>
      <c r="BK42" s="490">
        <f t="shared" si="30"/>
        <v>26403.444819208336</v>
      </c>
      <c r="BL42" s="490">
        <f t="shared" si="30"/>
        <v>26403.444819208336</v>
      </c>
      <c r="BM42" s="490">
        <f t="shared" si="30"/>
        <v>26403.444819208336</v>
      </c>
      <c r="BN42" s="490">
        <f t="shared" si="30"/>
        <v>26403.444819208336</v>
      </c>
      <c r="BO42" s="490">
        <f t="shared" si="30"/>
        <v>26403.444819208336</v>
      </c>
      <c r="BP42" s="490">
        <f>SUM($D10:$H10)*$P$80/12+SUM($I10:$T10)*$O$80/12+SUM($U10:$AF10)*$N$80/12+SUM($AG10:$AR10)*$M$80/12+SUM($AS10:$BD10)*$L$80/12+SUM($BE10:$BP10)*$K$80/12</f>
        <v>26403.444819208336</v>
      </c>
      <c r="BQ42" s="490">
        <f>SUM($D10:$H10)*$Q$80/12+SUM($I10:$T10)*$P$80/12+SUM($U10:$AF10)*$O$80/12+SUM($AG10:$AR10)*$N$80/12+SUM($AS10:$BD10)*$M$80/12+SUM($BE10:$BP10)*$L$80/12+SUM($BQ10:$CB10)*$K$80/12</f>
        <v>24420.064006866669</v>
      </c>
      <c r="BR42" s="490">
        <f t="shared" ref="BR42:CA42" si="31">SUM($D10:$H10)*$Q$80/12+SUM($I10:$T10)*$P$80/12+SUM($U10:$AF10)*$O$80/12+SUM($AG10:$AR10)*$N$80/12+SUM($AS10:$BD10)*$M$80/12+SUM($BE10:$BP10)*$L$80/12+SUM($BQ10:$CB10)*$K$80/12</f>
        <v>24420.064006866669</v>
      </c>
      <c r="BS42" s="490">
        <f t="shared" si="31"/>
        <v>24420.064006866669</v>
      </c>
      <c r="BT42" s="490">
        <f t="shared" si="31"/>
        <v>24420.064006866669</v>
      </c>
      <c r="BU42" s="490">
        <f t="shared" si="31"/>
        <v>24420.064006866669</v>
      </c>
      <c r="BV42" s="490">
        <f t="shared" si="31"/>
        <v>24420.064006866669</v>
      </c>
      <c r="BW42" s="490">
        <f t="shared" si="31"/>
        <v>24420.064006866669</v>
      </c>
      <c r="BX42" s="490">
        <f t="shared" si="31"/>
        <v>24420.064006866669</v>
      </c>
      <c r="BY42" s="490">
        <f t="shared" si="31"/>
        <v>24420.064006866669</v>
      </c>
      <c r="BZ42" s="490">
        <f t="shared" si="31"/>
        <v>24420.064006866669</v>
      </c>
      <c r="CA42" s="490">
        <f t="shared" si="31"/>
        <v>24420.064006866669</v>
      </c>
      <c r="CB42" s="490">
        <f>SUM($D10:$H10)*$Q$80/12+SUM($I10:$T10)*$P$80/12+SUM($U10:$AF10)*$O$80/12+SUM($AG10:$AR10)*$N$80/12+SUM($AS10:$BD10)*$M$80/12+SUM($BE10:$BP10)*$L$80/12+SUM($BQ10:$CB10)*$K$80/12</f>
        <v>24420.064006866669</v>
      </c>
      <c r="CC42" s="490">
        <f>SUM($D10:$H10)*$R$80/12+SUM($I10:$T10)*$Q$80/12+SUM($U10:$AF10)*$P$80/12+SUM($AG10:$AR10)*$O$80/12+SUM($AS10:$BD10)*$N$80/12+SUM($BE10:$BP10)*$M$80/12+SUM($BQ10:$CB10)*$L$80/12+SUM($CC10:$CD10)*$K$80/12</f>
        <v>22591.556759216674</v>
      </c>
      <c r="CD42" s="490">
        <f>SUM($D10:$H10)*$R$80/12+SUM($I10:$T10)*$Q$80/12+SUM($U10:$AF10)*$P$80/12+SUM($AG10:$AR10)*$O$80/12+SUM($AS10:$BD10)*$N$80/12+SUM($BE10:$BP10)*$M$80/12+SUM($BQ10:$CB10)*$L$80/12+SUM($CC10:$CD10)*$K$80/12</f>
        <v>22591.556759216674</v>
      </c>
      <c r="CE42" s="452">
        <f>SUM(D42:CD42)</f>
        <v>2294636.7100003827</v>
      </c>
      <c r="CF42" s="488"/>
      <c r="CG42" s="488"/>
    </row>
    <row r="43" spans="1:85" ht="13.5" outlineLevel="1" thickBot="1">
      <c r="A43" s="456"/>
      <c r="B43" s="457"/>
      <c r="C43" s="491"/>
      <c r="D43" s="491"/>
      <c r="E43" s="491"/>
      <c r="F43" s="491"/>
      <c r="G43" s="491"/>
      <c r="H43" s="491"/>
      <c r="I43" s="491"/>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70"/>
      <c r="AL43" s="470"/>
      <c r="AM43" s="470"/>
      <c r="AN43" s="470"/>
      <c r="AO43" s="470"/>
      <c r="AP43" s="470"/>
      <c r="AQ43" s="470"/>
      <c r="AR43" s="470"/>
      <c r="AS43" s="470"/>
      <c r="AT43" s="470"/>
      <c r="AU43" s="470"/>
      <c r="AV43" s="470"/>
      <c r="AW43" s="470"/>
      <c r="AX43" s="470"/>
      <c r="AY43" s="470"/>
      <c r="AZ43" s="470"/>
      <c r="BA43" s="470"/>
      <c r="BB43" s="470"/>
      <c r="BC43" s="470"/>
      <c r="BD43" s="470"/>
      <c r="BE43" s="470"/>
      <c r="BF43" s="470"/>
      <c r="BG43" s="470"/>
      <c r="BH43" s="470"/>
      <c r="BI43" s="470"/>
      <c r="BJ43" s="470"/>
      <c r="BK43" s="470"/>
      <c r="BL43" s="470"/>
      <c r="BM43" s="470"/>
      <c r="BN43" s="470"/>
      <c r="BO43" s="470"/>
      <c r="BP43" s="470"/>
      <c r="BQ43" s="470"/>
      <c r="BR43" s="470"/>
      <c r="BS43" s="470"/>
      <c r="BT43" s="470"/>
      <c r="BU43" s="470"/>
      <c r="BV43" s="470"/>
      <c r="BW43" s="470"/>
      <c r="BX43" s="470"/>
      <c r="BY43" s="470"/>
      <c r="BZ43" s="470"/>
      <c r="CA43" s="470"/>
      <c r="CB43" s="470"/>
      <c r="CC43" s="470"/>
      <c r="CD43" s="470"/>
      <c r="CE43" s="440"/>
    </row>
    <row r="44" spans="1:85" outlineLevel="1">
      <c r="B44" s="474"/>
      <c r="C44" s="474"/>
      <c r="D44" s="474"/>
      <c r="E44" s="474"/>
      <c r="F44" s="474"/>
      <c r="G44" s="474"/>
      <c r="H44" s="474"/>
      <c r="I44" s="474"/>
      <c r="J44" s="445"/>
      <c r="K44" s="445"/>
      <c r="L44" s="445"/>
      <c r="M44" s="445"/>
      <c r="N44" s="449"/>
      <c r="O44" s="493"/>
      <c r="P44" s="493"/>
      <c r="Q44" s="493"/>
      <c r="R44" s="493"/>
      <c r="S44" s="493"/>
      <c r="T44" s="493"/>
      <c r="U44" s="493"/>
      <c r="V44" s="494"/>
      <c r="W44" s="494"/>
      <c r="X44" s="494"/>
      <c r="Y44" s="494"/>
      <c r="Z44" s="494"/>
      <c r="AA44" s="494"/>
      <c r="AB44" s="494"/>
      <c r="AC44" s="494"/>
      <c r="AD44" s="494"/>
      <c r="AE44" s="494"/>
      <c r="AF44" s="494"/>
      <c r="AG44" s="494"/>
      <c r="AH44" s="494"/>
      <c r="AI44" s="494"/>
      <c r="AJ44" s="494"/>
      <c r="CE44" s="440"/>
    </row>
    <row r="45" spans="1:85" ht="18" customHeight="1" outlineLevel="1">
      <c r="B45" s="474" t="s">
        <v>1377</v>
      </c>
      <c r="C45" s="474"/>
      <c r="D45" s="495">
        <f t="shared" ref="D45:BO45" si="32">SUM(D41:D44)</f>
        <v>18734.705406249999</v>
      </c>
      <c r="E45" s="495">
        <f t="shared" si="32"/>
        <v>18734.705406249999</v>
      </c>
      <c r="F45" s="495">
        <f t="shared" si="32"/>
        <v>18734.705406249999</v>
      </c>
      <c r="G45" s="495">
        <f t="shared" si="32"/>
        <v>18734.705406249999</v>
      </c>
      <c r="H45" s="495">
        <f t="shared" si="32"/>
        <v>18734.705406249999</v>
      </c>
      <c r="I45" s="495">
        <f t="shared" si="32"/>
        <v>36065.556887391671</v>
      </c>
      <c r="J45" s="495">
        <f t="shared" si="32"/>
        <v>74006.197699891665</v>
      </c>
      <c r="K45" s="495">
        <f t="shared" si="32"/>
        <v>74006.197699891665</v>
      </c>
      <c r="L45" s="495">
        <f t="shared" si="32"/>
        <v>74006.197699891665</v>
      </c>
      <c r="M45" s="495">
        <f t="shared" si="32"/>
        <v>74006.197699891665</v>
      </c>
      <c r="N45" s="495">
        <f t="shared" si="32"/>
        <v>74006.197699891665</v>
      </c>
      <c r="O45" s="495">
        <f t="shared" si="32"/>
        <v>74006.197699891665</v>
      </c>
      <c r="P45" s="495">
        <f t="shared" si="32"/>
        <v>74006.197699891665</v>
      </c>
      <c r="Q45" s="495">
        <f t="shared" si="32"/>
        <v>74006.197699891665</v>
      </c>
      <c r="R45" s="495">
        <f t="shared" si="32"/>
        <v>74006.197699891665</v>
      </c>
      <c r="S45" s="495">
        <f t="shared" si="32"/>
        <v>74006.197699891665</v>
      </c>
      <c r="T45" s="495">
        <f t="shared" si="32"/>
        <v>74006.197699891665</v>
      </c>
      <c r="U45" s="495">
        <f t="shared" si="32"/>
        <v>130001.82143737501</v>
      </c>
      <c r="V45" s="495">
        <f t="shared" si="32"/>
        <v>130001.82143737501</v>
      </c>
      <c r="W45" s="495">
        <f t="shared" si="32"/>
        <v>130001.82143737501</v>
      </c>
      <c r="X45" s="495">
        <f t="shared" si="32"/>
        <v>130001.82143737501</v>
      </c>
      <c r="Y45" s="495">
        <f t="shared" si="32"/>
        <v>130001.82143737501</v>
      </c>
      <c r="Z45" s="495">
        <f t="shared" si="32"/>
        <v>130001.82143737501</v>
      </c>
      <c r="AA45" s="495">
        <f t="shared" si="32"/>
        <v>130001.82143737501</v>
      </c>
      <c r="AB45" s="495">
        <f t="shared" si="32"/>
        <v>130001.82143737501</v>
      </c>
      <c r="AC45" s="495">
        <f t="shared" si="32"/>
        <v>130001.82143737501</v>
      </c>
      <c r="AD45" s="495">
        <f t="shared" si="32"/>
        <v>130001.82143737501</v>
      </c>
      <c r="AE45" s="495">
        <f t="shared" si="32"/>
        <v>130001.82143737501</v>
      </c>
      <c r="AF45" s="495">
        <f t="shared" si="32"/>
        <v>130001.82143737501</v>
      </c>
      <c r="AG45" s="495">
        <f t="shared" si="32"/>
        <v>165362.10551066668</v>
      </c>
      <c r="AH45" s="495">
        <f t="shared" si="32"/>
        <v>165362.10551066668</v>
      </c>
      <c r="AI45" s="495">
        <f t="shared" si="32"/>
        <v>165362.10551066668</v>
      </c>
      <c r="AJ45" s="495">
        <f t="shared" si="32"/>
        <v>165362.10551066668</v>
      </c>
      <c r="AK45" s="495">
        <f t="shared" si="32"/>
        <v>165362.10551066668</v>
      </c>
      <c r="AL45" s="495">
        <f t="shared" si="32"/>
        <v>165362.10551066668</v>
      </c>
      <c r="AM45" s="495">
        <f t="shared" si="32"/>
        <v>165362.10551066668</v>
      </c>
      <c r="AN45" s="495">
        <f t="shared" si="32"/>
        <v>165362.10551066668</v>
      </c>
      <c r="AO45" s="495">
        <f t="shared" si="32"/>
        <v>165362.10551066668</v>
      </c>
      <c r="AP45" s="495">
        <f t="shared" si="32"/>
        <v>165362.10551066668</v>
      </c>
      <c r="AQ45" s="495">
        <f t="shared" si="32"/>
        <v>165362.10551066668</v>
      </c>
      <c r="AR45" s="495">
        <f t="shared" si="32"/>
        <v>165362.10551066668</v>
      </c>
      <c r="AS45" s="495">
        <f t="shared" si="32"/>
        <v>194998.51226349169</v>
      </c>
      <c r="AT45" s="495">
        <f t="shared" si="32"/>
        <v>194998.51226349169</v>
      </c>
      <c r="AU45" s="495">
        <f t="shared" si="32"/>
        <v>194998.51226349169</v>
      </c>
      <c r="AV45" s="495">
        <f t="shared" si="32"/>
        <v>194998.51226349169</v>
      </c>
      <c r="AW45" s="495">
        <f t="shared" si="32"/>
        <v>194998.51226349169</v>
      </c>
      <c r="AX45" s="495">
        <f t="shared" si="32"/>
        <v>194998.51226349169</v>
      </c>
      <c r="AY45" s="495">
        <f t="shared" si="32"/>
        <v>194998.51226349169</v>
      </c>
      <c r="AZ45" s="495">
        <f t="shared" si="32"/>
        <v>194998.51226349169</v>
      </c>
      <c r="BA45" s="495">
        <f t="shared" si="32"/>
        <v>194998.51226349169</v>
      </c>
      <c r="BB45" s="495">
        <f t="shared" si="32"/>
        <v>194998.51226349169</v>
      </c>
      <c r="BC45" s="495">
        <f t="shared" si="32"/>
        <v>194998.51226349169</v>
      </c>
      <c r="BD45" s="495">
        <f t="shared" si="32"/>
        <v>194998.51226349169</v>
      </c>
      <c r="BE45" s="495">
        <f t="shared" si="32"/>
        <v>236313.28289357497</v>
      </c>
      <c r="BF45" s="495">
        <f t="shared" si="32"/>
        <v>236313.28289357497</v>
      </c>
      <c r="BG45" s="495">
        <f t="shared" si="32"/>
        <v>236313.28289357497</v>
      </c>
      <c r="BH45" s="495">
        <f t="shared" si="32"/>
        <v>236313.28289357497</v>
      </c>
      <c r="BI45" s="495">
        <f t="shared" si="32"/>
        <v>236313.28289357497</v>
      </c>
      <c r="BJ45" s="495">
        <f t="shared" si="32"/>
        <v>236313.28289357497</v>
      </c>
      <c r="BK45" s="495">
        <f t="shared" si="32"/>
        <v>236313.28289357497</v>
      </c>
      <c r="BL45" s="495">
        <f t="shared" si="32"/>
        <v>236313.28289357497</v>
      </c>
      <c r="BM45" s="495">
        <f t="shared" si="32"/>
        <v>236313.28289357497</v>
      </c>
      <c r="BN45" s="495">
        <f t="shared" si="32"/>
        <v>236313.28289357497</v>
      </c>
      <c r="BO45" s="495">
        <f t="shared" si="32"/>
        <v>236313.28289357497</v>
      </c>
      <c r="BP45" s="495">
        <f t="shared" ref="BP45:CD45" si="33">SUM(BP41:BP44)</f>
        <v>236313.28289357497</v>
      </c>
      <c r="BQ45" s="495">
        <f t="shared" si="33"/>
        <v>310945.45562908333</v>
      </c>
      <c r="BR45" s="495">
        <f t="shared" si="33"/>
        <v>310945.45562908333</v>
      </c>
      <c r="BS45" s="495">
        <f t="shared" si="33"/>
        <v>310945.45562908333</v>
      </c>
      <c r="BT45" s="495">
        <f t="shared" si="33"/>
        <v>310945.45562908333</v>
      </c>
      <c r="BU45" s="495">
        <f t="shared" si="33"/>
        <v>310945.45562908333</v>
      </c>
      <c r="BV45" s="495">
        <f t="shared" si="33"/>
        <v>310945.45562908333</v>
      </c>
      <c r="BW45" s="495">
        <f t="shared" si="33"/>
        <v>310945.45562908333</v>
      </c>
      <c r="BX45" s="495">
        <f t="shared" si="33"/>
        <v>310945.45562908333</v>
      </c>
      <c r="BY45" s="495">
        <f t="shared" si="33"/>
        <v>310945.45562908333</v>
      </c>
      <c r="BZ45" s="495">
        <f t="shared" si="33"/>
        <v>310945.45562908333</v>
      </c>
      <c r="CA45" s="495">
        <f t="shared" si="33"/>
        <v>310945.45562908333</v>
      </c>
      <c r="CB45" s="495">
        <f t="shared" si="33"/>
        <v>310945.45562908333</v>
      </c>
      <c r="CC45" s="495">
        <f t="shared" si="33"/>
        <v>345294.51725989993</v>
      </c>
      <c r="CD45" s="495">
        <f t="shared" si="33"/>
        <v>345294.51725989993</v>
      </c>
      <c r="CE45" s="452">
        <f>SUM(D45:CD45)</f>
        <v>14085850.425947562</v>
      </c>
    </row>
    <row r="46" spans="1:85" ht="18" customHeight="1" outlineLevel="1">
      <c r="B46" s="474"/>
      <c r="C46" s="474"/>
      <c r="D46" s="474"/>
      <c r="E46" s="474"/>
      <c r="F46" s="474"/>
      <c r="G46" s="474"/>
      <c r="H46" s="474"/>
      <c r="I46" s="474"/>
      <c r="J46" s="474"/>
      <c r="K46" s="474"/>
      <c r="L46" s="474"/>
      <c r="M46" s="474"/>
      <c r="N46" s="496"/>
      <c r="O46" s="496"/>
      <c r="P46" s="496"/>
      <c r="Q46" s="496"/>
      <c r="R46" s="496"/>
      <c r="S46" s="496"/>
      <c r="T46" s="496"/>
      <c r="U46" s="496"/>
      <c r="V46" s="496"/>
      <c r="W46" s="496"/>
      <c r="X46" s="496"/>
      <c r="Y46" s="496"/>
      <c r="Z46" s="496"/>
      <c r="AA46" s="496"/>
      <c r="AB46" s="496"/>
      <c r="AC46" s="496"/>
      <c r="AD46" s="496"/>
      <c r="AE46" s="496"/>
      <c r="AF46" s="496"/>
      <c r="AG46" s="496"/>
      <c r="AH46" s="496"/>
      <c r="AI46" s="496"/>
      <c r="AJ46" s="496"/>
      <c r="AK46" s="496"/>
      <c r="AL46" s="496"/>
      <c r="AM46" s="496"/>
      <c r="AN46" s="496"/>
      <c r="AO46" s="496"/>
      <c r="AP46" s="496"/>
      <c r="CE46" s="440"/>
    </row>
    <row r="47" spans="1:85" ht="18" customHeight="1" outlineLevel="1">
      <c r="B47" s="497" t="s">
        <v>1378</v>
      </c>
      <c r="C47" s="497"/>
      <c r="D47" s="497"/>
      <c r="E47" s="497"/>
      <c r="F47" s="497"/>
      <c r="G47" s="497"/>
      <c r="H47" s="497"/>
      <c r="I47" s="497"/>
      <c r="J47" s="498"/>
      <c r="K47" s="498"/>
      <c r="L47" s="499"/>
      <c r="M47" s="500"/>
      <c r="N47" s="501"/>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c r="AM47" s="502"/>
      <c r="AN47" s="502"/>
      <c r="AO47" s="502"/>
      <c r="AP47" s="502"/>
      <c r="CE47" s="440"/>
    </row>
    <row r="48" spans="1:85">
      <c r="B48" s="482" t="s">
        <v>1379</v>
      </c>
      <c r="C48" s="482"/>
      <c r="D48" s="483">
        <f t="shared" ref="D48" si="34">+D45+D47</f>
        <v>18734.705406249999</v>
      </c>
      <c r="E48" s="483">
        <f t="shared" ref="E48:J48" si="35">+E45+E47+D48</f>
        <v>37469.410812499998</v>
      </c>
      <c r="F48" s="483">
        <f t="shared" si="35"/>
        <v>56204.116218750001</v>
      </c>
      <c r="G48" s="483">
        <f t="shared" si="35"/>
        <v>74938.821624999997</v>
      </c>
      <c r="H48" s="483">
        <f t="shared" si="35"/>
        <v>93673.527031249992</v>
      </c>
      <c r="I48" s="483">
        <f t="shared" si="35"/>
        <v>129739.08391864167</v>
      </c>
      <c r="J48" s="483">
        <f t="shared" si="35"/>
        <v>203745.28161853334</v>
      </c>
      <c r="K48" s="483">
        <f>+K45+K47+J48</f>
        <v>277751.479318425</v>
      </c>
      <c r="L48" s="483">
        <f>+K48+L45+L47</f>
        <v>351757.6770183167</v>
      </c>
      <c r="M48" s="483">
        <f>+M45+M47+L48</f>
        <v>425763.87471820833</v>
      </c>
      <c r="N48" s="483">
        <f t="shared" ref="N48:AO48" si="36">+N45+N47+M48</f>
        <v>499770.07241809997</v>
      </c>
      <c r="O48" s="483">
        <f t="shared" si="36"/>
        <v>573776.2701179916</v>
      </c>
      <c r="P48" s="483">
        <f t="shared" si="36"/>
        <v>647782.46781788324</v>
      </c>
      <c r="Q48" s="483">
        <f t="shared" si="36"/>
        <v>721788.66551777488</v>
      </c>
      <c r="R48" s="483">
        <f t="shared" si="36"/>
        <v>795794.86321766651</v>
      </c>
      <c r="S48" s="483">
        <f>+S45+S47+R48</f>
        <v>869801.06091755815</v>
      </c>
      <c r="T48" s="483">
        <f t="shared" si="36"/>
        <v>943807.25861744978</v>
      </c>
      <c r="U48" s="483">
        <f t="shared" si="36"/>
        <v>1073809.0800548247</v>
      </c>
      <c r="V48" s="483">
        <f t="shared" si="36"/>
        <v>1203810.9014921996</v>
      </c>
      <c r="W48" s="483">
        <f t="shared" si="36"/>
        <v>1333812.7229295745</v>
      </c>
      <c r="X48" s="483">
        <f t="shared" si="36"/>
        <v>1463814.5443669495</v>
      </c>
      <c r="Y48" s="483">
        <f t="shared" si="36"/>
        <v>1593816.3658043244</v>
      </c>
      <c r="Z48" s="483">
        <f t="shared" si="36"/>
        <v>1723818.1872416993</v>
      </c>
      <c r="AA48" s="483">
        <f t="shared" si="36"/>
        <v>1853820.0086790742</v>
      </c>
      <c r="AB48" s="483">
        <f t="shared" si="36"/>
        <v>1983821.8301164492</v>
      </c>
      <c r="AC48" s="483">
        <f t="shared" si="36"/>
        <v>2113823.6515538241</v>
      </c>
      <c r="AD48" s="483">
        <f t="shared" si="36"/>
        <v>2243825.4729911992</v>
      </c>
      <c r="AE48" s="483">
        <f t="shared" si="36"/>
        <v>2373827.2944285744</v>
      </c>
      <c r="AF48" s="483">
        <f t="shared" si="36"/>
        <v>2503829.1158659495</v>
      </c>
      <c r="AG48" s="483">
        <f t="shared" si="36"/>
        <v>2669191.221376616</v>
      </c>
      <c r="AH48" s="483">
        <f t="shared" si="36"/>
        <v>2834553.3268872825</v>
      </c>
      <c r="AI48" s="483">
        <f t="shared" si="36"/>
        <v>2999915.432397949</v>
      </c>
      <c r="AJ48" s="483">
        <f t="shared" si="36"/>
        <v>3165277.5379086155</v>
      </c>
      <c r="AK48" s="483">
        <f t="shared" si="36"/>
        <v>3330639.643419282</v>
      </c>
      <c r="AL48" s="483">
        <f t="shared" si="36"/>
        <v>3496001.7489299485</v>
      </c>
      <c r="AM48" s="483">
        <f t="shared" si="36"/>
        <v>3661363.854440615</v>
      </c>
      <c r="AN48" s="483">
        <f t="shared" si="36"/>
        <v>3826725.9599512815</v>
      </c>
      <c r="AO48" s="483">
        <f t="shared" si="36"/>
        <v>3992088.065461948</v>
      </c>
      <c r="AP48" s="483">
        <f>+AP45+AP47+AO48</f>
        <v>4157450.1709726145</v>
      </c>
      <c r="AQ48" s="483">
        <f t="shared" ref="AQ48:AS48" si="37">+AQ45+AQ47+AP48</f>
        <v>4322812.2764832815</v>
      </c>
      <c r="AR48" s="483">
        <f t="shared" si="37"/>
        <v>4488174.3819939485</v>
      </c>
      <c r="AS48" s="483">
        <f t="shared" si="37"/>
        <v>4683172.8942574402</v>
      </c>
      <c r="AT48" s="483">
        <f>+AT45+AT47+AS48</f>
        <v>4878171.406520932</v>
      </c>
      <c r="AU48" s="483">
        <f>+AU45+AU47+AT48</f>
        <v>5073169.9187844237</v>
      </c>
      <c r="AV48" s="483">
        <f>+AV45+AV47+AU48</f>
        <v>5268168.4310479155</v>
      </c>
      <c r="AW48" s="483">
        <f>+AW45+AW47+AV48</f>
        <v>5463166.9433114072</v>
      </c>
      <c r="AX48" s="483">
        <f>+AX45+AX47+AW48</f>
        <v>5658165.455574899</v>
      </c>
      <c r="AY48" s="483">
        <f t="shared" ref="AY48:BF48" si="38">+AY45+AY47+AX48</f>
        <v>5853163.9678383907</v>
      </c>
      <c r="AZ48" s="483">
        <f t="shared" si="38"/>
        <v>6048162.4801018825</v>
      </c>
      <c r="BA48" s="483">
        <f t="shared" si="38"/>
        <v>6243160.9923653742</v>
      </c>
      <c r="BB48" s="483">
        <f t="shared" si="38"/>
        <v>6438159.504628866</v>
      </c>
      <c r="BC48" s="483">
        <f t="shared" si="38"/>
        <v>6633158.0168923577</v>
      </c>
      <c r="BD48" s="483">
        <f t="shared" si="38"/>
        <v>6828156.5291558495</v>
      </c>
      <c r="BE48" s="483">
        <f t="shared" si="38"/>
        <v>7064469.8120494243</v>
      </c>
      <c r="BF48" s="483">
        <f t="shared" si="38"/>
        <v>7300783.0949429991</v>
      </c>
      <c r="BG48" s="483">
        <f>+BG45+BG47+BF48</f>
        <v>7537096.3778365739</v>
      </c>
      <c r="BH48" s="483">
        <f t="shared" ref="BH48:CD48" si="39">+BH45+BH47+BG48</f>
        <v>7773409.6607301487</v>
      </c>
      <c r="BI48" s="483">
        <f t="shared" si="39"/>
        <v>8009722.9436237235</v>
      </c>
      <c r="BJ48" s="483">
        <f t="shared" si="39"/>
        <v>8246036.2265172983</v>
      </c>
      <c r="BK48" s="483">
        <f t="shared" si="39"/>
        <v>8482349.5094108731</v>
      </c>
      <c r="BL48" s="483">
        <f t="shared" si="39"/>
        <v>8718662.7923044488</v>
      </c>
      <c r="BM48" s="483">
        <f t="shared" si="39"/>
        <v>8954976.0751980245</v>
      </c>
      <c r="BN48" s="483">
        <f t="shared" si="39"/>
        <v>9191289.3580916002</v>
      </c>
      <c r="BO48" s="483">
        <f t="shared" si="39"/>
        <v>9427602.640985176</v>
      </c>
      <c r="BP48" s="483">
        <f t="shared" si="39"/>
        <v>9663915.9238787517</v>
      </c>
      <c r="BQ48" s="483">
        <f t="shared" si="39"/>
        <v>9974861.379507836</v>
      </c>
      <c r="BR48" s="483">
        <f t="shared" si="39"/>
        <v>10285806.83513692</v>
      </c>
      <c r="BS48" s="483">
        <f t="shared" si="39"/>
        <v>10596752.290766004</v>
      </c>
      <c r="BT48" s="483">
        <f t="shared" si="39"/>
        <v>10907697.746395089</v>
      </c>
      <c r="BU48" s="483">
        <f t="shared" si="39"/>
        <v>11218643.202024173</v>
      </c>
      <c r="BV48" s="483">
        <f t="shared" si="39"/>
        <v>11529588.657653257</v>
      </c>
      <c r="BW48" s="483">
        <f t="shared" si="39"/>
        <v>11840534.113282342</v>
      </c>
      <c r="BX48" s="483">
        <f t="shared" si="39"/>
        <v>12151479.568911426</v>
      </c>
      <c r="BY48" s="483">
        <f t="shared" si="39"/>
        <v>12462425.02454051</v>
      </c>
      <c r="BZ48" s="483">
        <f t="shared" si="39"/>
        <v>12773370.480169594</v>
      </c>
      <c r="CA48" s="483">
        <f t="shared" si="39"/>
        <v>13084315.935798679</v>
      </c>
      <c r="CB48" s="483">
        <f t="shared" si="39"/>
        <v>13395261.391427763</v>
      </c>
      <c r="CC48" s="483">
        <f t="shared" si="39"/>
        <v>13740555.908687662</v>
      </c>
      <c r="CD48" s="483">
        <f t="shared" si="39"/>
        <v>14085850.425947562</v>
      </c>
      <c r="CE48" s="483"/>
      <c r="CF48" s="448"/>
    </row>
    <row r="49" spans="1:83">
      <c r="B49" s="503"/>
      <c r="C49" s="503"/>
      <c r="D49" s="503"/>
      <c r="E49" s="503"/>
      <c r="F49" s="503"/>
      <c r="G49" s="503"/>
      <c r="H49" s="503"/>
      <c r="I49" s="503"/>
      <c r="J49" s="503"/>
      <c r="K49" s="503"/>
      <c r="L49" s="503"/>
      <c r="M49" s="503"/>
      <c r="N49" s="455"/>
      <c r="O49" s="455"/>
      <c r="P49" s="455"/>
      <c r="Q49" s="455"/>
      <c r="R49" s="455"/>
      <c r="S49" s="455"/>
      <c r="T49" s="455"/>
      <c r="U49" s="455"/>
      <c r="V49" s="455"/>
      <c r="W49" s="455"/>
      <c r="X49" s="455"/>
      <c r="Y49" s="504"/>
      <c r="Z49" s="455"/>
      <c r="AA49" s="455"/>
      <c r="AB49" s="455"/>
      <c r="AC49" s="455"/>
      <c r="AD49" s="455"/>
      <c r="AE49" s="455"/>
      <c r="AF49" s="455"/>
      <c r="AG49" s="455"/>
      <c r="AH49" s="455"/>
      <c r="AI49" s="455"/>
      <c r="AJ49" s="455"/>
      <c r="AK49" s="455"/>
      <c r="AL49" s="455"/>
      <c r="AM49" s="455"/>
      <c r="AN49" s="455"/>
      <c r="AO49" s="455"/>
      <c r="AP49" s="455"/>
    </row>
    <row r="50" spans="1:83">
      <c r="B50" s="505"/>
      <c r="C50" s="505"/>
      <c r="D50" s="505"/>
      <c r="E50" s="505"/>
      <c r="F50" s="505"/>
      <c r="G50" s="505"/>
      <c r="H50" s="505"/>
      <c r="I50" s="505"/>
      <c r="J50" s="506"/>
      <c r="K50" s="506"/>
      <c r="L50" s="506"/>
      <c r="M50" s="506"/>
      <c r="N50" s="507"/>
      <c r="O50" s="507"/>
      <c r="P50" s="507"/>
      <c r="Q50" s="507"/>
      <c r="R50" s="507"/>
      <c r="S50" s="507"/>
      <c r="T50" s="507"/>
      <c r="U50" s="507"/>
      <c r="V50" s="507"/>
      <c r="W50" s="507"/>
      <c r="X50" s="507"/>
      <c r="Y50" s="507"/>
      <c r="Z50" s="507"/>
      <c r="AA50" s="507"/>
      <c r="AB50" s="507"/>
      <c r="AC50" s="507"/>
      <c r="AD50" s="507"/>
      <c r="AE50" s="507"/>
      <c r="AF50" s="507"/>
      <c r="AG50" s="507"/>
      <c r="AH50" s="507"/>
      <c r="AI50" s="507"/>
      <c r="AJ50" s="507"/>
      <c r="AK50" s="507"/>
      <c r="AL50" s="507"/>
      <c r="AM50" s="507"/>
      <c r="AN50" s="507"/>
      <c r="AO50" s="507"/>
      <c r="AP50" s="507"/>
    </row>
    <row r="51" spans="1:83">
      <c r="B51" s="503"/>
      <c r="C51" s="503"/>
      <c r="D51" s="503"/>
      <c r="E51" s="503"/>
      <c r="F51" s="503"/>
      <c r="G51" s="503"/>
      <c r="H51" s="503"/>
      <c r="I51" s="503"/>
      <c r="J51" s="503"/>
      <c r="K51" s="503"/>
      <c r="L51" s="503"/>
      <c r="M51" s="503"/>
      <c r="N51" s="479"/>
      <c r="O51" s="479"/>
      <c r="P51" s="479"/>
      <c r="Q51" s="479"/>
      <c r="R51" s="479"/>
      <c r="S51" s="479"/>
      <c r="T51" s="479"/>
      <c r="U51" s="479"/>
      <c r="V51" s="479"/>
      <c r="W51" s="479"/>
      <c r="X51" s="479"/>
      <c r="Y51" s="508"/>
      <c r="Z51" s="479"/>
      <c r="AA51" s="479"/>
      <c r="AB51" s="479"/>
      <c r="AC51" s="479"/>
      <c r="AD51" s="479"/>
      <c r="AE51" s="479"/>
      <c r="AF51" s="479"/>
      <c r="AG51" s="479"/>
      <c r="AH51" s="479"/>
      <c r="AI51" s="479"/>
      <c r="AJ51" s="479"/>
      <c r="AK51" s="479"/>
      <c r="AL51" s="479"/>
      <c r="AM51" s="479"/>
      <c r="AN51" s="479"/>
      <c r="AO51" s="479"/>
      <c r="AP51" s="479"/>
    </row>
    <row r="52" spans="1:83">
      <c r="B52" s="509"/>
      <c r="C52" s="509"/>
      <c r="D52" s="509"/>
      <c r="E52" s="509"/>
      <c r="F52" s="509"/>
      <c r="G52" s="509"/>
      <c r="H52" s="509"/>
      <c r="I52" s="509"/>
      <c r="J52" s="509"/>
      <c r="K52" s="509"/>
      <c r="L52" s="509"/>
      <c r="M52" s="509"/>
      <c r="N52" s="509"/>
      <c r="O52" s="509"/>
      <c r="P52" s="509"/>
      <c r="Q52" s="509"/>
      <c r="R52" s="509"/>
      <c r="S52" s="509"/>
      <c r="T52" s="509"/>
      <c r="U52" s="509"/>
      <c r="V52" s="509"/>
      <c r="W52" s="509"/>
      <c r="X52" s="509"/>
      <c r="Y52" s="509"/>
      <c r="Z52" s="509"/>
      <c r="AA52" s="509"/>
      <c r="AB52" s="509"/>
      <c r="AC52" s="509"/>
      <c r="AD52" s="509"/>
      <c r="AE52" s="509"/>
      <c r="AF52" s="509"/>
      <c r="AG52" s="509"/>
      <c r="AH52" s="509"/>
      <c r="AI52" s="509"/>
      <c r="AJ52" s="509"/>
      <c r="AK52" s="509"/>
      <c r="AL52" s="509"/>
      <c r="AM52" s="509"/>
      <c r="AN52" s="509"/>
      <c r="AO52" s="509"/>
      <c r="AP52" s="509"/>
    </row>
    <row r="53" spans="1:83">
      <c r="B53" s="509"/>
      <c r="C53" s="509"/>
      <c r="D53" s="509"/>
      <c r="E53" s="509"/>
      <c r="F53" s="509"/>
      <c r="G53" s="509"/>
      <c r="H53" s="509"/>
      <c r="I53" s="509"/>
      <c r="J53" s="510"/>
      <c r="K53" s="510"/>
      <c r="L53" s="510"/>
      <c r="M53" s="510"/>
      <c r="N53" s="510"/>
      <c r="O53" s="510"/>
      <c r="P53" s="510"/>
      <c r="Q53" s="509"/>
      <c r="R53" s="509"/>
      <c r="S53" s="509"/>
      <c r="T53" s="509"/>
      <c r="U53" s="509"/>
      <c r="V53" s="509"/>
      <c r="W53" s="509"/>
      <c r="X53" s="509"/>
      <c r="Y53" s="509"/>
      <c r="Z53" s="509"/>
      <c r="AA53" s="509"/>
      <c r="AB53" s="509"/>
      <c r="AC53" s="509"/>
      <c r="AD53" s="509"/>
      <c r="AE53" s="509"/>
      <c r="AF53" s="509"/>
      <c r="AG53" s="509"/>
      <c r="AH53" s="509"/>
      <c r="AI53" s="509"/>
      <c r="AJ53" s="509"/>
      <c r="AK53" s="509"/>
      <c r="AL53" s="509"/>
      <c r="AM53" s="509"/>
      <c r="AN53" s="509"/>
      <c r="AO53" s="509"/>
      <c r="AP53" s="509"/>
    </row>
    <row r="54" spans="1:83">
      <c r="B54" s="509"/>
      <c r="C54" s="509"/>
      <c r="D54" s="509"/>
      <c r="E54" s="509"/>
      <c r="F54" s="509"/>
      <c r="G54" s="509"/>
      <c r="H54" s="509"/>
      <c r="I54" s="509"/>
      <c r="J54" s="509"/>
      <c r="K54" s="509"/>
      <c r="L54" s="509"/>
      <c r="M54" s="509"/>
      <c r="N54" s="509"/>
      <c r="O54" s="509"/>
      <c r="P54" s="509"/>
      <c r="Q54" s="509"/>
      <c r="R54" s="509"/>
      <c r="S54" s="509"/>
      <c r="T54" s="509"/>
      <c r="U54" s="509"/>
      <c r="V54" s="509"/>
      <c r="W54" s="509"/>
      <c r="X54" s="509"/>
      <c r="Y54" s="509"/>
      <c r="Z54" s="509"/>
      <c r="AA54" s="509"/>
      <c r="AB54" s="509"/>
      <c r="AC54" s="509"/>
      <c r="AD54" s="509"/>
      <c r="AE54" s="509"/>
      <c r="AF54" s="509"/>
      <c r="AG54" s="509"/>
      <c r="AH54" s="509"/>
      <c r="AI54" s="509"/>
      <c r="AJ54" s="509"/>
      <c r="AK54" s="509"/>
      <c r="AL54" s="509"/>
      <c r="AM54" s="509"/>
      <c r="AN54" s="509"/>
      <c r="AO54" s="509"/>
      <c r="AP54" s="509"/>
    </row>
    <row r="56" spans="1:83">
      <c r="C56" s="431" t="s">
        <v>812</v>
      </c>
      <c r="D56" s="511">
        <f t="shared" ref="D56:BO56" si="40">+D8</f>
        <v>43678</v>
      </c>
      <c r="E56" s="511">
        <f t="shared" si="40"/>
        <v>43709</v>
      </c>
      <c r="F56" s="511">
        <f t="shared" si="40"/>
        <v>43739</v>
      </c>
      <c r="G56" s="511">
        <f t="shared" si="40"/>
        <v>43770</v>
      </c>
      <c r="H56" s="511">
        <f t="shared" si="40"/>
        <v>43800</v>
      </c>
      <c r="I56" s="511">
        <f t="shared" si="40"/>
        <v>43831</v>
      </c>
      <c r="J56" s="511">
        <f t="shared" si="40"/>
        <v>43862</v>
      </c>
      <c r="K56" s="511">
        <f t="shared" si="40"/>
        <v>43892</v>
      </c>
      <c r="L56" s="511">
        <f t="shared" si="40"/>
        <v>43924</v>
      </c>
      <c r="M56" s="511">
        <f t="shared" si="40"/>
        <v>43955</v>
      </c>
      <c r="N56" s="511">
        <f t="shared" si="40"/>
        <v>43983</v>
      </c>
      <c r="O56" s="511">
        <f t="shared" si="40"/>
        <v>44014</v>
      </c>
      <c r="P56" s="511">
        <f t="shared" si="40"/>
        <v>43924</v>
      </c>
      <c r="Q56" s="511">
        <f t="shared" si="40"/>
        <v>44078</v>
      </c>
      <c r="R56" s="511">
        <f t="shared" si="40"/>
        <v>44105</v>
      </c>
      <c r="S56" s="511">
        <f t="shared" si="40"/>
        <v>44137</v>
      </c>
      <c r="T56" s="511">
        <f t="shared" si="40"/>
        <v>44166</v>
      </c>
      <c r="U56" s="511">
        <f t="shared" si="40"/>
        <v>44197</v>
      </c>
      <c r="V56" s="511">
        <f t="shared" si="40"/>
        <v>44228</v>
      </c>
      <c r="W56" s="511">
        <f t="shared" si="40"/>
        <v>44256</v>
      </c>
      <c r="X56" s="511">
        <f t="shared" si="40"/>
        <v>44287</v>
      </c>
      <c r="Y56" s="511">
        <f t="shared" si="40"/>
        <v>44317</v>
      </c>
      <c r="Z56" s="511">
        <f t="shared" si="40"/>
        <v>44348</v>
      </c>
      <c r="AA56" s="511">
        <f t="shared" si="40"/>
        <v>44378</v>
      </c>
      <c r="AB56" s="511">
        <f t="shared" si="40"/>
        <v>44409</v>
      </c>
      <c r="AC56" s="511">
        <f t="shared" si="40"/>
        <v>44440</v>
      </c>
      <c r="AD56" s="511">
        <f t="shared" si="40"/>
        <v>44470</v>
      </c>
      <c r="AE56" s="511">
        <f t="shared" si="40"/>
        <v>44501</v>
      </c>
      <c r="AF56" s="511">
        <f t="shared" si="40"/>
        <v>44531</v>
      </c>
      <c r="AG56" s="511">
        <f t="shared" si="40"/>
        <v>44562</v>
      </c>
      <c r="AH56" s="511">
        <f t="shared" si="40"/>
        <v>44593</v>
      </c>
      <c r="AI56" s="511">
        <f t="shared" si="40"/>
        <v>44621</v>
      </c>
      <c r="AJ56" s="511">
        <f t="shared" si="40"/>
        <v>44652</v>
      </c>
      <c r="AK56" s="511">
        <f t="shared" si="40"/>
        <v>44682</v>
      </c>
      <c r="AL56" s="511">
        <f t="shared" si="40"/>
        <v>44713</v>
      </c>
      <c r="AM56" s="511">
        <f t="shared" si="40"/>
        <v>44743</v>
      </c>
      <c r="AN56" s="511">
        <f t="shared" si="40"/>
        <v>44774</v>
      </c>
      <c r="AO56" s="511">
        <f t="shared" si="40"/>
        <v>44805</v>
      </c>
      <c r="AP56" s="511">
        <f t="shared" si="40"/>
        <v>44835</v>
      </c>
      <c r="AQ56" s="511">
        <f t="shared" si="40"/>
        <v>44866</v>
      </c>
      <c r="AR56" s="511">
        <f t="shared" si="40"/>
        <v>44896</v>
      </c>
      <c r="AS56" s="511">
        <f t="shared" si="40"/>
        <v>44927</v>
      </c>
      <c r="AT56" s="511">
        <f t="shared" si="40"/>
        <v>44958</v>
      </c>
      <c r="AU56" s="511">
        <f t="shared" si="40"/>
        <v>44986</v>
      </c>
      <c r="AV56" s="511">
        <f t="shared" si="40"/>
        <v>45017</v>
      </c>
      <c r="AW56" s="511">
        <f t="shared" si="40"/>
        <v>45047</v>
      </c>
      <c r="AX56" s="511">
        <f t="shared" si="40"/>
        <v>45078</v>
      </c>
      <c r="AY56" s="511">
        <f t="shared" si="40"/>
        <v>45108</v>
      </c>
      <c r="AZ56" s="511">
        <f t="shared" si="40"/>
        <v>45139</v>
      </c>
      <c r="BA56" s="511">
        <f t="shared" si="40"/>
        <v>45170</v>
      </c>
      <c r="BB56" s="511">
        <f t="shared" si="40"/>
        <v>45200</v>
      </c>
      <c r="BC56" s="511">
        <f t="shared" si="40"/>
        <v>45231</v>
      </c>
      <c r="BD56" s="511">
        <f t="shared" si="40"/>
        <v>45261</v>
      </c>
      <c r="BE56" s="511">
        <f t="shared" si="40"/>
        <v>45292</v>
      </c>
      <c r="BF56" s="511">
        <f t="shared" si="40"/>
        <v>45323</v>
      </c>
      <c r="BG56" s="511">
        <f t="shared" si="40"/>
        <v>45352</v>
      </c>
      <c r="BH56" s="511">
        <f t="shared" si="40"/>
        <v>45383</v>
      </c>
      <c r="BI56" s="511">
        <f t="shared" si="40"/>
        <v>45413</v>
      </c>
      <c r="BJ56" s="511">
        <f t="shared" si="40"/>
        <v>45444</v>
      </c>
      <c r="BK56" s="511">
        <f t="shared" si="40"/>
        <v>45474</v>
      </c>
      <c r="BL56" s="511">
        <f t="shared" si="40"/>
        <v>45505</v>
      </c>
      <c r="BM56" s="511">
        <f t="shared" si="40"/>
        <v>45536</v>
      </c>
      <c r="BN56" s="511">
        <f t="shared" si="40"/>
        <v>45566</v>
      </c>
      <c r="BO56" s="511">
        <f t="shared" si="40"/>
        <v>45597</v>
      </c>
      <c r="BP56" s="511">
        <f t="shared" ref="BP56:CD56" si="41">+BP8</f>
        <v>45627</v>
      </c>
      <c r="BQ56" s="511">
        <f t="shared" si="41"/>
        <v>45658</v>
      </c>
      <c r="BR56" s="511">
        <f t="shared" si="41"/>
        <v>45689</v>
      </c>
      <c r="BS56" s="511">
        <f t="shared" si="41"/>
        <v>45717</v>
      </c>
      <c r="BT56" s="511">
        <f t="shared" si="41"/>
        <v>45748</v>
      </c>
      <c r="BU56" s="511">
        <f t="shared" si="41"/>
        <v>45778</v>
      </c>
      <c r="BV56" s="511">
        <f t="shared" si="41"/>
        <v>45809</v>
      </c>
      <c r="BW56" s="511">
        <f t="shared" si="41"/>
        <v>45839</v>
      </c>
      <c r="BX56" s="511">
        <f t="shared" si="41"/>
        <v>45870</v>
      </c>
      <c r="BY56" s="511">
        <f t="shared" si="41"/>
        <v>45901</v>
      </c>
      <c r="BZ56" s="511">
        <f t="shared" si="41"/>
        <v>45931</v>
      </c>
      <c r="CA56" s="511">
        <f t="shared" si="41"/>
        <v>45962</v>
      </c>
      <c r="CB56" s="511">
        <f t="shared" si="41"/>
        <v>45992</v>
      </c>
      <c r="CC56" s="511">
        <f t="shared" si="41"/>
        <v>46023</v>
      </c>
      <c r="CD56" s="511">
        <f t="shared" si="41"/>
        <v>46054</v>
      </c>
    </row>
    <row r="57" spans="1:83">
      <c r="B57" s="431" t="s">
        <v>1380</v>
      </c>
      <c r="C57" s="431" t="s">
        <v>1380</v>
      </c>
      <c r="D57" s="448">
        <f t="shared" ref="D57:BO57" si="42">+D38</f>
        <v>0</v>
      </c>
      <c r="E57" s="448">
        <f t="shared" si="42"/>
        <v>17585.643474666667</v>
      </c>
      <c r="F57" s="448">
        <f t="shared" si="42"/>
        <v>35171.286949333335</v>
      </c>
      <c r="G57" s="448">
        <f t="shared" si="42"/>
        <v>52756.930424000006</v>
      </c>
      <c r="H57" s="448">
        <f t="shared" si="42"/>
        <v>70342.573898666669</v>
      </c>
      <c r="I57" s="448">
        <f t="shared" si="42"/>
        <v>87928.217373333333</v>
      </c>
      <c r="J57" s="448">
        <f t="shared" si="42"/>
        <v>105513.860848</v>
      </c>
      <c r="K57" s="448">
        <f t="shared" si="42"/>
        <v>158643.78757333333</v>
      </c>
      <c r="L57" s="448">
        <f t="shared" si="42"/>
        <v>211793.72802133334</v>
      </c>
      <c r="M57" s="448">
        <f t="shared" si="42"/>
        <v>264844.8481066667</v>
      </c>
      <c r="N57" s="448">
        <f t="shared" si="42"/>
        <v>317926.65449600003</v>
      </c>
      <c r="O57" s="448">
        <f t="shared" si="42"/>
        <v>371054.0528053334</v>
      </c>
      <c r="P57" s="448">
        <f t="shared" si="42"/>
        <v>424221.6812533334</v>
      </c>
      <c r="Q57" s="448">
        <f t="shared" si="42"/>
        <v>477423.89813066676</v>
      </c>
      <c r="R57" s="448">
        <f t="shared" si="42"/>
        <v>530629.07356800011</v>
      </c>
      <c r="S57" s="448">
        <f t="shared" si="42"/>
        <v>583828.33188533341</v>
      </c>
      <c r="T57" s="448">
        <f t="shared" si="42"/>
        <v>637027.5902026667</v>
      </c>
      <c r="U57" s="448">
        <f t="shared" si="42"/>
        <v>690226.84852</v>
      </c>
      <c r="V57" s="448">
        <f t="shared" si="42"/>
        <v>743426.1068373333</v>
      </c>
      <c r="W57" s="448">
        <f t="shared" si="42"/>
        <v>818784.86183999991</v>
      </c>
      <c r="X57" s="448">
        <f t="shared" si="42"/>
        <v>894356.7773066666</v>
      </c>
      <c r="Y57" s="448">
        <f t="shared" si="42"/>
        <v>969984.19009066664</v>
      </c>
      <c r="Z57" s="448">
        <f t="shared" si="42"/>
        <v>1045599.7451093333</v>
      </c>
      <c r="AA57" s="448">
        <f t="shared" si="42"/>
        <v>1120956.972608</v>
      </c>
      <c r="AB57" s="448">
        <f t="shared" si="42"/>
        <v>1196314.2001066667</v>
      </c>
      <c r="AC57" s="448">
        <f t="shared" si="42"/>
        <v>1271671.4276053333</v>
      </c>
      <c r="AD57" s="448">
        <f t="shared" si="42"/>
        <v>1347028.6551039999</v>
      </c>
      <c r="AE57" s="448">
        <f t="shared" si="42"/>
        <v>1422385.8826026665</v>
      </c>
      <c r="AF57" s="448">
        <f t="shared" si="42"/>
        <v>1497743.1101013331</v>
      </c>
      <c r="AG57" s="448">
        <f t="shared" si="42"/>
        <v>1573100.3375999997</v>
      </c>
      <c r="AH57" s="448">
        <f t="shared" si="42"/>
        <v>1648457.5650986664</v>
      </c>
      <c r="AI57" s="448">
        <f t="shared" si="42"/>
        <v>1743869.515021333</v>
      </c>
      <c r="AJ57" s="448">
        <f t="shared" si="42"/>
        <v>1839296.6128826663</v>
      </c>
      <c r="AK57" s="448">
        <f t="shared" si="42"/>
        <v>1934735.7746639997</v>
      </c>
      <c r="AL57" s="448">
        <f t="shared" si="42"/>
        <v>2030187.3833706663</v>
      </c>
      <c r="AM57" s="448">
        <f t="shared" si="42"/>
        <v>2125653.8014213331</v>
      </c>
      <c r="AN57" s="448">
        <f t="shared" si="42"/>
        <v>2221136.6351386663</v>
      </c>
      <c r="AO57" s="448">
        <f t="shared" si="42"/>
        <v>2316628.0968746664</v>
      </c>
      <c r="AP57" s="448">
        <f t="shared" si="42"/>
        <v>2412130.3307786663</v>
      </c>
      <c r="AQ57" s="448">
        <f t="shared" si="42"/>
        <v>2507646.4943199996</v>
      </c>
      <c r="AR57" s="448">
        <f t="shared" si="42"/>
        <v>2603173.7255919995</v>
      </c>
      <c r="AS57" s="448">
        <f t="shared" si="42"/>
        <v>2698716.9813119993</v>
      </c>
      <c r="AT57" s="448">
        <f t="shared" si="42"/>
        <v>2815283.7861279994</v>
      </c>
      <c r="AU57" s="448">
        <f t="shared" si="42"/>
        <v>2933893.4587893328</v>
      </c>
      <c r="AV57" s="448">
        <f t="shared" si="42"/>
        <v>3050407.8804613329</v>
      </c>
      <c r="AW57" s="448">
        <f t="shared" si="42"/>
        <v>3167203.1751946663</v>
      </c>
      <c r="AX57" s="448">
        <f t="shared" si="42"/>
        <v>3282102.7908826661</v>
      </c>
      <c r="AY57" s="448">
        <f t="shared" si="42"/>
        <v>3397005.2769253328</v>
      </c>
      <c r="AZ57" s="448">
        <f t="shared" si="42"/>
        <v>3511909.3217119994</v>
      </c>
      <c r="BA57" s="448">
        <f t="shared" si="42"/>
        <v>3626814.4182746662</v>
      </c>
      <c r="BB57" s="448">
        <f t="shared" si="42"/>
        <v>3741626.7966293329</v>
      </c>
      <c r="BC57" s="448">
        <f t="shared" si="42"/>
        <v>3856440.3579973332</v>
      </c>
      <c r="BD57" s="448">
        <f t="shared" si="42"/>
        <v>3971255.8764266665</v>
      </c>
      <c r="BE57" s="448">
        <f t="shared" si="42"/>
        <v>4086074.0774479997</v>
      </c>
      <c r="BF57" s="448">
        <f t="shared" si="42"/>
        <v>4220623.1508026663</v>
      </c>
      <c r="BG57" s="448">
        <f t="shared" si="42"/>
        <v>4357529.8051413326</v>
      </c>
      <c r="BH57" s="448">
        <f t="shared" si="42"/>
        <v>4494775.5310479989</v>
      </c>
      <c r="BI57" s="448">
        <f t="shared" si="42"/>
        <v>4631888.421951999</v>
      </c>
      <c r="BJ57" s="448">
        <f t="shared" si="42"/>
        <v>4769833.5466906652</v>
      </c>
      <c r="BK57" s="448">
        <f t="shared" si="42"/>
        <v>4908667.6659386652</v>
      </c>
      <c r="BL57" s="448">
        <f t="shared" si="42"/>
        <v>5048263.9142613318</v>
      </c>
      <c r="BM57" s="448">
        <f t="shared" si="42"/>
        <v>5189305.2261013314</v>
      </c>
      <c r="BN57" s="448">
        <f t="shared" si="42"/>
        <v>5331639.7109066648</v>
      </c>
      <c r="BO57" s="448">
        <f t="shared" si="42"/>
        <v>5475957.8901866646</v>
      </c>
      <c r="BP57" s="448">
        <f t="shared" ref="BP57:CD57" si="43">+BP38</f>
        <v>5622621.7278879983</v>
      </c>
      <c r="BQ57" s="448">
        <f t="shared" si="43"/>
        <v>5770678.2483386649</v>
      </c>
      <c r="BR57" s="448">
        <f t="shared" si="43"/>
        <v>5919100.1091493312</v>
      </c>
      <c r="BS57" s="448">
        <f t="shared" si="43"/>
        <v>6067187.0297279982</v>
      </c>
      <c r="BT57" s="448">
        <f t="shared" si="43"/>
        <v>6215489.7982906653</v>
      </c>
      <c r="BU57" s="448">
        <f t="shared" si="43"/>
        <v>6363642.9457919989</v>
      </c>
      <c r="BV57" s="448">
        <f t="shared" si="43"/>
        <v>6511838.6101999991</v>
      </c>
      <c r="BW57" s="448">
        <f t="shared" si="43"/>
        <v>6660023.0883706659</v>
      </c>
      <c r="BX57" s="448">
        <f t="shared" si="43"/>
        <v>6808235.3195706662</v>
      </c>
      <c r="BY57" s="448">
        <f t="shared" si="43"/>
        <v>6956465.9971546661</v>
      </c>
      <c r="BZ57" s="448">
        <f t="shared" si="43"/>
        <v>7104683.185746666</v>
      </c>
      <c r="CA57" s="448">
        <f t="shared" si="43"/>
        <v>7252909.1760986662</v>
      </c>
      <c r="CB57" s="448">
        <f t="shared" si="43"/>
        <v>7401150.8151973328</v>
      </c>
      <c r="CC57" s="448">
        <f t="shared" si="43"/>
        <v>7602659.4753119992</v>
      </c>
      <c r="CD57" s="448">
        <f t="shared" si="43"/>
        <v>7804805.5173733328</v>
      </c>
    </row>
    <row r="58" spans="1:83">
      <c r="B58" s="431" t="s">
        <v>1381</v>
      </c>
      <c r="C58" s="431" t="s">
        <v>1381</v>
      </c>
      <c r="D58" s="448">
        <f t="shared" ref="D58:I58" si="44">+D48</f>
        <v>18734.705406249999</v>
      </c>
      <c r="E58" s="448">
        <f t="shared" si="44"/>
        <v>37469.410812499998</v>
      </c>
      <c r="F58" s="448">
        <f t="shared" si="44"/>
        <v>56204.116218750001</v>
      </c>
      <c r="G58" s="448">
        <f t="shared" si="44"/>
        <v>74938.821624999997</v>
      </c>
      <c r="H58" s="448">
        <f t="shared" si="44"/>
        <v>93673.527031249992</v>
      </c>
      <c r="I58" s="448">
        <f t="shared" si="44"/>
        <v>129739.08391864167</v>
      </c>
      <c r="J58" s="448">
        <f>+J48</f>
        <v>203745.28161853334</v>
      </c>
      <c r="K58" s="448">
        <f>+K48</f>
        <v>277751.479318425</v>
      </c>
      <c r="L58" s="448">
        <f t="shared" ref="L58:BW58" si="45">+L48</f>
        <v>351757.6770183167</v>
      </c>
      <c r="M58" s="448">
        <f t="shared" si="45"/>
        <v>425763.87471820833</v>
      </c>
      <c r="N58" s="448">
        <f t="shared" si="45"/>
        <v>499770.07241809997</v>
      </c>
      <c r="O58" s="448">
        <f t="shared" si="45"/>
        <v>573776.2701179916</v>
      </c>
      <c r="P58" s="448">
        <f t="shared" si="45"/>
        <v>647782.46781788324</v>
      </c>
      <c r="Q58" s="448">
        <f t="shared" si="45"/>
        <v>721788.66551777488</v>
      </c>
      <c r="R58" s="448">
        <f t="shared" si="45"/>
        <v>795794.86321766651</v>
      </c>
      <c r="S58" s="448">
        <f t="shared" si="45"/>
        <v>869801.06091755815</v>
      </c>
      <c r="T58" s="448">
        <f t="shared" si="45"/>
        <v>943807.25861744978</v>
      </c>
      <c r="U58" s="448">
        <f t="shared" si="45"/>
        <v>1073809.0800548247</v>
      </c>
      <c r="V58" s="448">
        <f t="shared" si="45"/>
        <v>1203810.9014921996</v>
      </c>
      <c r="W58" s="448">
        <f t="shared" si="45"/>
        <v>1333812.7229295745</v>
      </c>
      <c r="X58" s="448">
        <f t="shared" si="45"/>
        <v>1463814.5443669495</v>
      </c>
      <c r="Y58" s="448">
        <f t="shared" si="45"/>
        <v>1593816.3658043244</v>
      </c>
      <c r="Z58" s="448">
        <f t="shared" si="45"/>
        <v>1723818.1872416993</v>
      </c>
      <c r="AA58" s="448">
        <f t="shared" si="45"/>
        <v>1853820.0086790742</v>
      </c>
      <c r="AB58" s="448">
        <f t="shared" si="45"/>
        <v>1983821.8301164492</v>
      </c>
      <c r="AC58" s="448">
        <f t="shared" si="45"/>
        <v>2113823.6515538241</v>
      </c>
      <c r="AD58" s="448">
        <f t="shared" si="45"/>
        <v>2243825.4729911992</v>
      </c>
      <c r="AE58" s="448">
        <f t="shared" si="45"/>
        <v>2373827.2944285744</v>
      </c>
      <c r="AF58" s="448">
        <f t="shared" si="45"/>
        <v>2503829.1158659495</v>
      </c>
      <c r="AG58" s="448">
        <f t="shared" si="45"/>
        <v>2669191.221376616</v>
      </c>
      <c r="AH58" s="448">
        <f t="shared" si="45"/>
        <v>2834553.3268872825</v>
      </c>
      <c r="AI58" s="448">
        <f t="shared" si="45"/>
        <v>2999915.432397949</v>
      </c>
      <c r="AJ58" s="448">
        <f t="shared" si="45"/>
        <v>3165277.5379086155</v>
      </c>
      <c r="AK58" s="448">
        <f t="shared" si="45"/>
        <v>3330639.643419282</v>
      </c>
      <c r="AL58" s="448">
        <f t="shared" si="45"/>
        <v>3496001.7489299485</v>
      </c>
      <c r="AM58" s="448">
        <f t="shared" si="45"/>
        <v>3661363.854440615</v>
      </c>
      <c r="AN58" s="448">
        <f t="shared" si="45"/>
        <v>3826725.9599512815</v>
      </c>
      <c r="AO58" s="448">
        <f t="shared" si="45"/>
        <v>3992088.065461948</v>
      </c>
      <c r="AP58" s="448">
        <f t="shared" si="45"/>
        <v>4157450.1709726145</v>
      </c>
      <c r="AQ58" s="448">
        <f t="shared" si="45"/>
        <v>4322812.2764832815</v>
      </c>
      <c r="AR58" s="448">
        <f t="shared" si="45"/>
        <v>4488174.3819939485</v>
      </c>
      <c r="AS58" s="448">
        <f t="shared" si="45"/>
        <v>4683172.8942574402</v>
      </c>
      <c r="AT58" s="448">
        <f t="shared" si="45"/>
        <v>4878171.406520932</v>
      </c>
      <c r="AU58" s="448">
        <f t="shared" si="45"/>
        <v>5073169.9187844237</v>
      </c>
      <c r="AV58" s="448">
        <f t="shared" si="45"/>
        <v>5268168.4310479155</v>
      </c>
      <c r="AW58" s="448">
        <f t="shared" si="45"/>
        <v>5463166.9433114072</v>
      </c>
      <c r="AX58" s="448">
        <f t="shared" si="45"/>
        <v>5658165.455574899</v>
      </c>
      <c r="AY58" s="448">
        <f t="shared" si="45"/>
        <v>5853163.9678383907</v>
      </c>
      <c r="AZ58" s="448">
        <f t="shared" si="45"/>
        <v>6048162.4801018825</v>
      </c>
      <c r="BA58" s="448">
        <f t="shared" si="45"/>
        <v>6243160.9923653742</v>
      </c>
      <c r="BB58" s="448">
        <f t="shared" si="45"/>
        <v>6438159.504628866</v>
      </c>
      <c r="BC58" s="448">
        <f t="shared" si="45"/>
        <v>6633158.0168923577</v>
      </c>
      <c r="BD58" s="448">
        <f t="shared" si="45"/>
        <v>6828156.5291558495</v>
      </c>
      <c r="BE58" s="448">
        <f t="shared" si="45"/>
        <v>7064469.8120494243</v>
      </c>
      <c r="BF58" s="448">
        <f t="shared" si="45"/>
        <v>7300783.0949429991</v>
      </c>
      <c r="BG58" s="448">
        <f t="shared" si="45"/>
        <v>7537096.3778365739</v>
      </c>
      <c r="BH58" s="448">
        <f t="shared" si="45"/>
        <v>7773409.6607301487</v>
      </c>
      <c r="BI58" s="448">
        <f t="shared" si="45"/>
        <v>8009722.9436237235</v>
      </c>
      <c r="BJ58" s="448">
        <f t="shared" si="45"/>
        <v>8246036.2265172983</v>
      </c>
      <c r="BK58" s="448">
        <f t="shared" si="45"/>
        <v>8482349.5094108731</v>
      </c>
      <c r="BL58" s="448">
        <f t="shared" si="45"/>
        <v>8718662.7923044488</v>
      </c>
      <c r="BM58" s="448">
        <f t="shared" si="45"/>
        <v>8954976.0751980245</v>
      </c>
      <c r="BN58" s="448">
        <f t="shared" si="45"/>
        <v>9191289.3580916002</v>
      </c>
      <c r="BO58" s="448">
        <f t="shared" si="45"/>
        <v>9427602.640985176</v>
      </c>
      <c r="BP58" s="448">
        <f t="shared" si="45"/>
        <v>9663915.9238787517</v>
      </c>
      <c r="BQ58" s="448">
        <f t="shared" si="45"/>
        <v>9974861.379507836</v>
      </c>
      <c r="BR58" s="448">
        <f t="shared" si="45"/>
        <v>10285806.83513692</v>
      </c>
      <c r="BS58" s="448">
        <f t="shared" si="45"/>
        <v>10596752.290766004</v>
      </c>
      <c r="BT58" s="448">
        <f t="shared" si="45"/>
        <v>10907697.746395089</v>
      </c>
      <c r="BU58" s="448">
        <f t="shared" si="45"/>
        <v>11218643.202024173</v>
      </c>
      <c r="BV58" s="448">
        <f t="shared" si="45"/>
        <v>11529588.657653257</v>
      </c>
      <c r="BW58" s="448">
        <f t="shared" si="45"/>
        <v>11840534.113282342</v>
      </c>
      <c r="BX58" s="448">
        <f t="shared" ref="BX58:CD58" si="46">+BX48</f>
        <v>12151479.568911426</v>
      </c>
      <c r="BY58" s="448">
        <f t="shared" si="46"/>
        <v>12462425.02454051</v>
      </c>
      <c r="BZ58" s="448">
        <f t="shared" si="46"/>
        <v>12773370.480169594</v>
      </c>
      <c r="CA58" s="448">
        <f t="shared" si="46"/>
        <v>13084315.935798679</v>
      </c>
      <c r="CB58" s="448">
        <f t="shared" si="46"/>
        <v>13395261.391427763</v>
      </c>
      <c r="CC58" s="448">
        <f t="shared" si="46"/>
        <v>13740555.908687662</v>
      </c>
      <c r="CD58" s="448">
        <f t="shared" si="46"/>
        <v>14085850.425947562</v>
      </c>
    </row>
    <row r="59" spans="1:83">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row>
    <row r="60" spans="1:83">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c r="AJ60" s="430"/>
      <c r="AK60" s="430"/>
      <c r="AL60" s="430"/>
      <c r="AM60" s="430"/>
      <c r="AN60" s="430"/>
      <c r="AO60" s="430"/>
      <c r="AP60" s="430"/>
    </row>
    <row r="61" spans="1:83">
      <c r="A61" s="512"/>
      <c r="B61" s="512" t="s">
        <v>1382</v>
      </c>
      <c r="C61" s="513" t="s">
        <v>1383</v>
      </c>
      <c r="D61" s="429">
        <f t="shared" ref="D61:I61" si="47">-(D58-D57)*0.21</f>
        <v>-3934.2881353124999</v>
      </c>
      <c r="E61" s="429">
        <f t="shared" si="47"/>
        <v>-4175.5911409449991</v>
      </c>
      <c r="F61" s="429">
        <f t="shared" si="47"/>
        <v>-4416.8941465774997</v>
      </c>
      <c r="G61" s="429">
        <f t="shared" si="47"/>
        <v>-4658.1971522099984</v>
      </c>
      <c r="H61" s="429">
        <f t="shared" si="47"/>
        <v>-4899.5001578424981</v>
      </c>
      <c r="I61" s="429">
        <f t="shared" si="47"/>
        <v>-8780.2819745147499</v>
      </c>
      <c r="J61" s="429">
        <f>-(J58-J57)*0.21</f>
        <v>-20628.598361812001</v>
      </c>
      <c r="K61" s="429">
        <f>-(K58-K57)*0.21</f>
        <v>-25012.615266469249</v>
      </c>
      <c r="L61" s="429">
        <f t="shared" ref="L61:U61" si="48">-(L58-L57)*0.21</f>
        <v>-29392.429289366504</v>
      </c>
      <c r="M61" s="429">
        <f t="shared" si="48"/>
        <v>-33792.995588423742</v>
      </c>
      <c r="N61" s="429">
        <f t="shared" si="48"/>
        <v>-38187.117763640985</v>
      </c>
      <c r="O61" s="429">
        <f t="shared" si="48"/>
        <v>-42571.665635658224</v>
      </c>
      <c r="P61" s="429">
        <f t="shared" si="48"/>
        <v>-46947.765178555463</v>
      </c>
      <c r="Q61" s="429">
        <f t="shared" si="48"/>
        <v>-51316.6011512927</v>
      </c>
      <c r="R61" s="429">
        <f t="shared" si="48"/>
        <v>-55684.815826429942</v>
      </c>
      <c r="S61" s="429">
        <f t="shared" si="48"/>
        <v>-60054.273096767196</v>
      </c>
      <c r="T61" s="429">
        <f t="shared" si="48"/>
        <v>-64423.730367104443</v>
      </c>
      <c r="U61" s="429">
        <f t="shared" si="48"/>
        <v>-80552.26862231319</v>
      </c>
      <c r="V61" s="429">
        <f>-(V58-V57)*0.21</f>
        <v>-96680.806877521929</v>
      </c>
      <c r="W61" s="429">
        <f t="shared" ref="W61:CC61" si="49">-(W58-W57)*0.21</f>
        <v>-108155.85082881067</v>
      </c>
      <c r="X61" s="429">
        <f t="shared" si="49"/>
        <v>-119586.1310826594</v>
      </c>
      <c r="Y61" s="429">
        <f t="shared" si="49"/>
        <v>-131004.75689986812</v>
      </c>
      <c r="Z61" s="429">
        <f t="shared" si="49"/>
        <v>-142425.87284779685</v>
      </c>
      <c r="AA61" s="429">
        <f t="shared" si="49"/>
        <v>-153901.23757492559</v>
      </c>
      <c r="AB61" s="429">
        <f t="shared" si="49"/>
        <v>-165376.60230205432</v>
      </c>
      <c r="AC61" s="429">
        <f t="shared" si="49"/>
        <v>-176851.96702918306</v>
      </c>
      <c r="AD61" s="429">
        <f t="shared" si="49"/>
        <v>-188327.33175631185</v>
      </c>
      <c r="AE61" s="429">
        <f t="shared" si="49"/>
        <v>-199802.69648344064</v>
      </c>
      <c r="AF61" s="429">
        <f t="shared" si="49"/>
        <v>-211278.06121056943</v>
      </c>
      <c r="AG61" s="429">
        <f t="shared" si="49"/>
        <v>-230179.0855930894</v>
      </c>
      <c r="AH61" s="429">
        <f t="shared" si="49"/>
        <v>-249080.1099756094</v>
      </c>
      <c r="AI61" s="429">
        <f t="shared" si="49"/>
        <v>-263769.64264908934</v>
      </c>
      <c r="AJ61" s="429">
        <f t="shared" si="49"/>
        <v>-278455.99425544933</v>
      </c>
      <c r="AK61" s="429">
        <f t="shared" si="49"/>
        <v>-293139.81243860931</v>
      </c>
      <c r="AL61" s="429">
        <f t="shared" si="49"/>
        <v>-307821.01676744927</v>
      </c>
      <c r="AM61" s="429">
        <f t="shared" si="49"/>
        <v>-322499.11113404919</v>
      </c>
      <c r="AN61" s="429">
        <f t="shared" si="49"/>
        <v>-337173.75821064919</v>
      </c>
      <c r="AO61" s="429">
        <f t="shared" si="49"/>
        <v>-351846.59340332914</v>
      </c>
      <c r="AP61" s="429">
        <f t="shared" si="49"/>
        <v>-366517.16644072911</v>
      </c>
      <c r="AQ61" s="429">
        <f t="shared" si="49"/>
        <v>-381184.8142542892</v>
      </c>
      <c r="AR61" s="429">
        <f t="shared" si="49"/>
        <v>-395850.13784440927</v>
      </c>
      <c r="AS61" s="429">
        <f t="shared" si="49"/>
        <v>-416735.74171854259</v>
      </c>
      <c r="AT61" s="429">
        <f t="shared" si="49"/>
        <v>-433206.40028251579</v>
      </c>
      <c r="AU61" s="429">
        <f t="shared" si="49"/>
        <v>-449248.05659896909</v>
      </c>
      <c r="AV61" s="429">
        <f t="shared" si="49"/>
        <v>-465729.71562318236</v>
      </c>
      <c r="AW61" s="429">
        <f t="shared" si="49"/>
        <v>-482152.39130451559</v>
      </c>
      <c r="AX61" s="429">
        <f t="shared" si="49"/>
        <v>-498973.15958536888</v>
      </c>
      <c r="AY61" s="429">
        <f t="shared" si="49"/>
        <v>-515793.32509174215</v>
      </c>
      <c r="AZ61" s="429">
        <f t="shared" si="49"/>
        <v>-532613.16326187539</v>
      </c>
      <c r="BA61" s="429">
        <f>-(BA58-BA57)*0.21</f>
        <v>-549432.78055904864</v>
      </c>
      <c r="BB61" s="429">
        <f t="shared" si="49"/>
        <v>-566271.86867990193</v>
      </c>
      <c r="BC61" s="429">
        <f t="shared" si="49"/>
        <v>-583110.70836795517</v>
      </c>
      <c r="BD61" s="429">
        <f t="shared" si="49"/>
        <v>-599949.13707312837</v>
      </c>
      <c r="BE61" s="429">
        <f t="shared" si="49"/>
        <v>-625463.10426629917</v>
      </c>
      <c r="BF61" s="429">
        <f t="shared" si="49"/>
        <v>-646833.58826946991</v>
      </c>
      <c r="BG61" s="429">
        <f t="shared" si="49"/>
        <v>-667708.98026600061</v>
      </c>
      <c r="BH61" s="429">
        <f t="shared" si="49"/>
        <v>-688513.16723325138</v>
      </c>
      <c r="BI61" s="429">
        <f t="shared" si="49"/>
        <v>-709345.24955106212</v>
      </c>
      <c r="BJ61" s="429">
        <f t="shared" si="49"/>
        <v>-730002.56276359293</v>
      </c>
      <c r="BK61" s="429">
        <f t="shared" si="49"/>
        <v>-750473.18712916365</v>
      </c>
      <c r="BL61" s="429">
        <f t="shared" si="49"/>
        <v>-770783.7643890545</v>
      </c>
      <c r="BM61" s="429">
        <f t="shared" si="49"/>
        <v>-790790.87831030553</v>
      </c>
      <c r="BN61" s="429">
        <f t="shared" si="49"/>
        <v>-810526.42590883642</v>
      </c>
      <c r="BO61" s="429">
        <f t="shared" si="49"/>
        <v>-829845.39766768739</v>
      </c>
      <c r="BP61" s="429">
        <f t="shared" si="49"/>
        <v>-848671.78115805821</v>
      </c>
      <c r="BQ61" s="429">
        <f t="shared" si="49"/>
        <v>-882878.45754552586</v>
      </c>
      <c r="BR61" s="429">
        <f t="shared" si="49"/>
        <v>-917008.4124573936</v>
      </c>
      <c r="BS61" s="429">
        <f t="shared" si="49"/>
        <v>-951208.70481798123</v>
      </c>
      <c r="BT61" s="429">
        <f t="shared" si="49"/>
        <v>-985363.66910192894</v>
      </c>
      <c r="BU61" s="429">
        <f t="shared" si="49"/>
        <v>-1019550.0538087565</v>
      </c>
      <c r="BV61" s="429">
        <f t="shared" si="49"/>
        <v>-1053727.5099651841</v>
      </c>
      <c r="BW61" s="429">
        <f t="shared" si="49"/>
        <v>-1087907.3152314518</v>
      </c>
      <c r="BX61" s="429">
        <f t="shared" si="49"/>
        <v>-1122081.2923615596</v>
      </c>
      <c r="BY61" s="429">
        <f t="shared" si="49"/>
        <v>-1156251.3957510272</v>
      </c>
      <c r="BZ61" s="429">
        <f t="shared" si="49"/>
        <v>-1190424.3318288149</v>
      </c>
      <c r="CA61" s="429">
        <f t="shared" si="49"/>
        <v>-1224595.4195370025</v>
      </c>
      <c r="CB61" s="429">
        <f t="shared" si="49"/>
        <v>-1258763.2210083902</v>
      </c>
      <c r="CC61" s="429">
        <f t="shared" si="49"/>
        <v>-1288958.2510088892</v>
      </c>
      <c r="CD61" s="429">
        <f>-(CD58-CD57)*0.21</f>
        <v>-1319019.4308005881</v>
      </c>
      <c r="CE61" s="512"/>
    </row>
    <row r="62" spans="1:83">
      <c r="D62" s="448"/>
      <c r="E62" s="448"/>
      <c r="F62" s="448"/>
      <c r="G62" s="448"/>
      <c r="H62" s="448"/>
      <c r="I62" s="448"/>
      <c r="J62" s="448"/>
      <c r="K62" s="448"/>
      <c r="L62" s="448"/>
    </row>
    <row r="63" spans="1:83">
      <c r="N63" s="448"/>
      <c r="O63" s="448"/>
      <c r="P63" s="448"/>
      <c r="Q63" s="448"/>
      <c r="R63" s="448"/>
    </row>
    <row r="64" spans="1:83">
      <c r="B64" s="595" t="s">
        <v>1384</v>
      </c>
      <c r="C64" s="426" t="s">
        <v>826</v>
      </c>
      <c r="D64" s="448">
        <f t="shared" ref="D64:BO64" si="50">D31-D38</f>
        <v>5995105.7300000004</v>
      </c>
      <c r="E64" s="448">
        <f t="shared" si="50"/>
        <v>5977520.086525334</v>
      </c>
      <c r="F64" s="448">
        <f t="shared" si="50"/>
        <v>5959934.4430506667</v>
      </c>
      <c r="G64" s="448">
        <f t="shared" si="50"/>
        <v>5942348.7995760003</v>
      </c>
      <c r="H64" s="448">
        <f t="shared" si="50"/>
        <v>5924763.1561013339</v>
      </c>
      <c r="I64" s="448">
        <f t="shared" si="50"/>
        <v>5907177.5126266675</v>
      </c>
      <c r="J64" s="448">
        <f t="shared" si="50"/>
        <v>18006961.159152005</v>
      </c>
      <c r="K64" s="448">
        <f t="shared" si="50"/>
        <v>17960654.092426669</v>
      </c>
      <c r="L64" s="448">
        <f t="shared" si="50"/>
        <v>17873815.391978666</v>
      </c>
      <c r="M64" s="448">
        <f t="shared" si="50"/>
        <v>17831225.511893332</v>
      </c>
      <c r="N64" s="448">
        <f t="shared" si="50"/>
        <v>17793686.405503999</v>
      </c>
      <c r="O64" s="448">
        <f t="shared" si="50"/>
        <v>17754273.827194665</v>
      </c>
      <c r="P64" s="448">
        <f t="shared" si="50"/>
        <v>17712897.708746668</v>
      </c>
      <c r="Q64" s="448">
        <f t="shared" si="50"/>
        <v>17660704.091869336</v>
      </c>
      <c r="R64" s="448">
        <f t="shared" si="50"/>
        <v>17605481.716432001</v>
      </c>
      <c r="S64" s="448">
        <f t="shared" si="50"/>
        <v>17552282.458114669</v>
      </c>
      <c r="T64" s="448">
        <f t="shared" si="50"/>
        <v>17499083.199797336</v>
      </c>
      <c r="U64" s="448">
        <f t="shared" si="50"/>
        <v>17445883.941480003</v>
      </c>
      <c r="V64" s="448">
        <f t="shared" si="50"/>
        <v>24947058.553162672</v>
      </c>
      <c r="W64" s="448">
        <f t="shared" si="50"/>
        <v>24944368.138160005</v>
      </c>
      <c r="X64" s="448">
        <f t="shared" si="50"/>
        <v>24887715.762693338</v>
      </c>
      <c r="Y64" s="448">
        <f t="shared" si="50"/>
        <v>24808045.929909334</v>
      </c>
      <c r="Z64" s="448">
        <f t="shared" si="50"/>
        <v>24644364.174890667</v>
      </c>
      <c r="AA64" s="448">
        <f t="shared" si="50"/>
        <v>24569006.947392002</v>
      </c>
      <c r="AB64" s="448">
        <f t="shared" si="50"/>
        <v>24493649.719893336</v>
      </c>
      <c r="AC64" s="448">
        <f t="shared" si="50"/>
        <v>24418292.492394667</v>
      </c>
      <c r="AD64" s="448">
        <f t="shared" si="50"/>
        <v>24342935.264896002</v>
      </c>
      <c r="AE64" s="448">
        <f t="shared" si="50"/>
        <v>24267578.037397336</v>
      </c>
      <c r="AF64" s="448">
        <f t="shared" si="50"/>
        <v>24192220.809898667</v>
      </c>
      <c r="AG64" s="448">
        <f t="shared" si="50"/>
        <v>24116863.582400002</v>
      </c>
      <c r="AH64" s="448">
        <f t="shared" si="50"/>
        <v>30878343.544901337</v>
      </c>
      <c r="AI64" s="448">
        <f t="shared" si="50"/>
        <v>30788095.664978672</v>
      </c>
      <c r="AJ64" s="448">
        <f t="shared" si="50"/>
        <v>30696781.267117336</v>
      </c>
      <c r="AK64" s="448">
        <f t="shared" si="50"/>
        <v>30605585.375336003</v>
      </c>
      <c r="AL64" s="448">
        <f t="shared" si="50"/>
        <v>30515182.406629335</v>
      </c>
      <c r="AM64" s="448">
        <f t="shared" si="50"/>
        <v>30425312.23857867</v>
      </c>
      <c r="AN64" s="448">
        <f t="shared" si="50"/>
        <v>30332770.774861336</v>
      </c>
      <c r="AO64" s="448">
        <f t="shared" si="50"/>
        <v>30240951.643125337</v>
      </c>
      <c r="AP64" s="448">
        <f t="shared" si="50"/>
        <v>30150198.149221335</v>
      </c>
      <c r="AQ64" s="448">
        <f t="shared" si="50"/>
        <v>30058455.075680003</v>
      </c>
      <c r="AR64" s="448">
        <f t="shared" si="50"/>
        <v>29968390.724408001</v>
      </c>
      <c r="AS64" s="448">
        <f t="shared" si="50"/>
        <v>37039966.478688002</v>
      </c>
      <c r="AT64" s="448">
        <f t="shared" si="50"/>
        <v>37619831.893872</v>
      </c>
      <c r="AU64" s="448">
        <f t="shared" si="50"/>
        <v>36786932.111210667</v>
      </c>
      <c r="AV64" s="448">
        <f t="shared" si="50"/>
        <v>36766169.869538665</v>
      </c>
      <c r="AW64" s="448">
        <f t="shared" si="50"/>
        <v>36003120.354805335</v>
      </c>
      <c r="AX64" s="448">
        <f t="shared" si="50"/>
        <v>35889199.269117333</v>
      </c>
      <c r="AY64" s="448">
        <f t="shared" si="50"/>
        <v>35774828.17307467</v>
      </c>
      <c r="AZ64" s="448">
        <f t="shared" si="50"/>
        <v>35660282.688288003</v>
      </c>
      <c r="BA64" s="448">
        <f t="shared" si="50"/>
        <v>35513769.111725345</v>
      </c>
      <c r="BB64" s="448">
        <f t="shared" si="50"/>
        <v>35399360.033370674</v>
      </c>
      <c r="BC64" s="448">
        <f t="shared" si="50"/>
        <v>35285213.65200267</v>
      </c>
      <c r="BD64" s="448">
        <f t="shared" si="50"/>
        <v>35171312.653573342</v>
      </c>
      <c r="BE64" s="448">
        <f t="shared" si="50"/>
        <v>41782928.202552006</v>
      </c>
      <c r="BF64" s="448">
        <f t="shared" si="50"/>
        <v>42452099.919197343</v>
      </c>
      <c r="BG64" s="448">
        <f t="shared" si="50"/>
        <v>42430785.844858676</v>
      </c>
      <c r="BH64" s="448">
        <f t="shared" si="50"/>
        <v>42248255.45895201</v>
      </c>
      <c r="BI64" s="448">
        <f t="shared" si="50"/>
        <v>42394858.648048006</v>
      </c>
      <c r="BJ64" s="448">
        <f t="shared" si="50"/>
        <v>42559979.833309345</v>
      </c>
      <c r="BK64" s="448">
        <f t="shared" si="50"/>
        <v>42680962.444061339</v>
      </c>
      <c r="BL64" s="448">
        <f t="shared" si="50"/>
        <v>43034001.485738672</v>
      </c>
      <c r="BM64" s="448">
        <f t="shared" si="50"/>
        <v>43333814.593898676</v>
      </c>
      <c r="BN64" s="448">
        <f t="shared" si="50"/>
        <v>43867739.589093342</v>
      </c>
      <c r="BO64" s="448">
        <f t="shared" si="50"/>
        <v>44523077.689813338</v>
      </c>
      <c r="BP64" s="448">
        <f t="shared" ref="BP64:CD64" si="51">BP31-BP38</f>
        <v>44851192.062112011</v>
      </c>
      <c r="BQ64" s="448">
        <f t="shared" si="51"/>
        <v>44827683.391661346</v>
      </c>
      <c r="BR64" s="448">
        <f t="shared" si="51"/>
        <v>44565077.360850677</v>
      </c>
      <c r="BS64" s="448">
        <f t="shared" si="51"/>
        <v>44490574.98027201</v>
      </c>
      <c r="BT64" s="448">
        <f t="shared" si="51"/>
        <v>44291265.031709343</v>
      </c>
      <c r="BU64" s="448">
        <f t="shared" si="51"/>
        <v>44157606.284208007</v>
      </c>
      <c r="BV64" s="448">
        <f t="shared" si="51"/>
        <v>44005597.129800007</v>
      </c>
      <c r="BW64" s="448">
        <f t="shared" si="51"/>
        <v>43866873.911629334</v>
      </c>
      <c r="BX64" s="448">
        <f t="shared" si="51"/>
        <v>43724950.220429331</v>
      </c>
      <c r="BY64" s="448">
        <f t="shared" si="51"/>
        <v>43572121.022845328</v>
      </c>
      <c r="BZ64" s="448">
        <f t="shared" si="51"/>
        <v>43426904.434253335</v>
      </c>
      <c r="CA64" s="448">
        <f t="shared" si="51"/>
        <v>43284013.243901327</v>
      </c>
      <c r="CB64" s="448">
        <f t="shared" si="51"/>
        <v>61294983.314802662</v>
      </c>
      <c r="CC64" s="448">
        <f t="shared" si="51"/>
        <v>61310763.95468799</v>
      </c>
      <c r="CD64" s="448">
        <f t="shared" si="51"/>
        <v>61124001.652626656</v>
      </c>
    </row>
    <row r="65" spans="2:82">
      <c r="B65" s="595"/>
      <c r="C65" s="426" t="s">
        <v>1385</v>
      </c>
      <c r="D65" s="514">
        <f t="shared" ref="D65:BO65" si="52">D31-D48</f>
        <v>5976371.02459375</v>
      </c>
      <c r="E65" s="514">
        <f t="shared" si="52"/>
        <v>5957636.3191875005</v>
      </c>
      <c r="F65" s="514">
        <f t="shared" si="52"/>
        <v>5938901.6137812501</v>
      </c>
      <c r="G65" s="514">
        <f t="shared" si="52"/>
        <v>5920166.9083750006</v>
      </c>
      <c r="H65" s="514">
        <f t="shared" si="52"/>
        <v>5901432.2029687501</v>
      </c>
      <c r="I65" s="514">
        <f t="shared" si="52"/>
        <v>5865366.6460813591</v>
      </c>
      <c r="J65" s="514">
        <f t="shared" si="52"/>
        <v>17908729.738381471</v>
      </c>
      <c r="K65" s="514">
        <f t="shared" si="52"/>
        <v>17841546.400681578</v>
      </c>
      <c r="L65" s="514">
        <f t="shared" si="52"/>
        <v>17733851.442981683</v>
      </c>
      <c r="M65" s="514">
        <f t="shared" si="52"/>
        <v>17670306.485281792</v>
      </c>
      <c r="N65" s="514">
        <f t="shared" si="52"/>
        <v>17611842.987581898</v>
      </c>
      <c r="O65" s="514">
        <f t="shared" si="52"/>
        <v>17551551.609882008</v>
      </c>
      <c r="P65" s="514">
        <f t="shared" si="52"/>
        <v>17489336.922182117</v>
      </c>
      <c r="Q65" s="514">
        <f t="shared" si="52"/>
        <v>17416339.324482229</v>
      </c>
      <c r="R65" s="514">
        <f t="shared" si="52"/>
        <v>17340315.926782336</v>
      </c>
      <c r="S65" s="514">
        <f t="shared" si="52"/>
        <v>17266309.729082443</v>
      </c>
      <c r="T65" s="514">
        <f t="shared" si="52"/>
        <v>17192303.531382553</v>
      </c>
      <c r="U65" s="514">
        <f t="shared" si="52"/>
        <v>17062301.70994518</v>
      </c>
      <c r="V65" s="514">
        <f t="shared" si="52"/>
        <v>24486673.758507803</v>
      </c>
      <c r="W65" s="514">
        <f t="shared" si="52"/>
        <v>24429340.277070429</v>
      </c>
      <c r="X65" s="514">
        <f t="shared" si="52"/>
        <v>24318257.995633055</v>
      </c>
      <c r="Y65" s="514">
        <f t="shared" si="52"/>
        <v>24184213.754195675</v>
      </c>
      <c r="Z65" s="514">
        <f t="shared" si="52"/>
        <v>23966145.732758302</v>
      </c>
      <c r="AA65" s="514">
        <f t="shared" si="52"/>
        <v>23836143.911320928</v>
      </c>
      <c r="AB65" s="514">
        <f t="shared" si="52"/>
        <v>23706142.089883551</v>
      </c>
      <c r="AC65" s="514">
        <f t="shared" si="52"/>
        <v>23576140.268446177</v>
      </c>
      <c r="AD65" s="514">
        <f t="shared" si="52"/>
        <v>23446138.447008803</v>
      </c>
      <c r="AE65" s="514">
        <f t="shared" si="52"/>
        <v>23316136.625571426</v>
      </c>
      <c r="AF65" s="514">
        <f t="shared" si="52"/>
        <v>23186134.804134052</v>
      </c>
      <c r="AG65" s="514">
        <f t="shared" si="52"/>
        <v>23020772.698623385</v>
      </c>
      <c r="AH65" s="514">
        <f t="shared" si="52"/>
        <v>29692247.78311272</v>
      </c>
      <c r="AI65" s="514">
        <f t="shared" si="52"/>
        <v>29532049.747602053</v>
      </c>
      <c r="AJ65" s="514">
        <f t="shared" si="52"/>
        <v>29370800.342091389</v>
      </c>
      <c r="AK65" s="514">
        <f t="shared" si="52"/>
        <v>29209681.506580722</v>
      </c>
      <c r="AL65" s="514">
        <f t="shared" si="52"/>
        <v>29049368.041070055</v>
      </c>
      <c r="AM65" s="514">
        <f t="shared" si="52"/>
        <v>28889602.185559388</v>
      </c>
      <c r="AN65" s="514">
        <f t="shared" si="52"/>
        <v>28727181.450048722</v>
      </c>
      <c r="AO65" s="514">
        <f t="shared" si="52"/>
        <v>28565491.674538054</v>
      </c>
      <c r="AP65" s="514">
        <f t="shared" si="52"/>
        <v>28404878.309027385</v>
      </c>
      <c r="AQ65" s="514">
        <f t="shared" si="52"/>
        <v>28243289.293516718</v>
      </c>
      <c r="AR65" s="514">
        <f t="shared" si="52"/>
        <v>28083390.06800605</v>
      </c>
      <c r="AS65" s="514">
        <f t="shared" si="52"/>
        <v>35055510.56574256</v>
      </c>
      <c r="AT65" s="514">
        <f t="shared" si="52"/>
        <v>35556944.273479067</v>
      </c>
      <c r="AU65" s="514">
        <f t="shared" si="52"/>
        <v>34647655.651215576</v>
      </c>
      <c r="AV65" s="514">
        <f t="shared" si="52"/>
        <v>34548409.318952084</v>
      </c>
      <c r="AW65" s="514">
        <f t="shared" si="52"/>
        <v>33707156.586688593</v>
      </c>
      <c r="AX65" s="514">
        <f t="shared" si="52"/>
        <v>33513136.604425102</v>
      </c>
      <c r="AY65" s="514">
        <f t="shared" si="52"/>
        <v>33318669.482161611</v>
      </c>
      <c r="AZ65" s="514">
        <f t="shared" si="52"/>
        <v>33124029.529898122</v>
      </c>
      <c r="BA65" s="514">
        <f t="shared" si="52"/>
        <v>32897422.537634633</v>
      </c>
      <c r="BB65" s="514">
        <f t="shared" si="52"/>
        <v>32702827.325371139</v>
      </c>
      <c r="BC65" s="514">
        <f t="shared" si="52"/>
        <v>32508495.993107647</v>
      </c>
      <c r="BD65" s="514">
        <f t="shared" si="52"/>
        <v>32314412.000844158</v>
      </c>
      <c r="BE65" s="514">
        <f t="shared" si="52"/>
        <v>38804532.467950583</v>
      </c>
      <c r="BF65" s="514">
        <f t="shared" si="52"/>
        <v>39371939.975057006</v>
      </c>
      <c r="BG65" s="514">
        <f t="shared" si="52"/>
        <v>39251219.272163436</v>
      </c>
      <c r="BH65" s="514">
        <f t="shared" si="52"/>
        <v>38969621.329269864</v>
      </c>
      <c r="BI65" s="514">
        <f t="shared" si="52"/>
        <v>39017024.126376286</v>
      </c>
      <c r="BJ65" s="514">
        <f t="shared" si="52"/>
        <v>39083777.153482713</v>
      </c>
      <c r="BK65" s="514">
        <f t="shared" si="52"/>
        <v>39107280.600589134</v>
      </c>
      <c r="BL65" s="514">
        <f t="shared" si="52"/>
        <v>39363602.607695557</v>
      </c>
      <c r="BM65" s="514">
        <f t="shared" si="52"/>
        <v>39568143.744801983</v>
      </c>
      <c r="BN65" s="514">
        <f t="shared" si="52"/>
        <v>40008089.941908404</v>
      </c>
      <c r="BO65" s="514">
        <f t="shared" si="52"/>
        <v>40571432.93901483</v>
      </c>
      <c r="BP65" s="514">
        <f t="shared" ref="BP65:CD65" si="53">BP31-BP48</f>
        <v>40809897.866121255</v>
      </c>
      <c r="BQ65" s="514">
        <f t="shared" si="53"/>
        <v>40623500.260492176</v>
      </c>
      <c r="BR65" s="514">
        <f t="shared" si="53"/>
        <v>40198370.634863086</v>
      </c>
      <c r="BS65" s="514">
        <f t="shared" si="53"/>
        <v>39961009.719234005</v>
      </c>
      <c r="BT65" s="514">
        <f t="shared" si="53"/>
        <v>39599057.083604917</v>
      </c>
      <c r="BU65" s="514">
        <f t="shared" si="53"/>
        <v>39302606.027975827</v>
      </c>
      <c r="BV65" s="514">
        <f t="shared" si="53"/>
        <v>38987847.082346745</v>
      </c>
      <c r="BW65" s="514">
        <f t="shared" si="53"/>
        <v>38686362.886717662</v>
      </c>
      <c r="BX65" s="514">
        <f t="shared" si="53"/>
        <v>38381705.971088573</v>
      </c>
      <c r="BY65" s="514">
        <f t="shared" si="53"/>
        <v>38066161.995459482</v>
      </c>
      <c r="BZ65" s="514">
        <f t="shared" si="53"/>
        <v>37758217.139830403</v>
      </c>
      <c r="CA65" s="514">
        <f t="shared" si="53"/>
        <v>37452606.484201312</v>
      </c>
      <c r="CB65" s="514">
        <f t="shared" si="53"/>
        <v>55300872.738572232</v>
      </c>
      <c r="CC65" s="514">
        <f t="shared" si="53"/>
        <v>55172867.521312326</v>
      </c>
      <c r="CD65" s="514">
        <f t="shared" si="53"/>
        <v>54842956.744052425</v>
      </c>
    </row>
    <row r="66" spans="2:82">
      <c r="B66" s="595"/>
      <c r="C66" s="426"/>
      <c r="D66" s="430">
        <f t="shared" ref="D66:I66" si="54">+(D65-D64)*0.21</f>
        <v>-3934.2881353125904</v>
      </c>
      <c r="E66" s="430">
        <f t="shared" si="54"/>
        <v>-4175.5911409450418</v>
      </c>
      <c r="F66" s="430">
        <f t="shared" si="54"/>
        <v>-4416.8941465774924</v>
      </c>
      <c r="G66" s="430">
        <f t="shared" si="54"/>
        <v>-4658.1971522099429</v>
      </c>
      <c r="H66" s="430">
        <f t="shared" si="54"/>
        <v>-4899.500157842589</v>
      </c>
      <c r="I66" s="430">
        <f t="shared" si="54"/>
        <v>-8780.281974514759</v>
      </c>
      <c r="J66" s="430">
        <f>+(J65-J64)*0.21</f>
        <v>-20628.598361812008</v>
      </c>
      <c r="K66" s="430">
        <f>+(K65-K64)*0.21</f>
        <v>-25012.615266469158</v>
      </c>
      <c r="L66" s="430">
        <f t="shared" ref="L66:AO66" si="55">+(L65-L64)*0.21</f>
        <v>-29392.429289366526</v>
      </c>
      <c r="M66" s="430">
        <f t="shared" si="55"/>
        <v>-33792.995588423495</v>
      </c>
      <c r="N66" s="430">
        <f t="shared" si="55"/>
        <v>-38187.1177636414</v>
      </c>
      <c r="O66" s="430">
        <f t="shared" si="55"/>
        <v>-42571.665635657831</v>
      </c>
      <c r="P66" s="430">
        <f t="shared" si="55"/>
        <v>-46947.765178555768</v>
      </c>
      <c r="Q66" s="430">
        <f t="shared" si="55"/>
        <v>-51316.601151292474</v>
      </c>
      <c r="R66" s="430">
        <f t="shared" si="55"/>
        <v>-55684.815826429724</v>
      </c>
      <c r="S66" s="430">
        <f t="shared" si="55"/>
        <v>-60054.273096767436</v>
      </c>
      <c r="T66" s="430">
        <f t="shared" si="55"/>
        <v>-64423.73036710437</v>
      </c>
      <c r="U66" s="430">
        <f t="shared" si="55"/>
        <v>-80552.268622312986</v>
      </c>
      <c r="V66" s="430">
        <f t="shared" si="55"/>
        <v>-96680.806877522395</v>
      </c>
      <c r="W66" s="430">
        <f t="shared" si="55"/>
        <v>-108155.85082881096</v>
      </c>
      <c r="X66" s="430">
        <f t="shared" si="55"/>
        <v>-119586.13108265954</v>
      </c>
      <c r="Y66" s="430">
        <f t="shared" si="55"/>
        <v>-131004.75689986824</v>
      </c>
      <c r="Z66" s="430">
        <f t="shared" si="55"/>
        <v>-142425.87284779662</v>
      </c>
      <c r="AA66" s="430">
        <f t="shared" si="55"/>
        <v>-153901.23757492538</v>
      </c>
      <c r="AB66" s="430">
        <f t="shared" si="55"/>
        <v>-165376.6023020549</v>
      </c>
      <c r="AC66" s="430">
        <f t="shared" si="55"/>
        <v>-176851.96702918288</v>
      </c>
      <c r="AD66" s="430">
        <f t="shared" si="55"/>
        <v>-188327.33175631161</v>
      </c>
      <c r="AE66" s="430">
        <f t="shared" si="55"/>
        <v>-199802.69648344113</v>
      </c>
      <c r="AF66" s="430">
        <f t="shared" si="55"/>
        <v>-211278.06121056911</v>
      </c>
      <c r="AG66" s="430">
        <f t="shared" si="55"/>
        <v>-230179.0855930894</v>
      </c>
      <c r="AH66" s="430">
        <f t="shared" si="55"/>
        <v>-249080.10997560972</v>
      </c>
      <c r="AI66" s="430">
        <f t="shared" si="55"/>
        <v>-263769.64264908992</v>
      </c>
      <c r="AJ66" s="430">
        <f t="shared" si="55"/>
        <v>-278455.99425544892</v>
      </c>
      <c r="AK66" s="430">
        <f t="shared" si="55"/>
        <v>-293139.81243860902</v>
      </c>
      <c r="AL66" s="430">
        <f t="shared" si="55"/>
        <v>-307821.01676744875</v>
      </c>
      <c r="AM66" s="430">
        <f t="shared" si="55"/>
        <v>-322499.11113404908</v>
      </c>
      <c r="AN66" s="430">
        <f t="shared" si="55"/>
        <v>-337173.75821064878</v>
      </c>
      <c r="AO66" s="430">
        <f t="shared" si="55"/>
        <v>-351846.59340332943</v>
      </c>
      <c r="AP66" s="430">
        <f>+(AP65-AP64)*0.21</f>
        <v>-366517.1664407294</v>
      </c>
      <c r="AQ66" s="430">
        <f>+(AQ65-AQ64)*0.21</f>
        <v>-381184.81425428978</v>
      </c>
      <c r="AR66" s="430">
        <f t="shared" ref="AR66:CD66" si="56">+(AR65-AR64)*0.21</f>
        <v>-395850.13784440968</v>
      </c>
      <c r="AS66" s="430">
        <f>+(AS65-AS64)*0.21</f>
        <v>-416735.74171854276</v>
      </c>
      <c r="AT66" s="430">
        <f t="shared" si="56"/>
        <v>-433206.40028251603</v>
      </c>
      <c r="AU66" s="430">
        <f t="shared" si="56"/>
        <v>-449248.05659896909</v>
      </c>
      <c r="AV66" s="430">
        <f t="shared" si="56"/>
        <v>-465729.71562318207</v>
      </c>
      <c r="AW66" s="430">
        <f t="shared" si="56"/>
        <v>-482152.39130451588</v>
      </c>
      <c r="AX66" s="430">
        <f t="shared" si="56"/>
        <v>-498973.15958536841</v>
      </c>
      <c r="AY66" s="430">
        <f t="shared" si="56"/>
        <v>-515793.32509174233</v>
      </c>
      <c r="AZ66" s="430">
        <f t="shared" si="56"/>
        <v>-532613.16326187504</v>
      </c>
      <c r="BA66" s="430">
        <f t="shared" si="56"/>
        <v>-549432.78055904945</v>
      </c>
      <c r="BB66" s="430">
        <f t="shared" si="56"/>
        <v>-566271.86867990228</v>
      </c>
      <c r="BC66" s="430">
        <f t="shared" si="56"/>
        <v>-583110.70836795482</v>
      </c>
      <c r="BD66" s="430">
        <f t="shared" si="56"/>
        <v>-599949.13707312848</v>
      </c>
      <c r="BE66" s="430">
        <f t="shared" si="56"/>
        <v>-625463.10426629882</v>
      </c>
      <c r="BF66" s="430">
        <f t="shared" si="56"/>
        <v>-646833.58826947084</v>
      </c>
      <c r="BG66" s="430">
        <f t="shared" si="56"/>
        <v>-667708.98026600049</v>
      </c>
      <c r="BH66" s="430">
        <f t="shared" si="56"/>
        <v>-688513.16723325069</v>
      </c>
      <c r="BI66" s="430">
        <f t="shared" si="56"/>
        <v>-709345.24955106119</v>
      </c>
      <c r="BJ66" s="430">
        <f t="shared" si="56"/>
        <v>-730002.56276359269</v>
      </c>
      <c r="BK66" s="430">
        <f t="shared" si="56"/>
        <v>-750473.18712916307</v>
      </c>
      <c r="BL66" s="430">
        <f t="shared" si="56"/>
        <v>-770783.76438905415</v>
      </c>
      <c r="BM66" s="430">
        <f t="shared" si="56"/>
        <v>-790790.87831030553</v>
      </c>
      <c r="BN66" s="430">
        <f t="shared" si="56"/>
        <v>-810526.425908837</v>
      </c>
      <c r="BO66" s="430">
        <f t="shared" si="56"/>
        <v>-829845.3976676868</v>
      </c>
      <c r="BP66" s="430">
        <f t="shared" si="56"/>
        <v>-848671.78115805879</v>
      </c>
      <c r="BQ66" s="430">
        <f t="shared" si="56"/>
        <v>-882878.45754552574</v>
      </c>
      <c r="BR66" s="430">
        <f t="shared" si="56"/>
        <v>-917008.41245739406</v>
      </c>
      <c r="BS66" s="430">
        <f t="shared" si="56"/>
        <v>-951208.70481798111</v>
      </c>
      <c r="BT66" s="430">
        <f t="shared" si="56"/>
        <v>-985363.66910192952</v>
      </c>
      <c r="BU66" s="430">
        <f t="shared" si="56"/>
        <v>-1019550.0538087577</v>
      </c>
      <c r="BV66" s="430">
        <f t="shared" si="56"/>
        <v>-1053727.5099651851</v>
      </c>
      <c r="BW66" s="430">
        <f t="shared" si="56"/>
        <v>-1087907.3152314511</v>
      </c>
      <c r="BX66" s="430">
        <f t="shared" si="56"/>
        <v>-1122081.2923615591</v>
      </c>
      <c r="BY66" s="430">
        <f t="shared" si="56"/>
        <v>-1156251.3957510276</v>
      </c>
      <c r="BZ66" s="430">
        <f t="shared" si="56"/>
        <v>-1190424.3318288156</v>
      </c>
      <c r="CA66" s="430">
        <f t="shared" si="56"/>
        <v>-1224595.4195370032</v>
      </c>
      <c r="CB66" s="430">
        <f t="shared" si="56"/>
        <v>-1258763.22100839</v>
      </c>
      <c r="CC66" s="430">
        <f t="shared" si="56"/>
        <v>-1288958.2510088894</v>
      </c>
      <c r="CD66" s="430">
        <f t="shared" si="56"/>
        <v>-1319019.4308005886</v>
      </c>
    </row>
    <row r="67" spans="2:82">
      <c r="D67" s="448">
        <f t="shared" ref="D67:BO67" si="57">+D61-D66</f>
        <v>9.049472282640636E-11</v>
      </c>
      <c r="E67" s="448">
        <f t="shared" si="57"/>
        <v>4.2746250983327627E-11</v>
      </c>
      <c r="F67" s="448">
        <f t="shared" si="57"/>
        <v>-7.2759576141834259E-12</v>
      </c>
      <c r="G67" s="448">
        <f t="shared" si="57"/>
        <v>-5.5479176808148623E-11</v>
      </c>
      <c r="H67" s="448">
        <f t="shared" si="57"/>
        <v>9.0949470177292824E-11</v>
      </c>
      <c r="I67" s="448">
        <f t="shared" si="57"/>
        <v>0</v>
      </c>
      <c r="J67" s="448">
        <f t="shared" si="57"/>
        <v>0</v>
      </c>
      <c r="K67" s="448">
        <f t="shared" si="57"/>
        <v>-9.0949470177292824E-11</v>
      </c>
      <c r="L67" s="448">
        <f t="shared" si="57"/>
        <v>0</v>
      </c>
      <c r="M67" s="448">
        <f t="shared" si="57"/>
        <v>-2.4738255888223648E-10</v>
      </c>
      <c r="N67" s="448">
        <f t="shared" si="57"/>
        <v>4.1472958400845528E-10</v>
      </c>
      <c r="O67" s="448">
        <f t="shared" si="57"/>
        <v>-3.92901711165905E-10</v>
      </c>
      <c r="P67" s="448">
        <f t="shared" si="57"/>
        <v>3.0559021979570389E-10</v>
      </c>
      <c r="Q67" s="448">
        <f>+Q61-Q66</f>
        <v>-2.255546860396862E-10</v>
      </c>
      <c r="R67" s="448">
        <f t="shared" si="57"/>
        <v>-2.1827872842550278E-10</v>
      </c>
      <c r="S67" s="448">
        <f>+S61-S66</f>
        <v>2.4010660126805305E-10</v>
      </c>
      <c r="T67" s="448">
        <f t="shared" si="57"/>
        <v>-7.2759576141834259E-11</v>
      </c>
      <c r="U67" s="448">
        <f t="shared" si="57"/>
        <v>-2.0372681319713593E-10</v>
      </c>
      <c r="V67" s="448">
        <f t="shared" si="57"/>
        <v>4.6566128730773926E-10</v>
      </c>
      <c r="W67" s="448">
        <f t="shared" si="57"/>
        <v>2.9103830456733704E-10</v>
      </c>
      <c r="X67" s="448">
        <f t="shared" si="57"/>
        <v>1.4551915228366852E-10</v>
      </c>
      <c r="Y67" s="448">
        <f t="shared" si="57"/>
        <v>1.1641532182693481E-10</v>
      </c>
      <c r="Z67" s="448">
        <f t="shared" si="57"/>
        <v>-2.3283064365386963E-10</v>
      </c>
      <c r="AA67" s="448">
        <f t="shared" si="57"/>
        <v>0</v>
      </c>
      <c r="AB67" s="448">
        <f t="shared" si="57"/>
        <v>5.8207660913467407E-10</v>
      </c>
      <c r="AC67" s="448">
        <f t="shared" si="57"/>
        <v>0</v>
      </c>
      <c r="AD67" s="448">
        <f t="shared" si="57"/>
        <v>-2.3283064365386963E-10</v>
      </c>
      <c r="AE67" s="448">
        <f t="shared" si="57"/>
        <v>4.9476511776447296E-10</v>
      </c>
      <c r="AF67" s="448">
        <f t="shared" si="57"/>
        <v>-3.2014213502407074E-10</v>
      </c>
      <c r="AG67" s="448">
        <f t="shared" si="57"/>
        <v>0</v>
      </c>
      <c r="AH67" s="448">
        <f t="shared" si="57"/>
        <v>3.2014213502407074E-10</v>
      </c>
      <c r="AI67" s="448">
        <f t="shared" si="57"/>
        <v>5.8207660913467407E-10</v>
      </c>
      <c r="AJ67" s="448">
        <f t="shared" si="57"/>
        <v>0</v>
      </c>
      <c r="AK67" s="448">
        <f t="shared" si="57"/>
        <v>0</v>
      </c>
      <c r="AL67" s="448">
        <f t="shared" si="57"/>
        <v>-5.2386894822120667E-10</v>
      </c>
      <c r="AM67" s="448">
        <f t="shared" si="57"/>
        <v>0</v>
      </c>
      <c r="AN67" s="448">
        <f t="shared" si="57"/>
        <v>0</v>
      </c>
      <c r="AO67" s="448">
        <f t="shared" si="57"/>
        <v>0</v>
      </c>
      <c r="AP67" s="448">
        <f t="shared" si="57"/>
        <v>0</v>
      </c>
      <c r="AQ67" s="448">
        <f t="shared" si="57"/>
        <v>5.8207660913467407E-10</v>
      </c>
      <c r="AR67" s="448">
        <f t="shared" si="57"/>
        <v>0</v>
      </c>
      <c r="AS67" s="448">
        <f t="shared" si="57"/>
        <v>0</v>
      </c>
      <c r="AT67" s="448">
        <f t="shared" si="57"/>
        <v>0</v>
      </c>
      <c r="AU67" s="448">
        <f t="shared" si="57"/>
        <v>0</v>
      </c>
      <c r="AV67" s="448">
        <f t="shared" si="57"/>
        <v>0</v>
      </c>
      <c r="AW67" s="448">
        <f t="shared" si="57"/>
        <v>0</v>
      </c>
      <c r="AX67" s="448">
        <f t="shared" si="57"/>
        <v>-4.6566128730773926E-10</v>
      </c>
      <c r="AY67" s="448">
        <f t="shared" si="57"/>
        <v>0</v>
      </c>
      <c r="AZ67" s="448">
        <f t="shared" si="57"/>
        <v>0</v>
      </c>
      <c r="BA67" s="448">
        <f>+BA61-BA66</f>
        <v>0</v>
      </c>
      <c r="BB67" s="448">
        <f t="shared" si="57"/>
        <v>0</v>
      </c>
      <c r="BC67" s="448">
        <f t="shared" si="57"/>
        <v>0</v>
      </c>
      <c r="BD67" s="448">
        <f t="shared" si="57"/>
        <v>0</v>
      </c>
      <c r="BE67" s="448">
        <f t="shared" si="57"/>
        <v>0</v>
      </c>
      <c r="BF67" s="448">
        <f t="shared" si="57"/>
        <v>9.3132257461547852E-10</v>
      </c>
      <c r="BG67" s="448">
        <f t="shared" si="57"/>
        <v>0</v>
      </c>
      <c r="BH67" s="448">
        <f t="shared" si="57"/>
        <v>0</v>
      </c>
      <c r="BI67" s="448">
        <f t="shared" si="57"/>
        <v>-9.3132257461547852E-10</v>
      </c>
      <c r="BJ67" s="448">
        <f t="shared" si="57"/>
        <v>0</v>
      </c>
      <c r="BK67" s="448">
        <f t="shared" si="57"/>
        <v>0</v>
      </c>
      <c r="BL67" s="448">
        <f t="shared" si="57"/>
        <v>0</v>
      </c>
      <c r="BM67" s="448">
        <f t="shared" si="57"/>
        <v>0</v>
      </c>
      <c r="BN67" s="448">
        <f t="shared" si="57"/>
        <v>0</v>
      </c>
      <c r="BO67" s="448">
        <f t="shared" si="57"/>
        <v>0</v>
      </c>
      <c r="BP67" s="448">
        <f t="shared" ref="BP67:CD67" si="58">+BP61-BP66</f>
        <v>0</v>
      </c>
      <c r="BQ67" s="448">
        <f t="shared" si="58"/>
        <v>0</v>
      </c>
      <c r="BR67" s="448">
        <f t="shared" si="58"/>
        <v>0</v>
      </c>
      <c r="BS67" s="448">
        <f t="shared" si="58"/>
        <v>0</v>
      </c>
      <c r="BT67" s="448">
        <f t="shared" si="58"/>
        <v>0</v>
      </c>
      <c r="BU67" s="448">
        <f t="shared" si="58"/>
        <v>1.1641532182693481E-9</v>
      </c>
      <c r="BV67" s="448">
        <f t="shared" si="58"/>
        <v>0</v>
      </c>
      <c r="BW67" s="448">
        <f t="shared" si="58"/>
        <v>0</v>
      </c>
      <c r="BX67" s="448">
        <f t="shared" si="58"/>
        <v>0</v>
      </c>
      <c r="BY67" s="448">
        <f t="shared" si="58"/>
        <v>0</v>
      </c>
      <c r="BZ67" s="448">
        <f t="shared" si="58"/>
        <v>0</v>
      </c>
      <c r="CA67" s="448">
        <f t="shared" si="58"/>
        <v>0</v>
      </c>
      <c r="CB67" s="448">
        <f t="shared" si="58"/>
        <v>0</v>
      </c>
      <c r="CC67" s="448">
        <f t="shared" si="58"/>
        <v>0</v>
      </c>
      <c r="CD67" s="448">
        <f t="shared" si="58"/>
        <v>0</v>
      </c>
    </row>
    <row r="68" spans="2:82">
      <c r="D68" s="448"/>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H68" s="448"/>
      <c r="AI68" s="448"/>
      <c r="AJ68" s="448"/>
      <c r="AK68" s="448"/>
      <c r="AL68" s="448"/>
      <c r="AM68" s="448"/>
      <c r="AN68" s="448"/>
      <c r="AO68" s="448"/>
      <c r="AP68" s="448"/>
      <c r="AQ68" s="448"/>
      <c r="AR68" s="448"/>
      <c r="AS68" s="448"/>
      <c r="AT68" s="448"/>
      <c r="AU68" s="448"/>
      <c r="AV68" s="448"/>
      <c r="AW68" s="448"/>
      <c r="AX68" s="448"/>
      <c r="AY68" s="448"/>
      <c r="AZ68" s="448"/>
      <c r="BA68" s="448"/>
      <c r="BB68" s="448"/>
      <c r="BC68" s="448"/>
      <c r="BD68" s="448"/>
      <c r="BE68" s="448"/>
      <c r="BF68" s="448"/>
      <c r="BG68" s="448"/>
      <c r="BH68" s="448"/>
      <c r="BI68" s="448"/>
      <c r="BJ68" s="448"/>
      <c r="BK68" s="448"/>
      <c r="BL68" s="448"/>
      <c r="BM68" s="448"/>
      <c r="BN68" s="448"/>
      <c r="BO68" s="448"/>
      <c r="BP68" s="448"/>
      <c r="BQ68" s="448"/>
      <c r="BR68" s="448"/>
      <c r="BS68" s="448"/>
      <c r="BT68" s="448"/>
      <c r="BU68" s="448"/>
      <c r="BV68" s="448"/>
      <c r="BW68" s="448"/>
      <c r="BX68" s="448"/>
      <c r="BY68" s="448"/>
      <c r="BZ68" s="448"/>
      <c r="CA68" s="448"/>
      <c r="CB68" s="448"/>
      <c r="CC68" s="448"/>
      <c r="CD68" s="448"/>
    </row>
    <row r="69" spans="2:82">
      <c r="B69" s="431" t="s">
        <v>1386</v>
      </c>
      <c r="D69" s="448">
        <f t="shared" ref="D69:BO69" si="59">+D31-D38+D61</f>
        <v>5991171.4418646879</v>
      </c>
      <c r="E69" s="448">
        <f t="shared" si="59"/>
        <v>5973344.4953843886</v>
      </c>
      <c r="F69" s="448">
        <f t="shared" si="59"/>
        <v>5955517.5489040893</v>
      </c>
      <c r="G69" s="448">
        <f t="shared" si="59"/>
        <v>5937690.6024237899</v>
      </c>
      <c r="H69" s="448">
        <f t="shared" si="59"/>
        <v>5919863.6559434915</v>
      </c>
      <c r="I69" s="448">
        <f t="shared" si="59"/>
        <v>5898397.2306521526</v>
      </c>
      <c r="J69" s="448">
        <f t="shared" si="59"/>
        <v>17986332.560790192</v>
      </c>
      <c r="K69" s="448">
        <f t="shared" si="59"/>
        <v>17935641.4771602</v>
      </c>
      <c r="L69" s="448">
        <f t="shared" si="59"/>
        <v>17844422.962689299</v>
      </c>
      <c r="M69" s="448">
        <f t="shared" si="59"/>
        <v>17797432.516304906</v>
      </c>
      <c r="N69" s="448">
        <f t="shared" si="59"/>
        <v>17755499.287740357</v>
      </c>
      <c r="O69" s="448">
        <f t="shared" si="59"/>
        <v>17711702.161559008</v>
      </c>
      <c r="P69" s="448">
        <f t="shared" si="59"/>
        <v>17665949.943568114</v>
      </c>
      <c r="Q69" s="448">
        <f t="shared" si="59"/>
        <v>17609387.490718044</v>
      </c>
      <c r="R69" s="448">
        <f t="shared" si="59"/>
        <v>17549796.900605571</v>
      </c>
      <c r="S69" s="448">
        <f t="shared" si="59"/>
        <v>17492228.185017902</v>
      </c>
      <c r="T69" s="448">
        <f t="shared" si="59"/>
        <v>17434659.469430231</v>
      </c>
      <c r="U69" s="448">
        <f t="shared" si="59"/>
        <v>17365331.672857691</v>
      </c>
      <c r="V69" s="448">
        <f t="shared" si="59"/>
        <v>24850377.746285148</v>
      </c>
      <c r="W69" s="448">
        <f t="shared" si="59"/>
        <v>24836212.287331194</v>
      </c>
      <c r="X69" s="448">
        <f t="shared" si="59"/>
        <v>24768129.63161068</v>
      </c>
      <c r="Y69" s="448">
        <f t="shared" si="59"/>
        <v>24677041.173009466</v>
      </c>
      <c r="Z69" s="448">
        <f t="shared" si="59"/>
        <v>24501938.302042872</v>
      </c>
      <c r="AA69" s="448">
        <f t="shared" si="59"/>
        <v>24415105.709817078</v>
      </c>
      <c r="AB69" s="448">
        <f t="shared" si="59"/>
        <v>24328273.11759128</v>
      </c>
      <c r="AC69" s="448">
        <f t="shared" si="59"/>
        <v>24241440.525365483</v>
      </c>
      <c r="AD69" s="448">
        <f t="shared" si="59"/>
        <v>24154607.933139689</v>
      </c>
      <c r="AE69" s="448">
        <f t="shared" si="59"/>
        <v>24067775.340913896</v>
      </c>
      <c r="AF69" s="448">
        <f t="shared" si="59"/>
        <v>23980942.748688098</v>
      </c>
      <c r="AG69" s="448">
        <f t="shared" si="59"/>
        <v>23886684.496806912</v>
      </c>
      <c r="AH69" s="448">
        <f t="shared" si="59"/>
        <v>30629263.434925728</v>
      </c>
      <c r="AI69" s="448">
        <f t="shared" si="59"/>
        <v>30524326.022329584</v>
      </c>
      <c r="AJ69" s="448">
        <f t="shared" si="59"/>
        <v>30418325.272861887</v>
      </c>
      <c r="AK69" s="448">
        <f t="shared" si="59"/>
        <v>30312445.562897392</v>
      </c>
      <c r="AL69" s="448">
        <f t="shared" si="59"/>
        <v>30207361.389861885</v>
      </c>
      <c r="AM69" s="448">
        <f t="shared" si="59"/>
        <v>30102813.127444621</v>
      </c>
      <c r="AN69" s="448">
        <f t="shared" si="59"/>
        <v>29995597.016650688</v>
      </c>
      <c r="AO69" s="448">
        <f t="shared" si="59"/>
        <v>29889105.049722008</v>
      </c>
      <c r="AP69" s="448">
        <f t="shared" si="59"/>
        <v>29783680.982780606</v>
      </c>
      <c r="AQ69" s="448">
        <f t="shared" si="59"/>
        <v>29677270.261425715</v>
      </c>
      <c r="AR69" s="448">
        <f t="shared" si="59"/>
        <v>29572540.586563591</v>
      </c>
      <c r="AS69" s="448">
        <f t="shared" si="59"/>
        <v>36623230.736969456</v>
      </c>
      <c r="AT69" s="448">
        <f t="shared" si="59"/>
        <v>37186625.493589483</v>
      </c>
      <c r="AU69" s="448">
        <f t="shared" si="59"/>
        <v>36337684.054611698</v>
      </c>
      <c r="AV69" s="448">
        <f t="shared" si="59"/>
        <v>36300440.15391548</v>
      </c>
      <c r="AW69" s="448">
        <f t="shared" si="59"/>
        <v>35520967.96350082</v>
      </c>
      <c r="AX69" s="448">
        <f t="shared" si="59"/>
        <v>35390226.109531961</v>
      </c>
      <c r="AY69" s="448">
        <f t="shared" si="59"/>
        <v>35259034.847982928</v>
      </c>
      <c r="AZ69" s="448">
        <f t="shared" si="59"/>
        <v>35127669.525026128</v>
      </c>
      <c r="BA69" s="448">
        <f t="shared" si="59"/>
        <v>34964336.331166297</v>
      </c>
      <c r="BB69" s="448">
        <f t="shared" si="59"/>
        <v>34833088.16469077</v>
      </c>
      <c r="BC69" s="448">
        <f t="shared" si="59"/>
        <v>34702102.943634711</v>
      </c>
      <c r="BD69" s="448">
        <f t="shared" si="59"/>
        <v>34571363.516500212</v>
      </c>
      <c r="BE69" s="448">
        <f t="shared" si="59"/>
        <v>41157465.098285705</v>
      </c>
      <c r="BF69" s="448">
        <f t="shared" si="59"/>
        <v>41805266.330927871</v>
      </c>
      <c r="BG69" s="448">
        <f t="shared" si="59"/>
        <v>41763076.864592679</v>
      </c>
      <c r="BH69" s="448">
        <f t="shared" si="59"/>
        <v>41559742.291718759</v>
      </c>
      <c r="BI69" s="448">
        <f t="shared" si="59"/>
        <v>41685513.398496941</v>
      </c>
      <c r="BJ69" s="448">
        <f t="shared" si="59"/>
        <v>41829977.270545751</v>
      </c>
      <c r="BK69" s="448">
        <f t="shared" si="59"/>
        <v>41930489.256932177</v>
      </c>
      <c r="BL69" s="448">
        <f t="shared" si="59"/>
        <v>42263217.721349619</v>
      </c>
      <c r="BM69" s="448">
        <f t="shared" si="59"/>
        <v>42543023.715588368</v>
      </c>
      <c r="BN69" s="448">
        <f t="shared" si="59"/>
        <v>43057213.163184509</v>
      </c>
      <c r="BO69" s="448">
        <f t="shared" si="59"/>
        <v>43693232.292145655</v>
      </c>
      <c r="BP69" s="448">
        <f t="shared" ref="BP69:CD69" si="60">+BP31-BP38+BP61</f>
        <v>44002520.280953951</v>
      </c>
      <c r="BQ69" s="448">
        <f t="shared" si="60"/>
        <v>43944804.93411582</v>
      </c>
      <c r="BR69" s="448">
        <f t="shared" si="60"/>
        <v>43648068.948393285</v>
      </c>
      <c r="BS69" s="448">
        <f t="shared" si="60"/>
        <v>43539366.275454029</v>
      </c>
      <c r="BT69" s="448">
        <f t="shared" si="60"/>
        <v>43305901.362607412</v>
      </c>
      <c r="BU69" s="448">
        <f t="shared" si="60"/>
        <v>43138056.230399251</v>
      </c>
      <c r="BV69" s="448">
        <f t="shared" si="60"/>
        <v>42951869.619834825</v>
      </c>
      <c r="BW69" s="448">
        <f t="shared" si="60"/>
        <v>42778966.596397884</v>
      </c>
      <c r="BX69" s="448">
        <f t="shared" si="60"/>
        <v>42602868.928067774</v>
      </c>
      <c r="BY69" s="448">
        <f t="shared" si="60"/>
        <v>42415869.627094299</v>
      </c>
      <c r="BZ69" s="448">
        <f t="shared" si="60"/>
        <v>42236480.102424517</v>
      </c>
      <c r="CA69" s="448">
        <f t="shared" si="60"/>
        <v>42059417.824364327</v>
      </c>
      <c r="CB69" s="448">
        <f t="shared" si="60"/>
        <v>60036220.093794271</v>
      </c>
      <c r="CC69" s="448">
        <f t="shared" si="60"/>
        <v>60021805.7036791</v>
      </c>
      <c r="CD69" s="448">
        <f t="shared" si="60"/>
        <v>59804982.221826069</v>
      </c>
    </row>
    <row r="70" spans="2:82">
      <c r="J70" s="448"/>
      <c r="K70" s="448"/>
      <c r="L70" s="448"/>
    </row>
    <row r="75" spans="2:82" ht="13.5" thickBot="1">
      <c r="K75" s="431" t="s">
        <v>1387</v>
      </c>
      <c r="L75" s="431" t="s">
        <v>1388</v>
      </c>
      <c r="M75" s="431" t="s">
        <v>1389</v>
      </c>
      <c r="N75" s="431" t="s">
        <v>1390</v>
      </c>
      <c r="O75" s="431" t="s">
        <v>1391</v>
      </c>
      <c r="P75" s="431" t="s">
        <v>1392</v>
      </c>
      <c r="Q75" s="431" t="s">
        <v>1393</v>
      </c>
      <c r="R75" s="431" t="s">
        <v>1394</v>
      </c>
      <c r="S75" s="431" t="s">
        <v>1395</v>
      </c>
      <c r="T75" s="431" t="s">
        <v>1396</v>
      </c>
      <c r="U75" s="431" t="s">
        <v>1397</v>
      </c>
      <c r="V75" s="431" t="s">
        <v>1398</v>
      </c>
      <c r="W75" s="431" t="s">
        <v>1399</v>
      </c>
      <c r="X75" s="431" t="s">
        <v>1400</v>
      </c>
      <c r="Y75" s="431" t="s">
        <v>1401</v>
      </c>
      <c r="Z75" s="431" t="s">
        <v>1402</v>
      </c>
      <c r="AA75" s="431" t="s">
        <v>1403</v>
      </c>
      <c r="AB75" s="431" t="s">
        <v>1404</v>
      </c>
      <c r="AC75" s="431" t="s">
        <v>1405</v>
      </c>
      <c r="AD75" s="431" t="s">
        <v>1406</v>
      </c>
      <c r="AE75" s="431" t="s">
        <v>1407</v>
      </c>
      <c r="AF75" s="431" t="s">
        <v>833</v>
      </c>
    </row>
    <row r="76" spans="2:82">
      <c r="B76" s="431" t="s">
        <v>1408</v>
      </c>
      <c r="C76" s="515" t="s">
        <v>1409</v>
      </c>
      <c r="D76" s="516"/>
      <c r="E76" s="516"/>
      <c r="F76" s="516"/>
      <c r="G76" s="516"/>
      <c r="H76" s="516"/>
      <c r="I76" s="516"/>
      <c r="J76" s="517"/>
      <c r="K76" s="517">
        <v>0.2</v>
      </c>
      <c r="L76" s="517">
        <v>0.32</v>
      </c>
      <c r="M76" s="517">
        <v>0.192</v>
      </c>
      <c r="N76" s="517">
        <v>0.1152</v>
      </c>
      <c r="O76" s="517">
        <v>0.1152</v>
      </c>
      <c r="P76" s="517">
        <v>5.7599999999999998E-2</v>
      </c>
      <c r="Q76" s="518"/>
      <c r="R76" s="519"/>
      <c r="S76" s="519"/>
      <c r="T76" s="520"/>
      <c r="U76" s="520"/>
      <c r="V76" s="520"/>
      <c r="W76" s="520"/>
      <c r="X76" s="520"/>
      <c r="Y76" s="520"/>
      <c r="Z76" s="520"/>
      <c r="AA76" s="520"/>
      <c r="AB76" s="520"/>
      <c r="AC76" s="520"/>
      <c r="AD76" s="520"/>
      <c r="AE76" s="521"/>
      <c r="AF76" s="522">
        <f>SUM(K76:AE76)</f>
        <v>0.99999999999999989</v>
      </c>
    </row>
    <row r="77" spans="2:82">
      <c r="C77" s="523" t="s">
        <v>1410</v>
      </c>
      <c r="D77" s="503"/>
      <c r="E77" s="503"/>
      <c r="F77" s="503"/>
      <c r="G77" s="503"/>
      <c r="H77" s="503"/>
      <c r="I77" s="503"/>
      <c r="J77" s="524"/>
      <c r="K77" s="524">
        <v>0.1429</v>
      </c>
      <c r="L77" s="524">
        <v>0.24490000000000001</v>
      </c>
      <c r="M77" s="524">
        <v>0.1749</v>
      </c>
      <c r="N77" s="524">
        <v>0.1249</v>
      </c>
      <c r="O77" s="524">
        <v>8.9300000000000004E-2</v>
      </c>
      <c r="P77" s="524">
        <v>8.9200000000000002E-2</v>
      </c>
      <c r="Q77" s="524">
        <v>8.9300000000000004E-2</v>
      </c>
      <c r="R77" s="524">
        <v>4.4600000000000001E-2</v>
      </c>
      <c r="S77" s="525"/>
      <c r="T77" s="526"/>
      <c r="U77" s="526"/>
      <c r="V77" s="526"/>
      <c r="W77" s="526"/>
      <c r="X77" s="526"/>
      <c r="Y77" s="526"/>
      <c r="Z77" s="526"/>
      <c r="AA77" s="526"/>
      <c r="AB77" s="526"/>
      <c r="AC77" s="526"/>
      <c r="AD77" s="526"/>
      <c r="AE77" s="527"/>
      <c r="AF77" s="522">
        <f t="shared" ref="AF77:AF81" si="61">SUM(K77:AE77)</f>
        <v>1.0000000000000002</v>
      </c>
    </row>
    <row r="78" spans="2:82">
      <c r="C78" s="523" t="s">
        <v>1411</v>
      </c>
      <c r="D78" s="503"/>
      <c r="E78" s="503"/>
      <c r="F78" s="503"/>
      <c r="G78" s="503"/>
      <c r="H78" s="503"/>
      <c r="I78" s="503"/>
      <c r="J78" s="528"/>
      <c r="K78" s="528">
        <v>0.1</v>
      </c>
      <c r="L78" s="528">
        <v>0.18</v>
      </c>
      <c r="M78" s="528">
        <v>0.14399999999999999</v>
      </c>
      <c r="N78" s="528">
        <v>0.1152</v>
      </c>
      <c r="O78" s="528">
        <v>9.2200000000000004E-2</v>
      </c>
      <c r="P78" s="528">
        <v>7.3700000000000002E-2</v>
      </c>
      <c r="Q78" s="528">
        <v>6.5500000000000003E-2</v>
      </c>
      <c r="R78" s="528">
        <v>6.5500000000000003E-2</v>
      </c>
      <c r="S78" s="528">
        <v>6.5600000000000006E-2</v>
      </c>
      <c r="T78" s="528">
        <v>6.5500000000000003E-2</v>
      </c>
      <c r="U78" s="528">
        <v>3.2800000000000003E-2</v>
      </c>
      <c r="V78" s="526"/>
      <c r="W78" s="526"/>
      <c r="X78" s="526"/>
      <c r="Y78" s="526"/>
      <c r="Z78" s="526"/>
      <c r="AA78" s="526"/>
      <c r="AB78" s="526"/>
      <c r="AC78" s="526"/>
      <c r="AD78" s="526"/>
      <c r="AE78" s="527"/>
      <c r="AF78" s="522">
        <f t="shared" si="61"/>
        <v>1</v>
      </c>
    </row>
    <row r="79" spans="2:82">
      <c r="C79" s="523" t="s">
        <v>1412</v>
      </c>
      <c r="D79" s="503"/>
      <c r="E79" s="503"/>
      <c r="F79" s="503"/>
      <c r="G79" s="503"/>
      <c r="H79" s="503"/>
      <c r="I79" s="503"/>
      <c r="J79" s="528"/>
      <c r="K79" s="528">
        <v>0.05</v>
      </c>
      <c r="L79" s="528">
        <v>9.5000000000000001E-2</v>
      </c>
      <c r="M79" s="528">
        <v>8.5500000000000007E-2</v>
      </c>
      <c r="N79" s="528">
        <v>7.6999999999999999E-2</v>
      </c>
      <c r="O79" s="528">
        <v>6.93E-2</v>
      </c>
      <c r="P79" s="528">
        <v>6.2300000000000001E-2</v>
      </c>
      <c r="Q79" s="528">
        <v>5.8999999999999997E-2</v>
      </c>
      <c r="R79" s="528">
        <v>5.8999999999999997E-2</v>
      </c>
      <c r="S79" s="528">
        <v>5.91E-2</v>
      </c>
      <c r="T79" s="528">
        <v>5.8999999999999997E-2</v>
      </c>
      <c r="U79" s="528">
        <v>5.91E-2</v>
      </c>
      <c r="V79" s="528">
        <v>5.8999999999999997E-2</v>
      </c>
      <c r="W79" s="528">
        <v>5.91E-2</v>
      </c>
      <c r="X79" s="528">
        <v>5.8999999999999997E-2</v>
      </c>
      <c r="Y79" s="528">
        <v>5.91E-2</v>
      </c>
      <c r="Z79" s="528">
        <v>2.9499999999999998E-2</v>
      </c>
      <c r="AA79" s="529"/>
      <c r="AB79" s="529"/>
      <c r="AC79" s="529"/>
      <c r="AD79" s="529"/>
      <c r="AE79" s="530"/>
      <c r="AF79" s="522">
        <f t="shared" si="61"/>
        <v>1.0000000000000002</v>
      </c>
    </row>
    <row r="80" spans="2:82">
      <c r="C80" s="523" t="s">
        <v>1376</v>
      </c>
      <c r="D80" s="503"/>
      <c r="E80" s="503"/>
      <c r="F80" s="503"/>
      <c r="G80" s="503"/>
      <c r="H80" s="503"/>
      <c r="I80" s="503"/>
      <c r="J80" s="528"/>
      <c r="K80" s="528">
        <v>3.7499999999999999E-2</v>
      </c>
      <c r="L80" s="528">
        <v>7.2190000000000004E-2</v>
      </c>
      <c r="M80" s="528">
        <v>6.6769999999999996E-2</v>
      </c>
      <c r="N80" s="528">
        <v>6.1769999999999999E-2</v>
      </c>
      <c r="O80" s="528">
        <v>5.713E-2</v>
      </c>
      <c r="P80" s="528">
        <v>5.2850000000000001E-2</v>
      </c>
      <c r="Q80" s="528">
        <v>4.888E-2</v>
      </c>
      <c r="R80" s="528">
        <v>4.5220000000000003E-2</v>
      </c>
      <c r="S80" s="528">
        <v>4.462E-2</v>
      </c>
      <c r="T80" s="528">
        <v>4.4609999999999997E-2</v>
      </c>
      <c r="U80" s="528">
        <v>4.462E-2</v>
      </c>
      <c r="V80" s="528">
        <v>4.4609999999999997E-2</v>
      </c>
      <c r="W80" s="528">
        <v>4.462E-2</v>
      </c>
      <c r="X80" s="528">
        <v>4.4609999999999997E-2</v>
      </c>
      <c r="Y80" s="528">
        <v>4.462E-2</v>
      </c>
      <c r="Z80" s="528">
        <v>4.4609999999999997E-2</v>
      </c>
      <c r="AA80" s="528">
        <v>4.462E-2</v>
      </c>
      <c r="AB80" s="528">
        <v>4.4609999999999997E-2</v>
      </c>
      <c r="AC80" s="528">
        <v>4.462E-2</v>
      </c>
      <c r="AD80" s="528">
        <v>4.4609999999999997E-2</v>
      </c>
      <c r="AE80" s="531">
        <v>2.231E-2</v>
      </c>
      <c r="AF80" s="522">
        <f t="shared" si="61"/>
        <v>1.0000000000000002</v>
      </c>
    </row>
    <row r="81" spans="2:32" ht="13.5" thickBot="1">
      <c r="C81" s="532" t="s">
        <v>1413</v>
      </c>
      <c r="D81" s="533"/>
      <c r="E81" s="533"/>
      <c r="F81" s="533"/>
      <c r="G81" s="533"/>
      <c r="H81" s="533"/>
      <c r="I81" s="533"/>
      <c r="J81" s="534"/>
      <c r="K81" s="534">
        <v>0.1</v>
      </c>
      <c r="L81" s="534">
        <v>0.2</v>
      </c>
      <c r="M81" s="534">
        <v>0.2</v>
      </c>
      <c r="N81" s="534">
        <v>0.2</v>
      </c>
      <c r="O81" s="534">
        <v>0.2</v>
      </c>
      <c r="P81" s="534">
        <v>0.1</v>
      </c>
      <c r="Q81" s="535">
        <v>0</v>
      </c>
      <c r="R81" s="534"/>
      <c r="S81" s="536"/>
      <c r="T81" s="537"/>
      <c r="U81" s="537"/>
      <c r="V81" s="537"/>
      <c r="W81" s="537"/>
      <c r="X81" s="537"/>
      <c r="Y81" s="537"/>
      <c r="Z81" s="537"/>
      <c r="AA81" s="537"/>
      <c r="AB81" s="537"/>
      <c r="AC81" s="537"/>
      <c r="AD81" s="537"/>
      <c r="AE81" s="538"/>
      <c r="AF81" s="522">
        <f t="shared" si="61"/>
        <v>0.99999999999999989</v>
      </c>
    </row>
    <row r="83" spans="2:32">
      <c r="B83" s="431" t="s">
        <v>1414</v>
      </c>
      <c r="C83" s="539" t="s">
        <v>1415</v>
      </c>
      <c r="D83" s="539"/>
      <c r="E83" s="539"/>
      <c r="F83" s="539"/>
      <c r="G83" s="539"/>
      <c r="H83" s="539"/>
      <c r="I83" s="539"/>
      <c r="J83" s="540">
        <v>6.5629999999999994E-2</v>
      </c>
      <c r="K83" s="540">
        <v>7.0000000000000007E-2</v>
      </c>
      <c r="L83" s="540">
        <v>6.4820000000000003E-2</v>
      </c>
      <c r="M83" s="540">
        <v>5.9959999999999999E-2</v>
      </c>
      <c r="N83" s="540">
        <v>5.5460000000000002E-2</v>
      </c>
      <c r="O83" s="540">
        <v>5.1299999999999998E-2</v>
      </c>
      <c r="P83" s="540">
        <v>4.7460000000000002E-2</v>
      </c>
      <c r="Q83" s="540">
        <v>4.4589999999999998E-2</v>
      </c>
      <c r="R83" s="540">
        <v>4.4589999999999998E-2</v>
      </c>
      <c r="S83" s="540">
        <v>4.4589999999999998E-2</v>
      </c>
      <c r="T83" s="540">
        <v>4.4589999999999998E-2</v>
      </c>
      <c r="U83" s="540">
        <v>4.4600000000000001E-2</v>
      </c>
      <c r="V83" s="540">
        <v>4.4589999999999998E-2</v>
      </c>
      <c r="W83" s="540">
        <v>4.4600000000000001E-2</v>
      </c>
      <c r="X83" s="540">
        <v>4.4589999999999998E-2</v>
      </c>
      <c r="Y83" s="540">
        <v>4.4600000000000001E-2</v>
      </c>
      <c r="Z83" s="540">
        <v>4.4589999999999998E-2</v>
      </c>
      <c r="AA83" s="540">
        <v>4.4600000000000001E-2</v>
      </c>
      <c r="AB83" s="540">
        <v>4.4589999999999998E-2</v>
      </c>
      <c r="AC83" s="540">
        <v>4.4600000000000001E-2</v>
      </c>
      <c r="AD83" s="540">
        <v>5.6499999999999996E-3</v>
      </c>
      <c r="AE83" s="541">
        <f t="shared" ref="AE83:AE85" si="62">SUM(J83:AD83)</f>
        <v>1</v>
      </c>
    </row>
    <row r="84" spans="2:32">
      <c r="C84" s="539" t="s">
        <v>1416</v>
      </c>
      <c r="D84" s="539"/>
      <c r="E84" s="539"/>
      <c r="F84" s="539"/>
      <c r="G84" s="539"/>
      <c r="H84" s="539"/>
      <c r="I84" s="539"/>
      <c r="J84" s="540">
        <v>4.6879999999999998E-2</v>
      </c>
      <c r="K84" s="540">
        <v>7.1480000000000002E-2</v>
      </c>
      <c r="L84" s="540">
        <v>6.6119999999999998E-2</v>
      </c>
      <c r="M84" s="540">
        <v>6.1159999999999999E-2</v>
      </c>
      <c r="N84" s="540">
        <v>5.6579999999999998E-2</v>
      </c>
      <c r="O84" s="540">
        <v>5.2330000000000002E-2</v>
      </c>
      <c r="P84" s="540">
        <v>4.8410000000000002E-2</v>
      </c>
      <c r="Q84" s="540">
        <v>4.478E-2</v>
      </c>
      <c r="R84" s="540">
        <v>4.4630000000000003E-2</v>
      </c>
      <c r="S84" s="540">
        <v>4.4630000000000003E-2</v>
      </c>
      <c r="T84" s="540">
        <v>4.4630000000000003E-2</v>
      </c>
      <c r="U84" s="540">
        <v>4.4630000000000003E-2</v>
      </c>
      <c r="V84" s="540">
        <v>4.4630000000000003E-2</v>
      </c>
      <c r="W84" s="540">
        <v>4.4630000000000003E-2</v>
      </c>
      <c r="X84" s="540">
        <v>4.462E-2</v>
      </c>
      <c r="Y84" s="540">
        <v>4.4630000000000003E-2</v>
      </c>
      <c r="Z84" s="540">
        <v>4.462E-2</v>
      </c>
      <c r="AA84" s="540">
        <v>4.4630000000000003E-2</v>
      </c>
      <c r="AB84" s="540">
        <v>4.462E-2</v>
      </c>
      <c r="AC84" s="540">
        <v>4.4630000000000003E-2</v>
      </c>
      <c r="AD84" s="540">
        <v>1.6729999999999998E-2</v>
      </c>
      <c r="AE84" s="541">
        <f t="shared" si="62"/>
        <v>0.99999999999999989</v>
      </c>
    </row>
    <row r="85" spans="2:32">
      <c r="C85" s="539" t="s">
        <v>1417</v>
      </c>
      <c r="D85" s="539"/>
      <c r="E85" s="539"/>
      <c r="F85" s="539"/>
      <c r="G85" s="539"/>
      <c r="H85" s="539"/>
      <c r="I85" s="539"/>
      <c r="J85" s="540">
        <v>2.8129999999999999E-2</v>
      </c>
      <c r="K85" s="540">
        <v>7.2889999999999996E-2</v>
      </c>
      <c r="L85" s="540">
        <v>6.7419999999999994E-2</v>
      </c>
      <c r="M85" s="540">
        <v>6.2370000000000002E-2</v>
      </c>
      <c r="N85" s="540">
        <v>5.7689999999999998E-2</v>
      </c>
      <c r="O85" s="540">
        <v>5.3359999999999998E-2</v>
      </c>
      <c r="P85" s="540">
        <v>4.9360000000000001E-2</v>
      </c>
      <c r="Q85" s="540">
        <v>4.5659999999999999E-2</v>
      </c>
      <c r="R85" s="540">
        <v>4.4600000000000001E-2</v>
      </c>
      <c r="S85" s="540">
        <v>4.4600000000000001E-2</v>
      </c>
      <c r="T85" s="540">
        <v>4.4600000000000001E-2</v>
      </c>
      <c r="U85" s="540">
        <v>4.4600000000000001E-2</v>
      </c>
      <c r="V85" s="540">
        <v>4.4609999999999997E-2</v>
      </c>
      <c r="W85" s="540">
        <v>4.4600000000000001E-2</v>
      </c>
      <c r="X85" s="540">
        <v>4.4609999999999997E-2</v>
      </c>
      <c r="Y85" s="540">
        <v>4.4600000000000001E-2</v>
      </c>
      <c r="Z85" s="540">
        <v>4.4609999999999997E-2</v>
      </c>
      <c r="AA85" s="540">
        <v>4.4600000000000001E-2</v>
      </c>
      <c r="AB85" s="540">
        <v>4.4609999999999997E-2</v>
      </c>
      <c r="AC85" s="540">
        <v>4.4600000000000001E-2</v>
      </c>
      <c r="AD85" s="540">
        <v>2.7879999999999999E-2</v>
      </c>
      <c r="AE85" s="541">
        <f t="shared" si="62"/>
        <v>1</v>
      </c>
    </row>
    <row r="86" spans="2:32">
      <c r="C86" s="539" t="s">
        <v>1418</v>
      </c>
      <c r="D86" s="539"/>
      <c r="E86" s="539"/>
      <c r="F86" s="539"/>
      <c r="G86" s="539"/>
      <c r="H86" s="539"/>
      <c r="I86" s="539"/>
      <c r="J86" s="540">
        <v>9.3799999999999994E-3</v>
      </c>
      <c r="K86" s="540">
        <v>7.4300000000000005E-2</v>
      </c>
      <c r="L86" s="540">
        <v>6.8720000000000003E-2</v>
      </c>
      <c r="M86" s="540">
        <v>6.3570000000000002E-2</v>
      </c>
      <c r="N86" s="540">
        <v>5.8799999999999998E-2</v>
      </c>
      <c r="O86" s="540">
        <v>5.4390000000000001E-2</v>
      </c>
      <c r="P86" s="540">
        <v>5.0310000000000001E-2</v>
      </c>
      <c r="Q86" s="540">
        <v>4.6539999999999998E-2</v>
      </c>
      <c r="R86" s="540">
        <v>4.4580000000000002E-2</v>
      </c>
      <c r="S86" s="540">
        <v>4.4580000000000002E-2</v>
      </c>
      <c r="T86" s="540">
        <v>4.4580000000000002E-2</v>
      </c>
      <c r="U86" s="540">
        <v>4.4580000000000002E-2</v>
      </c>
      <c r="V86" s="540">
        <v>4.4580000000000002E-2</v>
      </c>
      <c r="W86" s="540">
        <v>4.4580000000000002E-2</v>
      </c>
      <c r="X86" s="540">
        <v>4.4580000000000002E-2</v>
      </c>
      <c r="Y86" s="540">
        <v>4.4580000000000002E-2</v>
      </c>
      <c r="Z86" s="540">
        <v>4.4580000000000002E-2</v>
      </c>
      <c r="AA86" s="540">
        <v>4.4589999999999998E-2</v>
      </c>
      <c r="AB86" s="540">
        <v>4.4580000000000002E-2</v>
      </c>
      <c r="AC86" s="540">
        <v>4.4589999999999998E-2</v>
      </c>
      <c r="AD86" s="540">
        <v>3.9010000000000003E-2</v>
      </c>
      <c r="AE86" s="541">
        <f>SUM(J86:AD86)</f>
        <v>0.99999999999999967</v>
      </c>
    </row>
    <row r="88" spans="2:32">
      <c r="B88" s="431" t="s">
        <v>1414</v>
      </c>
      <c r="C88" s="542" t="s">
        <v>1419</v>
      </c>
      <c r="D88" s="543"/>
      <c r="E88" s="543"/>
      <c r="F88" s="543"/>
      <c r="G88" s="543"/>
      <c r="H88" s="543"/>
      <c r="I88" s="543"/>
      <c r="J88" s="544">
        <v>0.35</v>
      </c>
      <c r="K88" s="544">
        <v>0.26</v>
      </c>
      <c r="L88" s="544">
        <v>0.156</v>
      </c>
      <c r="M88" s="544">
        <v>0.1101</v>
      </c>
      <c r="N88" s="544">
        <v>0.1101</v>
      </c>
      <c r="O88" s="544">
        <v>1.38E-2</v>
      </c>
    </row>
    <row r="89" spans="2:32">
      <c r="C89" s="542" t="s">
        <v>1420</v>
      </c>
      <c r="D89" s="543"/>
      <c r="E89" s="543"/>
      <c r="F89" s="543"/>
      <c r="G89" s="543"/>
      <c r="H89" s="543"/>
      <c r="I89" s="543"/>
      <c r="J89" s="544">
        <v>0.25</v>
      </c>
      <c r="K89" s="544">
        <v>0.3</v>
      </c>
      <c r="L89" s="544">
        <v>0.18</v>
      </c>
      <c r="M89" s="544">
        <v>0.1137</v>
      </c>
      <c r="N89" s="544">
        <v>0.1137</v>
      </c>
      <c r="O89" s="544">
        <v>4.2599999999999999E-2</v>
      </c>
    </row>
    <row r="90" spans="2:32">
      <c r="C90" s="542" t="s">
        <v>1421</v>
      </c>
      <c r="D90" s="543"/>
      <c r="E90" s="543"/>
      <c r="F90" s="543"/>
      <c r="G90" s="543"/>
      <c r="H90" s="543"/>
      <c r="I90" s="543"/>
      <c r="J90" s="544">
        <v>0.15</v>
      </c>
      <c r="K90" s="544">
        <v>0.34</v>
      </c>
      <c r="L90" s="544">
        <v>0.20399999999999999</v>
      </c>
      <c r="M90" s="544">
        <v>0.12239999999999999</v>
      </c>
      <c r="N90" s="544">
        <v>0.113</v>
      </c>
      <c r="O90" s="544">
        <v>7.0599999999999996E-2</v>
      </c>
    </row>
    <row r="91" spans="2:32">
      <c r="C91" s="542" t="s">
        <v>1422</v>
      </c>
      <c r="D91" s="543"/>
      <c r="E91" s="543"/>
      <c r="F91" s="543"/>
      <c r="G91" s="543"/>
      <c r="H91" s="543"/>
      <c r="I91" s="543"/>
      <c r="J91" s="544">
        <v>0.05</v>
      </c>
      <c r="K91" s="544">
        <v>0.38</v>
      </c>
      <c r="L91" s="544">
        <v>0.22800000000000001</v>
      </c>
      <c r="M91" s="544">
        <v>0.1368</v>
      </c>
      <c r="N91" s="544">
        <v>0.1094</v>
      </c>
      <c r="O91" s="544">
        <v>9.5799999999999996E-2</v>
      </c>
    </row>
    <row r="96" spans="2:32">
      <c r="J96" s="428"/>
      <c r="K96" s="428"/>
      <c r="L96" s="428"/>
      <c r="M96" s="428"/>
      <c r="N96" s="428"/>
      <c r="O96" s="428"/>
      <c r="P96" s="428"/>
      <c r="Q96" s="428"/>
      <c r="R96" s="428"/>
      <c r="S96" s="428"/>
      <c r="T96" s="428"/>
      <c r="U96" s="428"/>
      <c r="V96" s="428"/>
      <c r="W96" s="428"/>
      <c r="X96" s="428"/>
      <c r="Y96" s="428"/>
      <c r="Z96" s="428"/>
      <c r="AA96" s="428"/>
      <c r="AB96" s="428"/>
      <c r="AC96" s="428"/>
      <c r="AD96" s="428"/>
      <c r="AE96" s="428"/>
      <c r="AF96" s="428"/>
    </row>
    <row r="100" spans="10:32">
      <c r="J100" s="427"/>
      <c r="K100" s="427"/>
      <c r="L100" s="427"/>
      <c r="M100" s="427"/>
      <c r="N100" s="427"/>
      <c r="O100" s="427"/>
      <c r="P100" s="427"/>
      <c r="Q100" s="427"/>
      <c r="R100" s="427"/>
      <c r="S100" s="427"/>
      <c r="T100" s="427"/>
      <c r="U100" s="427"/>
      <c r="V100" s="427"/>
      <c r="W100" s="427"/>
      <c r="X100" s="427"/>
      <c r="Y100" s="427"/>
      <c r="Z100" s="427"/>
      <c r="AA100" s="427"/>
      <c r="AB100" s="427"/>
      <c r="AC100" s="427"/>
      <c r="AD100" s="427"/>
      <c r="AE100" s="427"/>
      <c r="AF100" s="427"/>
    </row>
    <row r="101" spans="10:32">
      <c r="J101" s="428"/>
    </row>
    <row r="102" spans="10:32">
      <c r="J102" s="428"/>
    </row>
    <row r="106" spans="10:32">
      <c r="J106" s="428"/>
      <c r="K106" s="428"/>
      <c r="L106" s="428"/>
      <c r="M106" s="428"/>
      <c r="N106" s="428"/>
      <c r="O106" s="428"/>
      <c r="P106" s="428"/>
      <c r="Q106" s="428"/>
    </row>
    <row r="110" spans="10:32">
      <c r="J110" s="427"/>
      <c r="K110" s="427"/>
      <c r="L110" s="427"/>
      <c r="M110" s="427"/>
      <c r="N110" s="427"/>
      <c r="O110" s="427"/>
      <c r="P110" s="427"/>
      <c r="Q110" s="427"/>
    </row>
    <row r="111" spans="10:32">
      <c r="J111" s="428"/>
    </row>
    <row r="113" s="431" customFormat="1"/>
    <row r="114" s="431" customFormat="1"/>
  </sheetData>
  <autoFilter ref="A8:CE48" xr:uid="{006FB8F2-0071-453F-A56C-44EDDB3C5544}"/>
  <mergeCells count="1">
    <mergeCell ref="B64:B6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5755B-4CE6-419B-8C51-37EF8D3D3BD6}">
  <dimension ref="A1:DB111"/>
  <sheetViews>
    <sheetView topLeftCell="CG7" zoomScale="85" zoomScaleNormal="85" workbookViewId="0">
      <selection activeCell="CT87" sqref="CT87"/>
    </sheetView>
  </sheetViews>
  <sheetFormatPr defaultRowHeight="12.75" outlineLevelRow="2" outlineLevelCol="1"/>
  <cols>
    <col min="1" max="1" width="9.140625" style="431"/>
    <col min="2" max="2" width="54" style="431" customWidth="1"/>
    <col min="3" max="26" width="17.28515625" style="431" customWidth="1"/>
    <col min="27" max="28" width="13.7109375" style="431" customWidth="1"/>
    <col min="29" max="29" width="12.7109375" style="431" customWidth="1" outlineLevel="1"/>
    <col min="30" max="30" width="13.85546875" style="431" customWidth="1" outlineLevel="1"/>
    <col min="31" max="31" width="13.28515625" style="431" customWidth="1" outlineLevel="1"/>
    <col min="32" max="32" width="12.85546875" style="431" customWidth="1" outlineLevel="1"/>
    <col min="33" max="33" width="13" style="431" customWidth="1" outlineLevel="1"/>
    <col min="34" max="34" width="14" style="431" bestFit="1" customWidth="1"/>
    <col min="35" max="43" width="14" style="431" customWidth="1" outlineLevel="1"/>
    <col min="44" max="44" width="12.28515625" style="431" customWidth="1" outlineLevel="1"/>
    <col min="45" max="45" width="14" style="431" customWidth="1" outlineLevel="1"/>
    <col min="46" max="46" width="12.28515625" style="431" customWidth="1"/>
    <col min="47" max="57" width="12.28515625" style="431" customWidth="1" outlineLevel="1"/>
    <col min="58" max="58" width="12.28515625" style="431" customWidth="1"/>
    <col min="59" max="59" width="12.28515625" style="431" customWidth="1" outlineLevel="1" collapsed="1"/>
    <col min="60" max="69" width="12.28515625" style="431" customWidth="1" outlineLevel="1"/>
    <col min="70" max="70" width="12.28515625" style="431" customWidth="1"/>
    <col min="71" max="72" width="12.28515625" style="431" customWidth="1" outlineLevel="1"/>
    <col min="73" max="73" width="14" style="431" customWidth="1" outlineLevel="1"/>
    <col min="74" max="81" width="14.5703125" style="431" customWidth="1" outlineLevel="1"/>
    <col min="82" max="99" width="14.5703125" style="431" customWidth="1"/>
    <col min="100" max="101" width="12.85546875" style="431" bestFit="1" customWidth="1"/>
    <col min="102" max="102" width="15.140625" style="431" customWidth="1"/>
    <col min="103" max="103" width="10.28515625" style="431" bestFit="1" customWidth="1"/>
    <col min="104" max="273" width="9.140625" style="431"/>
    <col min="274" max="274" width="54.140625" style="431" customWidth="1"/>
    <col min="275" max="275" width="13.28515625" style="431" customWidth="1"/>
    <col min="276" max="276" width="12.85546875" style="431" bestFit="1" customWidth="1"/>
    <col min="277" max="280" width="13" style="431" bestFit="1" customWidth="1"/>
    <col min="281" max="301" width="14" style="431" bestFit="1" customWidth="1"/>
    <col min="302" max="319" width="14" style="431" customWidth="1"/>
    <col min="320" max="529" width="9.140625" style="431"/>
    <col min="530" max="530" width="54.140625" style="431" customWidth="1"/>
    <col min="531" max="531" width="13.28515625" style="431" customWidth="1"/>
    <col min="532" max="532" width="12.85546875" style="431" bestFit="1" customWidth="1"/>
    <col min="533" max="536" width="13" style="431" bestFit="1" customWidth="1"/>
    <col min="537" max="557" width="14" style="431" bestFit="1" customWidth="1"/>
    <col min="558" max="575" width="14" style="431" customWidth="1"/>
    <col min="576" max="785" width="9.140625" style="431"/>
    <col min="786" max="786" width="54.140625" style="431" customWidth="1"/>
    <col min="787" max="787" width="13.28515625" style="431" customWidth="1"/>
    <col min="788" max="788" width="12.85546875" style="431" bestFit="1" customWidth="1"/>
    <col min="789" max="792" width="13" style="431" bestFit="1" customWidth="1"/>
    <col min="793" max="813" width="14" style="431" bestFit="1" customWidth="1"/>
    <col min="814" max="831" width="14" style="431" customWidth="1"/>
    <col min="832" max="1041" width="9.140625" style="431"/>
    <col min="1042" max="1042" width="54.140625" style="431" customWidth="1"/>
    <col min="1043" max="1043" width="13.28515625" style="431" customWidth="1"/>
    <col min="1044" max="1044" width="12.85546875" style="431" bestFit="1" customWidth="1"/>
    <col min="1045" max="1048" width="13" style="431" bestFit="1" customWidth="1"/>
    <col min="1049" max="1069" width="14" style="431" bestFit="1" customWidth="1"/>
    <col min="1070" max="1087" width="14" style="431" customWidth="1"/>
    <col min="1088" max="1297" width="9.140625" style="431"/>
    <col min="1298" max="1298" width="54.140625" style="431" customWidth="1"/>
    <col min="1299" max="1299" width="13.28515625" style="431" customWidth="1"/>
    <col min="1300" max="1300" width="12.85546875" style="431" bestFit="1" customWidth="1"/>
    <col min="1301" max="1304" width="13" style="431" bestFit="1" customWidth="1"/>
    <col min="1305" max="1325" width="14" style="431" bestFit="1" customWidth="1"/>
    <col min="1326" max="1343" width="14" style="431" customWidth="1"/>
    <col min="1344" max="1553" width="9.140625" style="431"/>
    <col min="1554" max="1554" width="54.140625" style="431" customWidth="1"/>
    <col min="1555" max="1555" width="13.28515625" style="431" customWidth="1"/>
    <col min="1556" max="1556" width="12.85546875" style="431" bestFit="1" customWidth="1"/>
    <col min="1557" max="1560" width="13" style="431" bestFit="1" customWidth="1"/>
    <col min="1561" max="1581" width="14" style="431" bestFit="1" customWidth="1"/>
    <col min="1582" max="1599" width="14" style="431" customWidth="1"/>
    <col min="1600" max="1809" width="9.140625" style="431"/>
    <col min="1810" max="1810" width="54.140625" style="431" customWidth="1"/>
    <col min="1811" max="1811" width="13.28515625" style="431" customWidth="1"/>
    <col min="1812" max="1812" width="12.85546875" style="431" bestFit="1" customWidth="1"/>
    <col min="1813" max="1816" width="13" style="431" bestFit="1" customWidth="1"/>
    <col min="1817" max="1837" width="14" style="431" bestFit="1" customWidth="1"/>
    <col min="1838" max="1855" width="14" style="431" customWidth="1"/>
    <col min="1856" max="2065" width="9.140625" style="431"/>
    <col min="2066" max="2066" width="54.140625" style="431" customWidth="1"/>
    <col min="2067" max="2067" width="13.28515625" style="431" customWidth="1"/>
    <col min="2068" max="2068" width="12.85546875" style="431" bestFit="1" customWidth="1"/>
    <col min="2069" max="2072" width="13" style="431" bestFit="1" customWidth="1"/>
    <col min="2073" max="2093" width="14" style="431" bestFit="1" customWidth="1"/>
    <col min="2094" max="2111" width="14" style="431" customWidth="1"/>
    <col min="2112" max="2321" width="9.140625" style="431"/>
    <col min="2322" max="2322" width="54.140625" style="431" customWidth="1"/>
    <col min="2323" max="2323" width="13.28515625" style="431" customWidth="1"/>
    <col min="2324" max="2324" width="12.85546875" style="431" bestFit="1" customWidth="1"/>
    <col min="2325" max="2328" width="13" style="431" bestFit="1" customWidth="1"/>
    <col min="2329" max="2349" width="14" style="431" bestFit="1" customWidth="1"/>
    <col min="2350" max="2367" width="14" style="431" customWidth="1"/>
    <col min="2368" max="2577" width="9.140625" style="431"/>
    <col min="2578" max="2578" width="54.140625" style="431" customWidth="1"/>
    <col min="2579" max="2579" width="13.28515625" style="431" customWidth="1"/>
    <col min="2580" max="2580" width="12.85546875" style="431" bestFit="1" customWidth="1"/>
    <col min="2581" max="2584" width="13" style="431" bestFit="1" customWidth="1"/>
    <col min="2585" max="2605" width="14" style="431" bestFit="1" customWidth="1"/>
    <col min="2606" max="2623" width="14" style="431" customWidth="1"/>
    <col min="2624" max="2833" width="9.140625" style="431"/>
    <col min="2834" max="2834" width="54.140625" style="431" customWidth="1"/>
    <col min="2835" max="2835" width="13.28515625" style="431" customWidth="1"/>
    <col min="2836" max="2836" width="12.85546875" style="431" bestFit="1" customWidth="1"/>
    <col min="2837" max="2840" width="13" style="431" bestFit="1" customWidth="1"/>
    <col min="2841" max="2861" width="14" style="431" bestFit="1" customWidth="1"/>
    <col min="2862" max="2879" width="14" style="431" customWidth="1"/>
    <col min="2880" max="3089" width="9.140625" style="431"/>
    <col min="3090" max="3090" width="54.140625" style="431" customWidth="1"/>
    <col min="3091" max="3091" width="13.28515625" style="431" customWidth="1"/>
    <col min="3092" max="3092" width="12.85546875" style="431" bestFit="1" customWidth="1"/>
    <col min="3093" max="3096" width="13" style="431" bestFit="1" customWidth="1"/>
    <col min="3097" max="3117" width="14" style="431" bestFit="1" customWidth="1"/>
    <col min="3118" max="3135" width="14" style="431" customWidth="1"/>
    <col min="3136" max="3345" width="9.140625" style="431"/>
    <col min="3346" max="3346" width="54.140625" style="431" customWidth="1"/>
    <col min="3347" max="3347" width="13.28515625" style="431" customWidth="1"/>
    <col min="3348" max="3348" width="12.85546875" style="431" bestFit="1" customWidth="1"/>
    <col min="3349" max="3352" width="13" style="431" bestFit="1" customWidth="1"/>
    <col min="3353" max="3373" width="14" style="431" bestFit="1" customWidth="1"/>
    <col min="3374" max="3391" width="14" style="431" customWidth="1"/>
    <col min="3392" max="3601" width="9.140625" style="431"/>
    <col min="3602" max="3602" width="54.140625" style="431" customWidth="1"/>
    <col min="3603" max="3603" width="13.28515625" style="431" customWidth="1"/>
    <col min="3604" max="3604" width="12.85546875" style="431" bestFit="1" customWidth="1"/>
    <col min="3605" max="3608" width="13" style="431" bestFit="1" customWidth="1"/>
    <col min="3609" max="3629" width="14" style="431" bestFit="1" customWidth="1"/>
    <col min="3630" max="3647" width="14" style="431" customWidth="1"/>
    <col min="3648" max="3857" width="9.140625" style="431"/>
    <col min="3858" max="3858" width="54.140625" style="431" customWidth="1"/>
    <col min="3859" max="3859" width="13.28515625" style="431" customWidth="1"/>
    <col min="3860" max="3860" width="12.85546875" style="431" bestFit="1" customWidth="1"/>
    <col min="3861" max="3864" width="13" style="431" bestFit="1" customWidth="1"/>
    <col min="3865" max="3885" width="14" style="431" bestFit="1" customWidth="1"/>
    <col min="3886" max="3903" width="14" style="431" customWidth="1"/>
    <col min="3904" max="4113" width="9.140625" style="431"/>
    <col min="4114" max="4114" width="54.140625" style="431" customWidth="1"/>
    <col min="4115" max="4115" width="13.28515625" style="431" customWidth="1"/>
    <col min="4116" max="4116" width="12.85546875" style="431" bestFit="1" customWidth="1"/>
    <col min="4117" max="4120" width="13" style="431" bestFit="1" customWidth="1"/>
    <col min="4121" max="4141" width="14" style="431" bestFit="1" customWidth="1"/>
    <col min="4142" max="4159" width="14" style="431" customWidth="1"/>
    <col min="4160" max="4369" width="9.140625" style="431"/>
    <col min="4370" max="4370" width="54.140625" style="431" customWidth="1"/>
    <col min="4371" max="4371" width="13.28515625" style="431" customWidth="1"/>
    <col min="4372" max="4372" width="12.85546875" style="431" bestFit="1" customWidth="1"/>
    <col min="4373" max="4376" width="13" style="431" bestFit="1" customWidth="1"/>
    <col min="4377" max="4397" width="14" style="431" bestFit="1" customWidth="1"/>
    <col min="4398" max="4415" width="14" style="431" customWidth="1"/>
    <col min="4416" max="4625" width="9.140625" style="431"/>
    <col min="4626" max="4626" width="54.140625" style="431" customWidth="1"/>
    <col min="4627" max="4627" width="13.28515625" style="431" customWidth="1"/>
    <col min="4628" max="4628" width="12.85546875" style="431" bestFit="1" customWidth="1"/>
    <col min="4629" max="4632" width="13" style="431" bestFit="1" customWidth="1"/>
    <col min="4633" max="4653" width="14" style="431" bestFit="1" customWidth="1"/>
    <col min="4654" max="4671" width="14" style="431" customWidth="1"/>
    <col min="4672" max="4881" width="9.140625" style="431"/>
    <col min="4882" max="4882" width="54.140625" style="431" customWidth="1"/>
    <col min="4883" max="4883" width="13.28515625" style="431" customWidth="1"/>
    <col min="4884" max="4884" width="12.85546875" style="431" bestFit="1" customWidth="1"/>
    <col min="4885" max="4888" width="13" style="431" bestFit="1" customWidth="1"/>
    <col min="4889" max="4909" width="14" style="431" bestFit="1" customWidth="1"/>
    <col min="4910" max="4927" width="14" style="431" customWidth="1"/>
    <col min="4928" max="5137" width="9.140625" style="431"/>
    <col min="5138" max="5138" width="54.140625" style="431" customWidth="1"/>
    <col min="5139" max="5139" width="13.28515625" style="431" customWidth="1"/>
    <col min="5140" max="5140" width="12.85546875" style="431" bestFit="1" customWidth="1"/>
    <col min="5141" max="5144" width="13" style="431" bestFit="1" customWidth="1"/>
    <col min="5145" max="5165" width="14" style="431" bestFit="1" customWidth="1"/>
    <col min="5166" max="5183" width="14" style="431" customWidth="1"/>
    <col min="5184" max="5393" width="9.140625" style="431"/>
    <col min="5394" max="5394" width="54.140625" style="431" customWidth="1"/>
    <col min="5395" max="5395" width="13.28515625" style="431" customWidth="1"/>
    <col min="5396" max="5396" width="12.85546875" style="431" bestFit="1" customWidth="1"/>
    <col min="5397" max="5400" width="13" style="431" bestFit="1" customWidth="1"/>
    <col min="5401" max="5421" width="14" style="431" bestFit="1" customWidth="1"/>
    <col min="5422" max="5439" width="14" style="431" customWidth="1"/>
    <col min="5440" max="5649" width="9.140625" style="431"/>
    <col min="5650" max="5650" width="54.140625" style="431" customWidth="1"/>
    <col min="5651" max="5651" width="13.28515625" style="431" customWidth="1"/>
    <col min="5652" max="5652" width="12.85546875" style="431" bestFit="1" customWidth="1"/>
    <col min="5653" max="5656" width="13" style="431" bestFit="1" customWidth="1"/>
    <col min="5657" max="5677" width="14" style="431" bestFit="1" customWidth="1"/>
    <col min="5678" max="5695" width="14" style="431" customWidth="1"/>
    <col min="5696" max="5905" width="9.140625" style="431"/>
    <col min="5906" max="5906" width="54.140625" style="431" customWidth="1"/>
    <col min="5907" max="5907" width="13.28515625" style="431" customWidth="1"/>
    <col min="5908" max="5908" width="12.85546875" style="431" bestFit="1" customWidth="1"/>
    <col min="5909" max="5912" width="13" style="431" bestFit="1" customWidth="1"/>
    <col min="5913" max="5933" width="14" style="431" bestFit="1" customWidth="1"/>
    <col min="5934" max="5951" width="14" style="431" customWidth="1"/>
    <col min="5952" max="6161" width="9.140625" style="431"/>
    <col min="6162" max="6162" width="54.140625" style="431" customWidth="1"/>
    <col min="6163" max="6163" width="13.28515625" style="431" customWidth="1"/>
    <col min="6164" max="6164" width="12.85546875" style="431" bestFit="1" customWidth="1"/>
    <col min="6165" max="6168" width="13" style="431" bestFit="1" customWidth="1"/>
    <col min="6169" max="6189" width="14" style="431" bestFit="1" customWidth="1"/>
    <col min="6190" max="6207" width="14" style="431" customWidth="1"/>
    <col min="6208" max="6417" width="9.140625" style="431"/>
    <col min="6418" max="6418" width="54.140625" style="431" customWidth="1"/>
    <col min="6419" max="6419" width="13.28515625" style="431" customWidth="1"/>
    <col min="6420" max="6420" width="12.85546875" style="431" bestFit="1" customWidth="1"/>
    <col min="6421" max="6424" width="13" style="431" bestFit="1" customWidth="1"/>
    <col min="6425" max="6445" width="14" style="431" bestFit="1" customWidth="1"/>
    <col min="6446" max="6463" width="14" style="431" customWidth="1"/>
    <col min="6464" max="6673" width="9.140625" style="431"/>
    <col min="6674" max="6674" width="54.140625" style="431" customWidth="1"/>
    <col min="6675" max="6675" width="13.28515625" style="431" customWidth="1"/>
    <col min="6676" max="6676" width="12.85546875" style="431" bestFit="1" customWidth="1"/>
    <col min="6677" max="6680" width="13" style="431" bestFit="1" customWidth="1"/>
    <col min="6681" max="6701" width="14" style="431" bestFit="1" customWidth="1"/>
    <col min="6702" max="6719" width="14" style="431" customWidth="1"/>
    <col min="6720" max="6929" width="9.140625" style="431"/>
    <col min="6930" max="6930" width="54.140625" style="431" customWidth="1"/>
    <col min="6931" max="6931" width="13.28515625" style="431" customWidth="1"/>
    <col min="6932" max="6932" width="12.85546875" style="431" bestFit="1" customWidth="1"/>
    <col min="6933" max="6936" width="13" style="431" bestFit="1" customWidth="1"/>
    <col min="6937" max="6957" width="14" style="431" bestFit="1" customWidth="1"/>
    <col min="6958" max="6975" width="14" style="431" customWidth="1"/>
    <col min="6976" max="7185" width="9.140625" style="431"/>
    <col min="7186" max="7186" width="54.140625" style="431" customWidth="1"/>
    <col min="7187" max="7187" width="13.28515625" style="431" customWidth="1"/>
    <col min="7188" max="7188" width="12.85546875" style="431" bestFit="1" customWidth="1"/>
    <col min="7189" max="7192" width="13" style="431" bestFit="1" customWidth="1"/>
    <col min="7193" max="7213" width="14" style="431" bestFit="1" customWidth="1"/>
    <col min="7214" max="7231" width="14" style="431" customWidth="1"/>
    <col min="7232" max="7441" width="9.140625" style="431"/>
    <col min="7442" max="7442" width="54.140625" style="431" customWidth="1"/>
    <col min="7443" max="7443" width="13.28515625" style="431" customWidth="1"/>
    <col min="7444" max="7444" width="12.85546875" style="431" bestFit="1" customWidth="1"/>
    <col min="7445" max="7448" width="13" style="431" bestFit="1" customWidth="1"/>
    <col min="7449" max="7469" width="14" style="431" bestFit="1" customWidth="1"/>
    <col min="7470" max="7487" width="14" style="431" customWidth="1"/>
    <col min="7488" max="7697" width="9.140625" style="431"/>
    <col min="7698" max="7698" width="54.140625" style="431" customWidth="1"/>
    <col min="7699" max="7699" width="13.28515625" style="431" customWidth="1"/>
    <col min="7700" max="7700" width="12.85546875" style="431" bestFit="1" customWidth="1"/>
    <col min="7701" max="7704" width="13" style="431" bestFit="1" customWidth="1"/>
    <col min="7705" max="7725" width="14" style="431" bestFit="1" customWidth="1"/>
    <col min="7726" max="7743" width="14" style="431" customWidth="1"/>
    <col min="7744" max="7953" width="9.140625" style="431"/>
    <col min="7954" max="7954" width="54.140625" style="431" customWidth="1"/>
    <col min="7955" max="7955" width="13.28515625" style="431" customWidth="1"/>
    <col min="7956" max="7956" width="12.85546875" style="431" bestFit="1" customWidth="1"/>
    <col min="7957" max="7960" width="13" style="431" bestFit="1" customWidth="1"/>
    <col min="7961" max="7981" width="14" style="431" bestFit="1" customWidth="1"/>
    <col min="7982" max="7999" width="14" style="431" customWidth="1"/>
    <col min="8000" max="8209" width="9.140625" style="431"/>
    <col min="8210" max="8210" width="54.140625" style="431" customWidth="1"/>
    <col min="8211" max="8211" width="13.28515625" style="431" customWidth="1"/>
    <col min="8212" max="8212" width="12.85546875" style="431" bestFit="1" customWidth="1"/>
    <col min="8213" max="8216" width="13" style="431" bestFit="1" customWidth="1"/>
    <col min="8217" max="8237" width="14" style="431" bestFit="1" customWidth="1"/>
    <col min="8238" max="8255" width="14" style="431" customWidth="1"/>
    <col min="8256" max="8465" width="9.140625" style="431"/>
    <col min="8466" max="8466" width="54.140625" style="431" customWidth="1"/>
    <col min="8467" max="8467" width="13.28515625" style="431" customWidth="1"/>
    <col min="8468" max="8468" width="12.85546875" style="431" bestFit="1" customWidth="1"/>
    <col min="8469" max="8472" width="13" style="431" bestFit="1" customWidth="1"/>
    <col min="8473" max="8493" width="14" style="431" bestFit="1" customWidth="1"/>
    <col min="8494" max="8511" width="14" style="431" customWidth="1"/>
    <col min="8512" max="8721" width="9.140625" style="431"/>
    <col min="8722" max="8722" width="54.140625" style="431" customWidth="1"/>
    <col min="8723" max="8723" width="13.28515625" style="431" customWidth="1"/>
    <col min="8724" max="8724" width="12.85546875" style="431" bestFit="1" customWidth="1"/>
    <col min="8725" max="8728" width="13" style="431" bestFit="1" customWidth="1"/>
    <col min="8729" max="8749" width="14" style="431" bestFit="1" customWidth="1"/>
    <col min="8750" max="8767" width="14" style="431" customWidth="1"/>
    <col min="8768" max="8977" width="9.140625" style="431"/>
    <col min="8978" max="8978" width="54.140625" style="431" customWidth="1"/>
    <col min="8979" max="8979" width="13.28515625" style="431" customWidth="1"/>
    <col min="8980" max="8980" width="12.85546875" style="431" bestFit="1" customWidth="1"/>
    <col min="8981" max="8984" width="13" style="431" bestFit="1" customWidth="1"/>
    <col min="8985" max="9005" width="14" style="431" bestFit="1" customWidth="1"/>
    <col min="9006" max="9023" width="14" style="431" customWidth="1"/>
    <col min="9024" max="9233" width="9.140625" style="431"/>
    <col min="9234" max="9234" width="54.140625" style="431" customWidth="1"/>
    <col min="9235" max="9235" width="13.28515625" style="431" customWidth="1"/>
    <col min="9236" max="9236" width="12.85546875" style="431" bestFit="1" customWidth="1"/>
    <col min="9237" max="9240" width="13" style="431" bestFit="1" customWidth="1"/>
    <col min="9241" max="9261" width="14" style="431" bestFit="1" customWidth="1"/>
    <col min="9262" max="9279" width="14" style="431" customWidth="1"/>
    <col min="9280" max="9489" width="9.140625" style="431"/>
    <col min="9490" max="9490" width="54.140625" style="431" customWidth="1"/>
    <col min="9491" max="9491" width="13.28515625" style="431" customWidth="1"/>
    <col min="9492" max="9492" width="12.85546875" style="431" bestFit="1" customWidth="1"/>
    <col min="9493" max="9496" width="13" style="431" bestFit="1" customWidth="1"/>
    <col min="9497" max="9517" width="14" style="431" bestFit="1" customWidth="1"/>
    <col min="9518" max="9535" width="14" style="431" customWidth="1"/>
    <col min="9536" max="9745" width="9.140625" style="431"/>
    <col min="9746" max="9746" width="54.140625" style="431" customWidth="1"/>
    <col min="9747" max="9747" width="13.28515625" style="431" customWidth="1"/>
    <col min="9748" max="9748" width="12.85546875" style="431" bestFit="1" customWidth="1"/>
    <col min="9749" max="9752" width="13" style="431" bestFit="1" customWidth="1"/>
    <col min="9753" max="9773" width="14" style="431" bestFit="1" customWidth="1"/>
    <col min="9774" max="9791" width="14" style="431" customWidth="1"/>
    <col min="9792" max="10001" width="9.140625" style="431"/>
    <col min="10002" max="10002" width="54.140625" style="431" customWidth="1"/>
    <col min="10003" max="10003" width="13.28515625" style="431" customWidth="1"/>
    <col min="10004" max="10004" width="12.85546875" style="431" bestFit="1" customWidth="1"/>
    <col min="10005" max="10008" width="13" style="431" bestFit="1" customWidth="1"/>
    <col min="10009" max="10029" width="14" style="431" bestFit="1" customWidth="1"/>
    <col min="10030" max="10047" width="14" style="431" customWidth="1"/>
    <col min="10048" max="10257" width="9.140625" style="431"/>
    <col min="10258" max="10258" width="54.140625" style="431" customWidth="1"/>
    <col min="10259" max="10259" width="13.28515625" style="431" customWidth="1"/>
    <col min="10260" max="10260" width="12.85546875" style="431" bestFit="1" customWidth="1"/>
    <col min="10261" max="10264" width="13" style="431" bestFit="1" customWidth="1"/>
    <col min="10265" max="10285" width="14" style="431" bestFit="1" customWidth="1"/>
    <col min="10286" max="10303" width="14" style="431" customWidth="1"/>
    <col min="10304" max="10513" width="9.140625" style="431"/>
    <col min="10514" max="10514" width="54.140625" style="431" customWidth="1"/>
    <col min="10515" max="10515" width="13.28515625" style="431" customWidth="1"/>
    <col min="10516" max="10516" width="12.85546875" style="431" bestFit="1" customWidth="1"/>
    <col min="10517" max="10520" width="13" style="431" bestFit="1" customWidth="1"/>
    <col min="10521" max="10541" width="14" style="431" bestFit="1" customWidth="1"/>
    <col min="10542" max="10559" width="14" style="431" customWidth="1"/>
    <col min="10560" max="10769" width="9.140625" style="431"/>
    <col min="10770" max="10770" width="54.140625" style="431" customWidth="1"/>
    <col min="10771" max="10771" width="13.28515625" style="431" customWidth="1"/>
    <col min="10772" max="10772" width="12.85546875" style="431" bestFit="1" customWidth="1"/>
    <col min="10773" max="10776" width="13" style="431" bestFit="1" customWidth="1"/>
    <col min="10777" max="10797" width="14" style="431" bestFit="1" customWidth="1"/>
    <col min="10798" max="10815" width="14" style="431" customWidth="1"/>
    <col min="10816" max="11025" width="9.140625" style="431"/>
    <col min="11026" max="11026" width="54.140625" style="431" customWidth="1"/>
    <col min="11027" max="11027" width="13.28515625" style="431" customWidth="1"/>
    <col min="11028" max="11028" width="12.85546875" style="431" bestFit="1" customWidth="1"/>
    <col min="11029" max="11032" width="13" style="431" bestFit="1" customWidth="1"/>
    <col min="11033" max="11053" width="14" style="431" bestFit="1" customWidth="1"/>
    <col min="11054" max="11071" width="14" style="431" customWidth="1"/>
    <col min="11072" max="11281" width="9.140625" style="431"/>
    <col min="11282" max="11282" width="54.140625" style="431" customWidth="1"/>
    <col min="11283" max="11283" width="13.28515625" style="431" customWidth="1"/>
    <col min="11284" max="11284" width="12.85546875" style="431" bestFit="1" customWidth="1"/>
    <col min="11285" max="11288" width="13" style="431" bestFit="1" customWidth="1"/>
    <col min="11289" max="11309" width="14" style="431" bestFit="1" customWidth="1"/>
    <col min="11310" max="11327" width="14" style="431" customWidth="1"/>
    <col min="11328" max="11537" width="9.140625" style="431"/>
    <col min="11538" max="11538" width="54.140625" style="431" customWidth="1"/>
    <col min="11539" max="11539" width="13.28515625" style="431" customWidth="1"/>
    <col min="11540" max="11540" width="12.85546875" style="431" bestFit="1" customWidth="1"/>
    <col min="11541" max="11544" width="13" style="431" bestFit="1" customWidth="1"/>
    <col min="11545" max="11565" width="14" style="431" bestFit="1" customWidth="1"/>
    <col min="11566" max="11583" width="14" style="431" customWidth="1"/>
    <col min="11584" max="11793" width="9.140625" style="431"/>
    <col min="11794" max="11794" width="54.140625" style="431" customWidth="1"/>
    <col min="11795" max="11795" width="13.28515625" style="431" customWidth="1"/>
    <col min="11796" max="11796" width="12.85546875" style="431" bestFit="1" customWidth="1"/>
    <col min="11797" max="11800" width="13" style="431" bestFit="1" customWidth="1"/>
    <col min="11801" max="11821" width="14" style="431" bestFit="1" customWidth="1"/>
    <col min="11822" max="11839" width="14" style="431" customWidth="1"/>
    <col min="11840" max="12049" width="9.140625" style="431"/>
    <col min="12050" max="12050" width="54.140625" style="431" customWidth="1"/>
    <col min="12051" max="12051" width="13.28515625" style="431" customWidth="1"/>
    <col min="12052" max="12052" width="12.85546875" style="431" bestFit="1" customWidth="1"/>
    <col min="12053" max="12056" width="13" style="431" bestFit="1" customWidth="1"/>
    <col min="12057" max="12077" width="14" style="431" bestFit="1" customWidth="1"/>
    <col min="12078" max="12095" width="14" style="431" customWidth="1"/>
    <col min="12096" max="12305" width="9.140625" style="431"/>
    <col min="12306" max="12306" width="54.140625" style="431" customWidth="1"/>
    <col min="12307" max="12307" width="13.28515625" style="431" customWidth="1"/>
    <col min="12308" max="12308" width="12.85546875" style="431" bestFit="1" customWidth="1"/>
    <col min="12309" max="12312" width="13" style="431" bestFit="1" customWidth="1"/>
    <col min="12313" max="12333" width="14" style="431" bestFit="1" customWidth="1"/>
    <col min="12334" max="12351" width="14" style="431" customWidth="1"/>
    <col min="12352" max="12561" width="9.140625" style="431"/>
    <col min="12562" max="12562" width="54.140625" style="431" customWidth="1"/>
    <col min="12563" max="12563" width="13.28515625" style="431" customWidth="1"/>
    <col min="12564" max="12564" width="12.85546875" style="431" bestFit="1" customWidth="1"/>
    <col min="12565" max="12568" width="13" style="431" bestFit="1" customWidth="1"/>
    <col min="12569" max="12589" width="14" style="431" bestFit="1" customWidth="1"/>
    <col min="12590" max="12607" width="14" style="431" customWidth="1"/>
    <col min="12608" max="12817" width="9.140625" style="431"/>
    <col min="12818" max="12818" width="54.140625" style="431" customWidth="1"/>
    <col min="12819" max="12819" width="13.28515625" style="431" customWidth="1"/>
    <col min="12820" max="12820" width="12.85546875" style="431" bestFit="1" customWidth="1"/>
    <col min="12821" max="12824" width="13" style="431" bestFit="1" customWidth="1"/>
    <col min="12825" max="12845" width="14" style="431" bestFit="1" customWidth="1"/>
    <col min="12846" max="12863" width="14" style="431" customWidth="1"/>
    <col min="12864" max="13073" width="9.140625" style="431"/>
    <col min="13074" max="13074" width="54.140625" style="431" customWidth="1"/>
    <col min="13075" max="13075" width="13.28515625" style="431" customWidth="1"/>
    <col min="13076" max="13076" width="12.85546875" style="431" bestFit="1" customWidth="1"/>
    <col min="13077" max="13080" width="13" style="431" bestFit="1" customWidth="1"/>
    <col min="13081" max="13101" width="14" style="431" bestFit="1" customWidth="1"/>
    <col min="13102" max="13119" width="14" style="431" customWidth="1"/>
    <col min="13120" max="13329" width="9.140625" style="431"/>
    <col min="13330" max="13330" width="54.140625" style="431" customWidth="1"/>
    <col min="13331" max="13331" width="13.28515625" style="431" customWidth="1"/>
    <col min="13332" max="13332" width="12.85546875" style="431" bestFit="1" customWidth="1"/>
    <col min="13333" max="13336" width="13" style="431" bestFit="1" customWidth="1"/>
    <col min="13337" max="13357" width="14" style="431" bestFit="1" customWidth="1"/>
    <col min="13358" max="13375" width="14" style="431" customWidth="1"/>
    <col min="13376" max="13585" width="9.140625" style="431"/>
    <col min="13586" max="13586" width="54.140625" style="431" customWidth="1"/>
    <col min="13587" max="13587" width="13.28515625" style="431" customWidth="1"/>
    <col min="13588" max="13588" width="12.85546875" style="431" bestFit="1" customWidth="1"/>
    <col min="13589" max="13592" width="13" style="431" bestFit="1" customWidth="1"/>
    <col min="13593" max="13613" width="14" style="431" bestFit="1" customWidth="1"/>
    <col min="13614" max="13631" width="14" style="431" customWidth="1"/>
    <col min="13632" max="13841" width="9.140625" style="431"/>
    <col min="13842" max="13842" width="54.140625" style="431" customWidth="1"/>
    <col min="13843" max="13843" width="13.28515625" style="431" customWidth="1"/>
    <col min="13844" max="13844" width="12.85546875" style="431" bestFit="1" customWidth="1"/>
    <col min="13845" max="13848" width="13" style="431" bestFit="1" customWidth="1"/>
    <col min="13849" max="13869" width="14" style="431" bestFit="1" customWidth="1"/>
    <col min="13870" max="13887" width="14" style="431" customWidth="1"/>
    <col min="13888" max="14097" width="9.140625" style="431"/>
    <col min="14098" max="14098" width="54.140625" style="431" customWidth="1"/>
    <col min="14099" max="14099" width="13.28515625" style="431" customWidth="1"/>
    <col min="14100" max="14100" width="12.85546875" style="431" bestFit="1" customWidth="1"/>
    <col min="14101" max="14104" width="13" style="431" bestFit="1" customWidth="1"/>
    <col min="14105" max="14125" width="14" style="431" bestFit="1" customWidth="1"/>
    <col min="14126" max="14143" width="14" style="431" customWidth="1"/>
    <col min="14144" max="14353" width="9.140625" style="431"/>
    <col min="14354" max="14354" width="54.140625" style="431" customWidth="1"/>
    <col min="14355" max="14355" width="13.28515625" style="431" customWidth="1"/>
    <col min="14356" max="14356" width="12.85546875" style="431" bestFit="1" customWidth="1"/>
    <col min="14357" max="14360" width="13" style="431" bestFit="1" customWidth="1"/>
    <col min="14361" max="14381" width="14" style="431" bestFit="1" customWidth="1"/>
    <col min="14382" max="14399" width="14" style="431" customWidth="1"/>
    <col min="14400" max="14609" width="9.140625" style="431"/>
    <col min="14610" max="14610" width="54.140625" style="431" customWidth="1"/>
    <col min="14611" max="14611" width="13.28515625" style="431" customWidth="1"/>
    <col min="14612" max="14612" width="12.85546875" style="431" bestFit="1" customWidth="1"/>
    <col min="14613" max="14616" width="13" style="431" bestFit="1" customWidth="1"/>
    <col min="14617" max="14637" width="14" style="431" bestFit="1" customWidth="1"/>
    <col min="14638" max="14655" width="14" style="431" customWidth="1"/>
    <col min="14656" max="14865" width="9.140625" style="431"/>
    <col min="14866" max="14866" width="54.140625" style="431" customWidth="1"/>
    <col min="14867" max="14867" width="13.28515625" style="431" customWidth="1"/>
    <col min="14868" max="14868" width="12.85546875" style="431" bestFit="1" customWidth="1"/>
    <col min="14869" max="14872" width="13" style="431" bestFit="1" customWidth="1"/>
    <col min="14873" max="14893" width="14" style="431" bestFit="1" customWidth="1"/>
    <col min="14894" max="14911" width="14" style="431" customWidth="1"/>
    <col min="14912" max="15121" width="9.140625" style="431"/>
    <col min="15122" max="15122" width="54.140625" style="431" customWidth="1"/>
    <col min="15123" max="15123" width="13.28515625" style="431" customWidth="1"/>
    <col min="15124" max="15124" width="12.85546875" style="431" bestFit="1" customWidth="1"/>
    <col min="15125" max="15128" width="13" style="431" bestFit="1" customWidth="1"/>
    <col min="15129" max="15149" width="14" style="431" bestFit="1" customWidth="1"/>
    <col min="15150" max="15167" width="14" style="431" customWidth="1"/>
    <col min="15168" max="15377" width="9.140625" style="431"/>
    <col min="15378" max="15378" width="54.140625" style="431" customWidth="1"/>
    <col min="15379" max="15379" width="13.28515625" style="431" customWidth="1"/>
    <col min="15380" max="15380" width="12.85546875" style="431" bestFit="1" customWidth="1"/>
    <col min="15381" max="15384" width="13" style="431" bestFit="1" customWidth="1"/>
    <col min="15385" max="15405" width="14" style="431" bestFit="1" customWidth="1"/>
    <col min="15406" max="15423" width="14" style="431" customWidth="1"/>
    <col min="15424" max="15633" width="9.140625" style="431"/>
    <col min="15634" max="15634" width="54.140625" style="431" customWidth="1"/>
    <col min="15635" max="15635" width="13.28515625" style="431" customWidth="1"/>
    <col min="15636" max="15636" width="12.85546875" style="431" bestFit="1" customWidth="1"/>
    <col min="15637" max="15640" width="13" style="431" bestFit="1" customWidth="1"/>
    <col min="15641" max="15661" width="14" style="431" bestFit="1" customWidth="1"/>
    <col min="15662" max="15679" width="14" style="431" customWidth="1"/>
    <col min="15680" max="15889" width="9.140625" style="431"/>
    <col min="15890" max="15890" width="54.140625" style="431" customWidth="1"/>
    <col min="15891" max="15891" width="13.28515625" style="431" customWidth="1"/>
    <col min="15892" max="15892" width="12.85546875" style="431" bestFit="1" customWidth="1"/>
    <col min="15893" max="15896" width="13" style="431" bestFit="1" customWidth="1"/>
    <col min="15897" max="15917" width="14" style="431" bestFit="1" customWidth="1"/>
    <col min="15918" max="15935" width="14" style="431" customWidth="1"/>
    <col min="15936" max="16145" width="9.140625" style="431"/>
    <col min="16146" max="16146" width="54.140625" style="431" customWidth="1"/>
    <col min="16147" max="16147" width="13.28515625" style="431" customWidth="1"/>
    <col min="16148" max="16148" width="12.85546875" style="431" bestFit="1" customWidth="1"/>
    <col min="16149" max="16152" width="13" style="431" bestFit="1" customWidth="1"/>
    <col min="16153" max="16173" width="14" style="431" bestFit="1" customWidth="1"/>
    <col min="16174" max="16191" width="14" style="431" customWidth="1"/>
    <col min="16192" max="16384" width="9.140625" style="431"/>
  </cols>
  <sheetData>
    <row r="1" spans="1:106" ht="18">
      <c r="B1" s="291" t="s">
        <v>1357</v>
      </c>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row>
    <row r="2" spans="1:106" ht="18">
      <c r="B2" s="291" t="s">
        <v>1358</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432"/>
      <c r="AK2" s="291"/>
      <c r="AL2" s="291"/>
      <c r="AM2" s="291"/>
      <c r="AN2" s="291"/>
      <c r="AO2" s="291"/>
      <c r="AP2" s="291"/>
      <c r="AQ2" s="291"/>
    </row>
    <row r="3" spans="1:106" ht="18">
      <c r="B3" s="291" t="s">
        <v>1325</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433"/>
      <c r="AF3" s="433"/>
      <c r="AG3" s="433"/>
      <c r="AH3" s="433"/>
      <c r="AI3" s="433"/>
      <c r="AJ3" s="434"/>
      <c r="AK3" s="433"/>
      <c r="AL3" s="433"/>
      <c r="AM3" s="433"/>
      <c r="AN3" s="433"/>
      <c r="AO3" s="433"/>
      <c r="AP3" s="433"/>
      <c r="AQ3" s="433"/>
    </row>
    <row r="4" spans="1:106" ht="6.75" customHeight="1">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row>
    <row r="5" spans="1:106" ht="15" customHeight="1">
      <c r="B5" s="291"/>
      <c r="C5" s="291" t="s">
        <v>915</v>
      </c>
      <c r="D5" s="291">
        <v>2018</v>
      </c>
      <c r="E5" s="291">
        <v>2018</v>
      </c>
      <c r="F5" s="291">
        <v>2018</v>
      </c>
      <c r="G5" s="291">
        <v>2018</v>
      </c>
      <c r="H5" s="291">
        <v>2018</v>
      </c>
      <c r="I5" s="291">
        <v>2018</v>
      </c>
      <c r="J5" s="291">
        <v>2018</v>
      </c>
      <c r="K5" s="291">
        <v>2018</v>
      </c>
      <c r="L5" s="291">
        <v>2018</v>
      </c>
      <c r="M5" s="291">
        <v>2018</v>
      </c>
      <c r="N5" s="291">
        <v>2019</v>
      </c>
      <c r="O5" s="291">
        <v>2019</v>
      </c>
      <c r="P5" s="291">
        <v>2019</v>
      </c>
      <c r="Q5" s="291">
        <v>2019</v>
      </c>
      <c r="R5" s="291">
        <v>2019</v>
      </c>
      <c r="S5" s="291">
        <v>2019</v>
      </c>
      <c r="T5" s="291">
        <v>2019</v>
      </c>
      <c r="U5" s="291">
        <v>2019</v>
      </c>
      <c r="V5" s="291">
        <v>2019</v>
      </c>
      <c r="W5" s="291">
        <v>2019</v>
      </c>
      <c r="X5" s="291">
        <v>2019</v>
      </c>
      <c r="Y5" s="291">
        <v>2019</v>
      </c>
      <c r="Z5" s="291">
        <v>2020</v>
      </c>
      <c r="AA5" s="291">
        <v>2020</v>
      </c>
      <c r="AB5" s="291">
        <f t="shared" ref="AB5:CM5" si="0">YEAR(AB8)</f>
        <v>2020</v>
      </c>
      <c r="AC5" s="291">
        <f t="shared" si="0"/>
        <v>2020</v>
      </c>
      <c r="AD5" s="291">
        <f t="shared" si="0"/>
        <v>2020</v>
      </c>
      <c r="AE5" s="291">
        <f t="shared" si="0"/>
        <v>2020</v>
      </c>
      <c r="AF5" s="291">
        <f t="shared" si="0"/>
        <v>2020</v>
      </c>
      <c r="AG5" s="291">
        <f t="shared" si="0"/>
        <v>2020</v>
      </c>
      <c r="AH5" s="291">
        <f t="shared" si="0"/>
        <v>2020</v>
      </c>
      <c r="AI5" s="291">
        <f t="shared" si="0"/>
        <v>2020</v>
      </c>
      <c r="AJ5" s="291">
        <f t="shared" si="0"/>
        <v>2020</v>
      </c>
      <c r="AK5" s="291">
        <f t="shared" si="0"/>
        <v>2020</v>
      </c>
      <c r="AL5" s="291">
        <v>2021</v>
      </c>
      <c r="AM5" s="291">
        <f t="shared" si="0"/>
        <v>2021</v>
      </c>
      <c r="AN5" s="291">
        <f t="shared" si="0"/>
        <v>2021</v>
      </c>
      <c r="AO5" s="291">
        <f t="shared" si="0"/>
        <v>2021</v>
      </c>
      <c r="AP5" s="291">
        <f t="shared" si="0"/>
        <v>2021</v>
      </c>
      <c r="AQ5" s="291">
        <f t="shared" si="0"/>
        <v>2021</v>
      </c>
      <c r="AR5" s="291">
        <f t="shared" si="0"/>
        <v>2021</v>
      </c>
      <c r="AS5" s="291">
        <f t="shared" si="0"/>
        <v>2021</v>
      </c>
      <c r="AT5" s="291">
        <f t="shared" si="0"/>
        <v>2021</v>
      </c>
      <c r="AU5" s="291">
        <f t="shared" si="0"/>
        <v>2021</v>
      </c>
      <c r="AV5" s="291">
        <f t="shared" si="0"/>
        <v>2021</v>
      </c>
      <c r="AW5" s="291">
        <f t="shared" si="0"/>
        <v>2021</v>
      </c>
      <c r="AX5" s="291">
        <f t="shared" si="0"/>
        <v>2022</v>
      </c>
      <c r="AY5" s="291">
        <f t="shared" si="0"/>
        <v>2022</v>
      </c>
      <c r="AZ5" s="291">
        <f t="shared" si="0"/>
        <v>2022</v>
      </c>
      <c r="BA5" s="291">
        <f t="shared" si="0"/>
        <v>2022</v>
      </c>
      <c r="BB5" s="291">
        <f t="shared" si="0"/>
        <v>2022</v>
      </c>
      <c r="BC5" s="291">
        <f t="shared" si="0"/>
        <v>2022</v>
      </c>
      <c r="BD5" s="291">
        <f t="shared" si="0"/>
        <v>2022</v>
      </c>
      <c r="BE5" s="291">
        <f t="shared" si="0"/>
        <v>2022</v>
      </c>
      <c r="BF5" s="291">
        <f t="shared" si="0"/>
        <v>2022</v>
      </c>
      <c r="BG5" s="291">
        <f t="shared" si="0"/>
        <v>2022</v>
      </c>
      <c r="BH5" s="291">
        <f t="shared" si="0"/>
        <v>2022</v>
      </c>
      <c r="BI5" s="291">
        <f t="shared" si="0"/>
        <v>2022</v>
      </c>
      <c r="BJ5" s="291">
        <f t="shared" si="0"/>
        <v>2023</v>
      </c>
      <c r="BK5" s="291">
        <f t="shared" si="0"/>
        <v>2023</v>
      </c>
      <c r="BL5" s="291">
        <f t="shared" si="0"/>
        <v>2023</v>
      </c>
      <c r="BM5" s="291">
        <f t="shared" si="0"/>
        <v>2023</v>
      </c>
      <c r="BN5" s="291">
        <f t="shared" si="0"/>
        <v>2023</v>
      </c>
      <c r="BO5" s="291">
        <f t="shared" si="0"/>
        <v>2023</v>
      </c>
      <c r="BP5" s="291">
        <f t="shared" si="0"/>
        <v>2023</v>
      </c>
      <c r="BQ5" s="291">
        <f t="shared" si="0"/>
        <v>2023</v>
      </c>
      <c r="BR5" s="291">
        <f t="shared" si="0"/>
        <v>2023</v>
      </c>
      <c r="BS5" s="291">
        <f t="shared" si="0"/>
        <v>2023</v>
      </c>
      <c r="BT5" s="291">
        <f t="shared" si="0"/>
        <v>2023</v>
      </c>
      <c r="BU5" s="291">
        <f t="shared" si="0"/>
        <v>2023</v>
      </c>
      <c r="BV5" s="291">
        <f t="shared" si="0"/>
        <v>2024</v>
      </c>
      <c r="BW5" s="291">
        <f t="shared" si="0"/>
        <v>2024</v>
      </c>
      <c r="BX5" s="291">
        <f t="shared" si="0"/>
        <v>2024</v>
      </c>
      <c r="BY5" s="291">
        <f t="shared" si="0"/>
        <v>2024</v>
      </c>
      <c r="BZ5" s="291">
        <f t="shared" si="0"/>
        <v>2024</v>
      </c>
      <c r="CA5" s="291">
        <f t="shared" si="0"/>
        <v>2024</v>
      </c>
      <c r="CB5" s="291">
        <f t="shared" si="0"/>
        <v>2024</v>
      </c>
      <c r="CC5" s="291">
        <f t="shared" si="0"/>
        <v>2024</v>
      </c>
      <c r="CD5" s="291">
        <f t="shared" si="0"/>
        <v>2024</v>
      </c>
      <c r="CE5" s="291">
        <f t="shared" si="0"/>
        <v>2024</v>
      </c>
      <c r="CF5" s="291">
        <f t="shared" si="0"/>
        <v>2024</v>
      </c>
      <c r="CG5" s="291">
        <f t="shared" si="0"/>
        <v>2024</v>
      </c>
      <c r="CH5" s="291">
        <f t="shared" si="0"/>
        <v>2025</v>
      </c>
      <c r="CI5" s="291">
        <f t="shared" si="0"/>
        <v>2025</v>
      </c>
      <c r="CJ5" s="291">
        <f t="shared" si="0"/>
        <v>2025</v>
      </c>
      <c r="CK5" s="291">
        <f t="shared" si="0"/>
        <v>2025</v>
      </c>
      <c r="CL5" s="291">
        <f t="shared" si="0"/>
        <v>2025</v>
      </c>
      <c r="CM5" s="291">
        <f t="shared" si="0"/>
        <v>2025</v>
      </c>
      <c r="CN5" s="291">
        <f t="shared" ref="CN5:CU5" si="1">YEAR(CN8)</f>
        <v>2025</v>
      </c>
      <c r="CO5" s="291">
        <f t="shared" si="1"/>
        <v>2025</v>
      </c>
      <c r="CP5" s="291">
        <f t="shared" si="1"/>
        <v>2025</v>
      </c>
      <c r="CQ5" s="291">
        <f t="shared" si="1"/>
        <v>2025</v>
      </c>
      <c r="CR5" s="291">
        <f t="shared" si="1"/>
        <v>2025</v>
      </c>
      <c r="CS5" s="291">
        <f t="shared" si="1"/>
        <v>2025</v>
      </c>
      <c r="CT5" s="291">
        <f t="shared" si="1"/>
        <v>2026</v>
      </c>
      <c r="CU5" s="291">
        <f t="shared" si="1"/>
        <v>2026</v>
      </c>
    </row>
    <row r="6" spans="1:106" ht="15.75">
      <c r="B6" s="435"/>
      <c r="C6" s="435" t="s">
        <v>1359</v>
      </c>
      <c r="D6" s="435">
        <f t="shared" ref="D6:Z6" si="2">ROUNDUP(MONTH(D8)/3,0)</f>
        <v>1</v>
      </c>
      <c r="E6" s="435">
        <f t="shared" si="2"/>
        <v>2</v>
      </c>
      <c r="F6" s="435">
        <f t="shared" si="2"/>
        <v>2</v>
      </c>
      <c r="G6" s="435">
        <f t="shared" si="2"/>
        <v>2</v>
      </c>
      <c r="H6" s="435">
        <f t="shared" si="2"/>
        <v>3</v>
      </c>
      <c r="I6" s="435">
        <f t="shared" si="2"/>
        <v>3</v>
      </c>
      <c r="J6" s="435">
        <f t="shared" si="2"/>
        <v>3</v>
      </c>
      <c r="K6" s="435">
        <f t="shared" si="2"/>
        <v>4</v>
      </c>
      <c r="L6" s="435">
        <f t="shared" si="2"/>
        <v>4</v>
      </c>
      <c r="M6" s="435">
        <f t="shared" si="2"/>
        <v>4</v>
      </c>
      <c r="N6" s="435">
        <f t="shared" si="2"/>
        <v>1</v>
      </c>
      <c r="O6" s="435">
        <f t="shared" si="2"/>
        <v>1</v>
      </c>
      <c r="P6" s="435">
        <f t="shared" si="2"/>
        <v>1</v>
      </c>
      <c r="Q6" s="435">
        <f t="shared" si="2"/>
        <v>2</v>
      </c>
      <c r="R6" s="435">
        <f t="shared" si="2"/>
        <v>2</v>
      </c>
      <c r="S6" s="435">
        <f t="shared" si="2"/>
        <v>2</v>
      </c>
      <c r="T6" s="435">
        <f t="shared" si="2"/>
        <v>3</v>
      </c>
      <c r="U6" s="435">
        <f t="shared" si="2"/>
        <v>3</v>
      </c>
      <c r="V6" s="435">
        <f t="shared" si="2"/>
        <v>3</v>
      </c>
      <c r="W6" s="435">
        <f t="shared" si="2"/>
        <v>4</v>
      </c>
      <c r="X6" s="435">
        <f t="shared" si="2"/>
        <v>4</v>
      </c>
      <c r="Y6" s="435">
        <f t="shared" si="2"/>
        <v>4</v>
      </c>
      <c r="Z6" s="435">
        <f t="shared" si="2"/>
        <v>1</v>
      </c>
      <c r="AA6" s="435">
        <f>ROUNDUP(MONTH(AA8)/3,0)</f>
        <v>1</v>
      </c>
      <c r="AB6" s="435">
        <f t="shared" ref="AB6:CM6" si="3">ROUNDUP(MONTH(AB8)/3,0)</f>
        <v>1</v>
      </c>
      <c r="AC6" s="435">
        <f t="shared" si="3"/>
        <v>2</v>
      </c>
      <c r="AD6" s="435">
        <f t="shared" si="3"/>
        <v>2</v>
      </c>
      <c r="AE6" s="435">
        <f t="shared" si="3"/>
        <v>2</v>
      </c>
      <c r="AF6" s="435">
        <f t="shared" si="3"/>
        <v>3</v>
      </c>
      <c r="AG6" s="435">
        <f t="shared" si="3"/>
        <v>3</v>
      </c>
      <c r="AH6" s="435">
        <f t="shared" si="3"/>
        <v>3</v>
      </c>
      <c r="AI6" s="435">
        <f t="shared" si="3"/>
        <v>4</v>
      </c>
      <c r="AJ6" s="435">
        <f t="shared" si="3"/>
        <v>4</v>
      </c>
      <c r="AK6" s="435">
        <f t="shared" si="3"/>
        <v>4</v>
      </c>
      <c r="AL6" s="435">
        <f t="shared" si="3"/>
        <v>1</v>
      </c>
      <c r="AM6" s="435">
        <f t="shared" si="3"/>
        <v>1</v>
      </c>
      <c r="AN6" s="435">
        <f t="shared" si="3"/>
        <v>1</v>
      </c>
      <c r="AO6" s="435">
        <f t="shared" si="3"/>
        <v>2</v>
      </c>
      <c r="AP6" s="435">
        <f t="shared" si="3"/>
        <v>2</v>
      </c>
      <c r="AQ6" s="435">
        <f t="shared" si="3"/>
        <v>2</v>
      </c>
      <c r="AR6" s="435">
        <f t="shared" si="3"/>
        <v>3</v>
      </c>
      <c r="AS6" s="435">
        <f t="shared" si="3"/>
        <v>3</v>
      </c>
      <c r="AT6" s="435">
        <f t="shared" si="3"/>
        <v>3</v>
      </c>
      <c r="AU6" s="435">
        <f t="shared" si="3"/>
        <v>4</v>
      </c>
      <c r="AV6" s="435">
        <f t="shared" si="3"/>
        <v>4</v>
      </c>
      <c r="AW6" s="435">
        <f t="shared" si="3"/>
        <v>4</v>
      </c>
      <c r="AX6" s="435">
        <f t="shared" si="3"/>
        <v>1</v>
      </c>
      <c r="AY6" s="435">
        <f t="shared" si="3"/>
        <v>1</v>
      </c>
      <c r="AZ6" s="435">
        <f t="shared" si="3"/>
        <v>1</v>
      </c>
      <c r="BA6" s="435">
        <f t="shared" si="3"/>
        <v>2</v>
      </c>
      <c r="BB6" s="435">
        <f t="shared" si="3"/>
        <v>2</v>
      </c>
      <c r="BC6" s="435">
        <f t="shared" si="3"/>
        <v>2</v>
      </c>
      <c r="BD6" s="435">
        <f t="shared" si="3"/>
        <v>3</v>
      </c>
      <c r="BE6" s="435">
        <f t="shared" si="3"/>
        <v>3</v>
      </c>
      <c r="BF6" s="435">
        <f t="shared" si="3"/>
        <v>3</v>
      </c>
      <c r="BG6" s="435">
        <f t="shared" si="3"/>
        <v>4</v>
      </c>
      <c r="BH6" s="435">
        <f t="shared" si="3"/>
        <v>4</v>
      </c>
      <c r="BI6" s="435">
        <f t="shared" si="3"/>
        <v>4</v>
      </c>
      <c r="BJ6" s="435">
        <f t="shared" si="3"/>
        <v>1</v>
      </c>
      <c r="BK6" s="435">
        <f t="shared" si="3"/>
        <v>1</v>
      </c>
      <c r="BL6" s="435">
        <f t="shared" si="3"/>
        <v>1</v>
      </c>
      <c r="BM6" s="435">
        <f t="shared" si="3"/>
        <v>2</v>
      </c>
      <c r="BN6" s="435">
        <f t="shared" si="3"/>
        <v>2</v>
      </c>
      <c r="BO6" s="435">
        <f t="shared" si="3"/>
        <v>2</v>
      </c>
      <c r="BP6" s="435">
        <f t="shared" si="3"/>
        <v>3</v>
      </c>
      <c r="BQ6" s="435">
        <f t="shared" si="3"/>
        <v>3</v>
      </c>
      <c r="BR6" s="435">
        <f t="shared" si="3"/>
        <v>3</v>
      </c>
      <c r="BS6" s="435">
        <f t="shared" si="3"/>
        <v>4</v>
      </c>
      <c r="BT6" s="435">
        <f t="shared" si="3"/>
        <v>4</v>
      </c>
      <c r="BU6" s="435">
        <f t="shared" si="3"/>
        <v>4</v>
      </c>
      <c r="BV6" s="435">
        <f t="shared" si="3"/>
        <v>1</v>
      </c>
      <c r="BW6" s="435">
        <f t="shared" si="3"/>
        <v>1</v>
      </c>
      <c r="BX6" s="435">
        <f t="shared" si="3"/>
        <v>1</v>
      </c>
      <c r="BY6" s="435">
        <f t="shared" si="3"/>
        <v>2</v>
      </c>
      <c r="BZ6" s="435">
        <f t="shared" si="3"/>
        <v>2</v>
      </c>
      <c r="CA6" s="435">
        <f t="shared" si="3"/>
        <v>2</v>
      </c>
      <c r="CB6" s="435">
        <f t="shared" si="3"/>
        <v>3</v>
      </c>
      <c r="CC6" s="435">
        <f t="shared" si="3"/>
        <v>3</v>
      </c>
      <c r="CD6" s="435">
        <f t="shared" si="3"/>
        <v>3</v>
      </c>
      <c r="CE6" s="435">
        <f t="shared" si="3"/>
        <v>4</v>
      </c>
      <c r="CF6" s="435">
        <f t="shared" si="3"/>
        <v>4</v>
      </c>
      <c r="CG6" s="435">
        <f t="shared" si="3"/>
        <v>4</v>
      </c>
      <c r="CH6" s="435">
        <f t="shared" si="3"/>
        <v>1</v>
      </c>
      <c r="CI6" s="435">
        <f t="shared" si="3"/>
        <v>1</v>
      </c>
      <c r="CJ6" s="435">
        <f t="shared" si="3"/>
        <v>1</v>
      </c>
      <c r="CK6" s="435">
        <f t="shared" si="3"/>
        <v>2</v>
      </c>
      <c r="CL6" s="435">
        <f t="shared" si="3"/>
        <v>2</v>
      </c>
      <c r="CM6" s="435">
        <f t="shared" si="3"/>
        <v>2</v>
      </c>
      <c r="CN6" s="435">
        <f t="shared" ref="CN6:CU6" si="4">ROUNDUP(MONTH(CN8)/3,0)</f>
        <v>3</v>
      </c>
      <c r="CO6" s="435">
        <f t="shared" si="4"/>
        <v>3</v>
      </c>
      <c r="CP6" s="435">
        <f t="shared" si="4"/>
        <v>3</v>
      </c>
      <c r="CQ6" s="435">
        <f t="shared" si="4"/>
        <v>4</v>
      </c>
      <c r="CR6" s="435">
        <f t="shared" si="4"/>
        <v>4</v>
      </c>
      <c r="CS6" s="435">
        <f t="shared" si="4"/>
        <v>4</v>
      </c>
      <c r="CT6" s="435">
        <f t="shared" si="4"/>
        <v>1</v>
      </c>
      <c r="CU6" s="435">
        <f t="shared" si="4"/>
        <v>1</v>
      </c>
    </row>
    <row r="7" spans="1:106" s="436" customFormat="1" ht="21.75" customHeight="1">
      <c r="C7" s="436" t="s">
        <v>1360</v>
      </c>
      <c r="D7" s="436" t="str">
        <f t="shared" ref="D7:Z7" si="5">CONCATENATE(YEAR(D8),TEXT(D8,"mm"))</f>
        <v>201803</v>
      </c>
      <c r="E7" s="436" t="str">
        <f t="shared" si="5"/>
        <v>201804</v>
      </c>
      <c r="F7" s="436" t="str">
        <f t="shared" si="5"/>
        <v>201805</v>
      </c>
      <c r="G7" s="436" t="str">
        <f t="shared" si="5"/>
        <v>201806</v>
      </c>
      <c r="H7" s="436" t="str">
        <f t="shared" si="5"/>
        <v>201807</v>
      </c>
      <c r="I7" s="436" t="str">
        <f t="shared" si="5"/>
        <v>201808</v>
      </c>
      <c r="J7" s="436" t="str">
        <f t="shared" si="5"/>
        <v>201809</v>
      </c>
      <c r="K7" s="436" t="str">
        <f t="shared" si="5"/>
        <v>201810</v>
      </c>
      <c r="L7" s="436" t="str">
        <f t="shared" si="5"/>
        <v>201811</v>
      </c>
      <c r="M7" s="436" t="str">
        <f t="shared" si="5"/>
        <v>201812</v>
      </c>
      <c r="N7" s="436" t="str">
        <f t="shared" si="5"/>
        <v>201901</v>
      </c>
      <c r="O7" s="436" t="str">
        <f t="shared" si="5"/>
        <v>201902</v>
      </c>
      <c r="P7" s="436" t="str">
        <f t="shared" si="5"/>
        <v>201903</v>
      </c>
      <c r="Q7" s="436" t="str">
        <f t="shared" si="5"/>
        <v>201904</v>
      </c>
      <c r="R7" s="436" t="str">
        <f t="shared" si="5"/>
        <v>201905</v>
      </c>
      <c r="S7" s="436" t="str">
        <f t="shared" si="5"/>
        <v>201906</v>
      </c>
      <c r="T7" s="436" t="str">
        <f t="shared" si="5"/>
        <v>201907</v>
      </c>
      <c r="U7" s="436" t="str">
        <f t="shared" si="5"/>
        <v>201908</v>
      </c>
      <c r="V7" s="436" t="str">
        <f t="shared" si="5"/>
        <v>201909</v>
      </c>
      <c r="W7" s="436" t="str">
        <f t="shared" si="5"/>
        <v>201910</v>
      </c>
      <c r="X7" s="436" t="str">
        <f t="shared" si="5"/>
        <v>201911</v>
      </c>
      <c r="Y7" s="436" t="str">
        <f t="shared" si="5"/>
        <v>201912</v>
      </c>
      <c r="Z7" s="436" t="str">
        <f t="shared" si="5"/>
        <v>202001</v>
      </c>
      <c r="AA7" s="436" t="str">
        <f>CONCATENATE(YEAR(AA8),TEXT(AA8,"mm"))</f>
        <v>202002</v>
      </c>
      <c r="AB7" s="436" t="str">
        <f>CONCATENATE(YEAR(AB8),TEXT(AB8,"mm"))</f>
        <v>202003</v>
      </c>
      <c r="AC7" s="436" t="str">
        <f t="shared" ref="AC7:CN7" si="6">CONCATENATE(YEAR(AC8),TEXT(AC8,"mm"))</f>
        <v>202004</v>
      </c>
      <c r="AD7" s="436" t="str">
        <f t="shared" si="6"/>
        <v>202005</v>
      </c>
      <c r="AE7" s="436" t="str">
        <f t="shared" si="6"/>
        <v>202006</v>
      </c>
      <c r="AF7" s="436" t="str">
        <f t="shared" si="6"/>
        <v>202007</v>
      </c>
      <c r="AG7" s="436" t="str">
        <f t="shared" si="6"/>
        <v>202008</v>
      </c>
      <c r="AH7" s="436" t="str">
        <f t="shared" si="6"/>
        <v>202009</v>
      </c>
      <c r="AI7" s="436" t="str">
        <f t="shared" si="6"/>
        <v>202010</v>
      </c>
      <c r="AJ7" s="436" t="str">
        <f t="shared" si="6"/>
        <v>202011</v>
      </c>
      <c r="AK7" s="436" t="str">
        <f t="shared" si="6"/>
        <v>202012</v>
      </c>
      <c r="AL7" s="436" t="str">
        <f t="shared" si="6"/>
        <v>202101</v>
      </c>
      <c r="AM7" s="436" t="str">
        <f t="shared" si="6"/>
        <v>202102</v>
      </c>
      <c r="AN7" s="436" t="str">
        <f t="shared" si="6"/>
        <v>202103</v>
      </c>
      <c r="AO7" s="436" t="str">
        <f t="shared" si="6"/>
        <v>202104</v>
      </c>
      <c r="AP7" s="436" t="str">
        <f t="shared" si="6"/>
        <v>202105</v>
      </c>
      <c r="AQ7" s="436" t="str">
        <f t="shared" si="6"/>
        <v>202106</v>
      </c>
      <c r="AR7" s="436" t="str">
        <f t="shared" si="6"/>
        <v>202107</v>
      </c>
      <c r="AS7" s="436" t="str">
        <f t="shared" si="6"/>
        <v>202108</v>
      </c>
      <c r="AT7" s="436" t="str">
        <f t="shared" si="6"/>
        <v>202109</v>
      </c>
      <c r="AU7" s="436" t="str">
        <f t="shared" si="6"/>
        <v>202110</v>
      </c>
      <c r="AV7" s="436" t="str">
        <f t="shared" si="6"/>
        <v>202111</v>
      </c>
      <c r="AW7" s="436" t="str">
        <f t="shared" si="6"/>
        <v>202112</v>
      </c>
      <c r="AX7" s="436" t="str">
        <f t="shared" si="6"/>
        <v>202201</v>
      </c>
      <c r="AY7" s="436" t="str">
        <f t="shared" si="6"/>
        <v>202202</v>
      </c>
      <c r="AZ7" s="436" t="str">
        <f t="shared" si="6"/>
        <v>202203</v>
      </c>
      <c r="BA7" s="436" t="str">
        <f t="shared" si="6"/>
        <v>202204</v>
      </c>
      <c r="BB7" s="436" t="str">
        <f t="shared" si="6"/>
        <v>202205</v>
      </c>
      <c r="BC7" s="436" t="str">
        <f t="shared" si="6"/>
        <v>202206</v>
      </c>
      <c r="BD7" s="436" t="str">
        <f t="shared" si="6"/>
        <v>202207</v>
      </c>
      <c r="BE7" s="436" t="str">
        <f t="shared" si="6"/>
        <v>202208</v>
      </c>
      <c r="BF7" s="436" t="str">
        <f t="shared" si="6"/>
        <v>202209</v>
      </c>
      <c r="BG7" s="436" t="str">
        <f t="shared" si="6"/>
        <v>202210</v>
      </c>
      <c r="BH7" s="436" t="str">
        <f t="shared" si="6"/>
        <v>202211</v>
      </c>
      <c r="BI7" s="436" t="str">
        <f t="shared" si="6"/>
        <v>202212</v>
      </c>
      <c r="BJ7" s="436" t="str">
        <f t="shared" si="6"/>
        <v>202301</v>
      </c>
      <c r="BK7" s="436" t="str">
        <f t="shared" si="6"/>
        <v>202302</v>
      </c>
      <c r="BL7" s="436" t="str">
        <f t="shared" si="6"/>
        <v>202303</v>
      </c>
      <c r="BM7" s="436" t="str">
        <f t="shared" si="6"/>
        <v>202304</v>
      </c>
      <c r="BN7" s="436" t="str">
        <f t="shared" si="6"/>
        <v>202305</v>
      </c>
      <c r="BO7" s="436" t="str">
        <f t="shared" si="6"/>
        <v>202306</v>
      </c>
      <c r="BP7" s="436" t="str">
        <f t="shared" si="6"/>
        <v>202307</v>
      </c>
      <c r="BQ7" s="436" t="str">
        <f t="shared" si="6"/>
        <v>202308</v>
      </c>
      <c r="BR7" s="436" t="str">
        <f t="shared" si="6"/>
        <v>202309</v>
      </c>
      <c r="BS7" s="436" t="str">
        <f t="shared" si="6"/>
        <v>202310</v>
      </c>
      <c r="BT7" s="436" t="str">
        <f t="shared" si="6"/>
        <v>202311</v>
      </c>
      <c r="BU7" s="436" t="str">
        <f t="shared" si="6"/>
        <v>202312</v>
      </c>
      <c r="BV7" s="436" t="str">
        <f t="shared" si="6"/>
        <v>202401</v>
      </c>
      <c r="BW7" s="436" t="str">
        <f t="shared" si="6"/>
        <v>202402</v>
      </c>
      <c r="BX7" s="436" t="str">
        <f t="shared" si="6"/>
        <v>202403</v>
      </c>
      <c r="BY7" s="436" t="str">
        <f t="shared" si="6"/>
        <v>202404</v>
      </c>
      <c r="BZ7" s="436" t="str">
        <f t="shared" si="6"/>
        <v>202405</v>
      </c>
      <c r="CA7" s="436" t="str">
        <f t="shared" si="6"/>
        <v>202406</v>
      </c>
      <c r="CB7" s="436" t="str">
        <f t="shared" si="6"/>
        <v>202407</v>
      </c>
      <c r="CC7" s="436" t="str">
        <f t="shared" si="6"/>
        <v>202408</v>
      </c>
      <c r="CD7" s="436" t="str">
        <f t="shared" si="6"/>
        <v>202409</v>
      </c>
      <c r="CE7" s="436" t="str">
        <f t="shared" si="6"/>
        <v>202410</v>
      </c>
      <c r="CF7" s="436" t="str">
        <f t="shared" si="6"/>
        <v>202411</v>
      </c>
      <c r="CG7" s="436" t="str">
        <f t="shared" si="6"/>
        <v>202412</v>
      </c>
      <c r="CH7" s="436" t="str">
        <f t="shared" si="6"/>
        <v>202501</v>
      </c>
      <c r="CI7" s="436" t="str">
        <f t="shared" si="6"/>
        <v>202502</v>
      </c>
      <c r="CJ7" s="436" t="str">
        <f t="shared" si="6"/>
        <v>202503</v>
      </c>
      <c r="CK7" s="436" t="str">
        <f t="shared" si="6"/>
        <v>202504</v>
      </c>
      <c r="CL7" s="436" t="str">
        <f t="shared" si="6"/>
        <v>202505</v>
      </c>
      <c r="CM7" s="436" t="str">
        <f t="shared" si="6"/>
        <v>202506</v>
      </c>
      <c r="CN7" s="436" t="str">
        <f t="shared" si="6"/>
        <v>202507</v>
      </c>
      <c r="CO7" s="436" t="str">
        <f t="shared" ref="CO7:CU7" si="7">CONCATENATE(YEAR(CO8),TEXT(CO8,"mm"))</f>
        <v>202508</v>
      </c>
      <c r="CP7" s="436" t="str">
        <f t="shared" si="7"/>
        <v>202509</v>
      </c>
      <c r="CQ7" s="436" t="str">
        <f t="shared" si="7"/>
        <v>202510</v>
      </c>
      <c r="CR7" s="436" t="str">
        <f t="shared" si="7"/>
        <v>202511</v>
      </c>
      <c r="CS7" s="436" t="str">
        <f t="shared" si="7"/>
        <v>202512</v>
      </c>
      <c r="CT7" s="436" t="str">
        <f t="shared" si="7"/>
        <v>202601</v>
      </c>
      <c r="CU7" s="436" t="str">
        <f t="shared" si="7"/>
        <v>202602</v>
      </c>
    </row>
    <row r="8" spans="1:106" ht="16.5" thickBot="1">
      <c r="A8" s="431" t="s">
        <v>1361</v>
      </c>
      <c r="B8" s="437" t="s">
        <v>1362</v>
      </c>
      <c r="C8" s="438" t="s">
        <v>1363</v>
      </c>
      <c r="D8" s="439">
        <v>43160</v>
      </c>
      <c r="E8" s="439">
        <v>43191</v>
      </c>
      <c r="F8" s="439">
        <v>43221</v>
      </c>
      <c r="G8" s="439">
        <v>43252</v>
      </c>
      <c r="H8" s="439">
        <v>43282</v>
      </c>
      <c r="I8" s="439">
        <v>43313</v>
      </c>
      <c r="J8" s="439">
        <v>43344</v>
      </c>
      <c r="K8" s="439">
        <v>43374</v>
      </c>
      <c r="L8" s="439">
        <v>43405</v>
      </c>
      <c r="M8" s="439">
        <v>43435</v>
      </c>
      <c r="N8" s="439">
        <v>43466</v>
      </c>
      <c r="O8" s="439">
        <v>43497</v>
      </c>
      <c r="P8" s="439">
        <v>43525</v>
      </c>
      <c r="Q8" s="439">
        <v>43556</v>
      </c>
      <c r="R8" s="439">
        <v>43586</v>
      </c>
      <c r="S8" s="439">
        <v>43617</v>
      </c>
      <c r="T8" s="439">
        <v>43677</v>
      </c>
      <c r="U8" s="439">
        <v>43678</v>
      </c>
      <c r="V8" s="439">
        <v>43709</v>
      </c>
      <c r="W8" s="439">
        <v>43739</v>
      </c>
      <c r="X8" s="439">
        <v>43770</v>
      </c>
      <c r="Y8" s="439">
        <v>43800</v>
      </c>
      <c r="Z8" s="439">
        <v>43831</v>
      </c>
      <c r="AA8" s="439">
        <v>43862</v>
      </c>
      <c r="AB8" s="439">
        <v>43892</v>
      </c>
      <c r="AC8" s="439">
        <v>43924</v>
      </c>
      <c r="AD8" s="439">
        <v>43955</v>
      </c>
      <c r="AE8" s="439">
        <v>43983</v>
      </c>
      <c r="AF8" s="439">
        <v>44014</v>
      </c>
      <c r="AG8" s="439">
        <v>44046</v>
      </c>
      <c r="AH8" s="439">
        <v>44078</v>
      </c>
      <c r="AI8" s="439">
        <v>44105</v>
      </c>
      <c r="AJ8" s="439">
        <v>44137</v>
      </c>
      <c r="AK8" s="439">
        <v>44166</v>
      </c>
      <c r="AL8" s="439">
        <v>44197</v>
      </c>
      <c r="AM8" s="439">
        <v>44228</v>
      </c>
      <c r="AN8" s="439">
        <v>44256</v>
      </c>
      <c r="AO8" s="439">
        <v>44287</v>
      </c>
      <c r="AP8" s="439">
        <v>44317</v>
      </c>
      <c r="AQ8" s="439">
        <v>44348</v>
      </c>
      <c r="AR8" s="439">
        <v>44378</v>
      </c>
      <c r="AS8" s="439">
        <v>44409</v>
      </c>
      <c r="AT8" s="439">
        <v>44440</v>
      </c>
      <c r="AU8" s="439">
        <v>44470</v>
      </c>
      <c r="AV8" s="439">
        <v>44501</v>
      </c>
      <c r="AW8" s="439">
        <v>44531</v>
      </c>
      <c r="AX8" s="439">
        <v>44562</v>
      </c>
      <c r="AY8" s="439">
        <v>44593</v>
      </c>
      <c r="AZ8" s="439">
        <v>44621</v>
      </c>
      <c r="BA8" s="439">
        <v>44652</v>
      </c>
      <c r="BB8" s="439">
        <v>44682</v>
      </c>
      <c r="BC8" s="439">
        <v>44713</v>
      </c>
      <c r="BD8" s="439">
        <v>44743</v>
      </c>
      <c r="BE8" s="439">
        <v>44774</v>
      </c>
      <c r="BF8" s="439">
        <v>44805</v>
      </c>
      <c r="BG8" s="439">
        <v>44835</v>
      </c>
      <c r="BH8" s="439">
        <v>44866</v>
      </c>
      <c r="BI8" s="439">
        <v>44896</v>
      </c>
      <c r="BJ8" s="439">
        <v>44927</v>
      </c>
      <c r="BK8" s="439">
        <v>44958</v>
      </c>
      <c r="BL8" s="439">
        <v>44986</v>
      </c>
      <c r="BM8" s="439">
        <v>45017</v>
      </c>
      <c r="BN8" s="439">
        <v>45047</v>
      </c>
      <c r="BO8" s="439">
        <v>45078</v>
      </c>
      <c r="BP8" s="439">
        <v>45108</v>
      </c>
      <c r="BQ8" s="439">
        <v>45139</v>
      </c>
      <c r="BR8" s="439">
        <v>45170</v>
      </c>
      <c r="BS8" s="439">
        <v>45200</v>
      </c>
      <c r="BT8" s="439">
        <v>45231</v>
      </c>
      <c r="BU8" s="439">
        <v>45261</v>
      </c>
      <c r="BV8" s="439">
        <v>45292</v>
      </c>
      <c r="BW8" s="439">
        <v>45323</v>
      </c>
      <c r="BX8" s="439">
        <v>45352</v>
      </c>
      <c r="BY8" s="439">
        <v>45383</v>
      </c>
      <c r="BZ8" s="439">
        <v>45413</v>
      </c>
      <c r="CA8" s="439">
        <v>45444</v>
      </c>
      <c r="CB8" s="439">
        <v>45474</v>
      </c>
      <c r="CC8" s="439">
        <v>45505</v>
      </c>
      <c r="CD8" s="439">
        <v>45536</v>
      </c>
      <c r="CE8" s="439">
        <v>45566</v>
      </c>
      <c r="CF8" s="439">
        <v>45597</v>
      </c>
      <c r="CG8" s="439">
        <v>45627</v>
      </c>
      <c r="CH8" s="439">
        <v>45658</v>
      </c>
      <c r="CI8" s="439">
        <v>45689</v>
      </c>
      <c r="CJ8" s="439">
        <v>45717</v>
      </c>
      <c r="CK8" s="439">
        <v>45748</v>
      </c>
      <c r="CL8" s="439">
        <v>45778</v>
      </c>
      <c r="CM8" s="439">
        <v>45809</v>
      </c>
      <c r="CN8" s="439">
        <v>45839</v>
      </c>
      <c r="CO8" s="439">
        <v>45870</v>
      </c>
      <c r="CP8" s="439">
        <v>45901</v>
      </c>
      <c r="CQ8" s="439">
        <v>45931</v>
      </c>
      <c r="CR8" s="439">
        <v>45962</v>
      </c>
      <c r="CS8" s="439">
        <v>45992</v>
      </c>
      <c r="CT8" s="439">
        <v>46023</v>
      </c>
      <c r="CU8" s="439">
        <v>46054</v>
      </c>
      <c r="CV8" s="440" t="s">
        <v>833</v>
      </c>
    </row>
    <row r="9" spans="1:106" ht="16.5" customHeight="1" outlineLevel="1">
      <c r="A9" s="441" t="s">
        <v>1364</v>
      </c>
      <c r="B9" s="442" t="s">
        <v>1365</v>
      </c>
      <c r="C9" s="443" t="s">
        <v>1366</v>
      </c>
      <c r="D9" s="545"/>
      <c r="E9" s="545"/>
      <c r="F9" s="545"/>
      <c r="G9" s="545"/>
      <c r="H9" s="545"/>
      <c r="I9" s="545"/>
      <c r="J9" s="545"/>
      <c r="K9" s="545"/>
      <c r="L9" s="545"/>
      <c r="M9" s="545"/>
      <c r="N9" s="545"/>
      <c r="O9" s="545"/>
      <c r="P9" s="545"/>
      <c r="Q9" s="545"/>
      <c r="R9" s="545"/>
      <c r="S9" s="545"/>
      <c r="T9" s="545"/>
      <c r="U9" s="545"/>
      <c r="V9" s="545"/>
      <c r="W9" s="545"/>
      <c r="X9" s="545"/>
      <c r="Y9" s="545"/>
      <c r="Z9" s="545"/>
      <c r="AA9" s="546"/>
      <c r="AB9" s="546"/>
      <c r="AC9" s="546"/>
      <c r="AD9" s="446">
        <f>'Cumulative Through Feb 2026'!S13</f>
        <v>2923572.47</v>
      </c>
      <c r="AE9" s="446"/>
      <c r="AF9" s="446">
        <f>'Cumulative Through Feb 2026'!S15</f>
        <v>0</v>
      </c>
      <c r="AG9" s="446">
        <f>'Cumulative Through Feb 2026'!S16</f>
        <v>2411.7600000000002</v>
      </c>
      <c r="AH9" s="446">
        <f>'Cumulative Through Feb 2026'!S17</f>
        <v>-2411.7600000000002</v>
      </c>
      <c r="AI9" s="446"/>
      <c r="AJ9" s="446"/>
      <c r="AK9" s="446"/>
      <c r="AL9" s="446"/>
      <c r="AM9" s="446"/>
      <c r="AN9" s="446"/>
      <c r="AO9" s="446"/>
      <c r="AP9" s="446"/>
      <c r="AQ9" s="446"/>
      <c r="AR9" s="446"/>
      <c r="AS9" s="446"/>
      <c r="AT9" s="446"/>
      <c r="AU9" s="446"/>
      <c r="AV9" s="446"/>
      <c r="AW9" s="446"/>
      <c r="AX9" s="446"/>
      <c r="AY9" s="446"/>
      <c r="AZ9" s="446"/>
      <c r="BA9" s="446"/>
      <c r="BB9" s="446"/>
      <c r="BC9" s="446"/>
      <c r="BD9" s="446"/>
      <c r="BE9" s="446"/>
      <c r="BF9" s="446"/>
      <c r="BG9" s="446"/>
      <c r="BH9" s="446"/>
      <c r="BI9" s="446"/>
      <c r="BJ9" s="446"/>
      <c r="BK9" s="446"/>
      <c r="BL9" s="446"/>
      <c r="BM9" s="446"/>
      <c r="BN9" s="446"/>
      <c r="BO9" s="446"/>
      <c r="BP9" s="446"/>
      <c r="BQ9" s="446"/>
      <c r="BR9" s="446"/>
      <c r="BS9" s="446"/>
      <c r="BT9" s="446"/>
      <c r="BU9" s="446"/>
      <c r="BV9" s="446"/>
      <c r="BW9" s="446"/>
      <c r="BX9" s="446"/>
      <c r="BY9" s="446"/>
      <c r="BZ9" s="446"/>
      <c r="CA9" s="446"/>
      <c r="CB9" s="446"/>
      <c r="CC9" s="446"/>
      <c r="CD9" s="446"/>
      <c r="CE9" s="446"/>
      <c r="CF9" s="446"/>
      <c r="CG9" s="446"/>
      <c r="CH9" s="446"/>
      <c r="CI9" s="446"/>
      <c r="CJ9" s="446"/>
      <c r="CK9" s="446"/>
      <c r="CL9" s="446"/>
      <c r="CM9" s="446"/>
      <c r="CN9" s="446"/>
      <c r="CO9" s="446"/>
      <c r="CP9" s="446"/>
      <c r="CQ9" s="446"/>
      <c r="CR9" s="446"/>
      <c r="CS9" s="446"/>
      <c r="CT9" s="446"/>
      <c r="CU9" s="446"/>
      <c r="CV9" s="447">
        <f>SUM(D9:CU9)</f>
        <v>2923572.47</v>
      </c>
      <c r="CW9" s="448"/>
      <c r="CX9" s="448"/>
      <c r="CY9" s="448"/>
      <c r="CZ9" s="448"/>
      <c r="DA9" s="448"/>
      <c r="DB9" s="448"/>
    </row>
    <row r="10" spans="1:106" ht="16.5" customHeight="1" outlineLevel="1">
      <c r="A10" s="489" t="s">
        <v>1367</v>
      </c>
      <c r="B10" s="431" t="s">
        <v>1368</v>
      </c>
      <c r="C10" s="444" t="s">
        <v>1366</v>
      </c>
      <c r="D10" s="445">
        <f>'Cumulative Through Feb 2026'!S88</f>
        <v>802438.52</v>
      </c>
      <c r="E10" s="177">
        <v>159643.56</v>
      </c>
      <c r="F10" s="177">
        <v>301546.87</v>
      </c>
      <c r="G10" s="177">
        <v>186398.46</v>
      </c>
      <c r="H10" s="177">
        <v>254307.01</v>
      </c>
      <c r="I10" s="177">
        <v>70881.39</v>
      </c>
      <c r="J10" s="177">
        <v>169633.29</v>
      </c>
      <c r="K10" s="177">
        <v>236019.58</v>
      </c>
      <c r="L10" s="177">
        <v>185030.5</v>
      </c>
      <c r="M10" s="177">
        <v>660980.27</v>
      </c>
      <c r="N10" s="177">
        <v>88905.3</v>
      </c>
      <c r="O10" s="177">
        <v>80169.91</v>
      </c>
      <c r="P10" s="177">
        <v>9143.0499999999993</v>
      </c>
      <c r="Q10" s="177">
        <v>3046.48</v>
      </c>
      <c r="R10" s="177">
        <v>0</v>
      </c>
      <c r="S10" s="177">
        <v>0</v>
      </c>
      <c r="T10" s="177">
        <v>0</v>
      </c>
      <c r="U10" s="177">
        <v>0</v>
      </c>
      <c r="V10" s="177">
        <v>0</v>
      </c>
      <c r="W10" s="177">
        <v>0</v>
      </c>
      <c r="X10" s="177">
        <v>0</v>
      </c>
      <c r="Y10" s="177">
        <v>0</v>
      </c>
      <c r="Z10" s="177">
        <v>0</v>
      </c>
      <c r="AA10" s="177">
        <v>0</v>
      </c>
      <c r="AB10" s="177">
        <v>0</v>
      </c>
      <c r="AC10" s="177">
        <v>0</v>
      </c>
      <c r="AD10" s="177">
        <v>0</v>
      </c>
      <c r="AE10" s="177">
        <v>0</v>
      </c>
      <c r="AF10" s="177">
        <v>0</v>
      </c>
      <c r="AG10" s="177">
        <v>0</v>
      </c>
      <c r="AH10" s="177">
        <v>0</v>
      </c>
      <c r="AI10" s="177">
        <v>3659014.18</v>
      </c>
      <c r="AJ10" s="177">
        <v>167271.51</v>
      </c>
      <c r="AK10" s="177">
        <v>217725.19</v>
      </c>
      <c r="AL10" s="177">
        <v>136193.22</v>
      </c>
      <c r="AM10" s="177">
        <v>208198.75</v>
      </c>
      <c r="AN10" s="177">
        <v>167565.87</v>
      </c>
      <c r="AO10" s="177">
        <v>215132.13</v>
      </c>
      <c r="AP10" s="177">
        <v>199483.89</v>
      </c>
      <c r="AQ10" s="177">
        <v>313146.84999999998</v>
      </c>
      <c r="AR10" s="177">
        <v>148655.5</v>
      </c>
      <c r="AS10" s="177">
        <v>286410.01</v>
      </c>
      <c r="AT10" s="177">
        <v>146342.59</v>
      </c>
      <c r="AU10" s="177">
        <v>158691.79999999999</v>
      </c>
      <c r="AV10" s="177">
        <v>172685.86000000002</v>
      </c>
      <c r="AW10" s="177">
        <v>265334.96000000002</v>
      </c>
      <c r="AX10" s="177">
        <v>288026.25</v>
      </c>
      <c r="AY10" s="177">
        <v>279667.71000000002</v>
      </c>
      <c r="AZ10" s="177">
        <v>386216.68</v>
      </c>
      <c r="BA10" s="177">
        <v>199592.11</v>
      </c>
      <c r="BB10" s="177">
        <v>189315.13</v>
      </c>
      <c r="BC10" s="177">
        <v>201230.11</v>
      </c>
      <c r="BD10" s="177">
        <v>234815.04</v>
      </c>
      <c r="BE10" s="177">
        <v>243316.73</v>
      </c>
      <c r="BF10" s="177">
        <v>132709.62</v>
      </c>
      <c r="BG10" s="177">
        <v>313996.43</v>
      </c>
      <c r="BH10" s="177">
        <v>226271.46</v>
      </c>
      <c r="BI10" s="177">
        <v>343246.03</v>
      </c>
      <c r="BJ10" s="177">
        <v>453265.93</v>
      </c>
      <c r="BK10" s="177">
        <v>300879.88</v>
      </c>
      <c r="BL10" s="177">
        <v>266585.61</v>
      </c>
      <c r="BM10" s="177">
        <v>71720.78</v>
      </c>
      <c r="BN10" s="177">
        <v>92529.02</v>
      </c>
      <c r="BO10" s="177">
        <v>207786.62</v>
      </c>
      <c r="BP10" s="177">
        <v>494727.62</v>
      </c>
      <c r="BQ10" s="177">
        <v>56781.38</v>
      </c>
      <c r="BR10" s="177">
        <v>4220.9799999999996</v>
      </c>
      <c r="BS10" s="177">
        <v>34659.07</v>
      </c>
      <c r="BT10" s="177">
        <v>72498.39</v>
      </c>
      <c r="BU10" s="177">
        <v>127034.67</v>
      </c>
      <c r="BV10" s="177">
        <v>108767.9</v>
      </c>
      <c r="BW10" s="177">
        <v>62435.74</v>
      </c>
      <c r="BX10" s="177">
        <v>-13493.51</v>
      </c>
      <c r="BY10" s="177">
        <v>46568.77</v>
      </c>
      <c r="BZ10" s="177">
        <v>167052.23000000001</v>
      </c>
      <c r="CA10" s="177">
        <v>395240.08</v>
      </c>
      <c r="CB10" s="177">
        <v>96781.89</v>
      </c>
      <c r="CC10" s="177">
        <v>114760.52</v>
      </c>
      <c r="CD10" s="177">
        <v>228872.85</v>
      </c>
      <c r="CE10" s="177">
        <v>165573.39000000001</v>
      </c>
      <c r="CF10" s="177">
        <v>160476.81</v>
      </c>
      <c r="CG10" s="177">
        <v>127839.59</v>
      </c>
      <c r="CH10" s="177">
        <v>100477.83</v>
      </c>
      <c r="CI10" s="177">
        <v>72698.75</v>
      </c>
      <c r="CJ10" s="177">
        <v>56614.03</v>
      </c>
      <c r="CK10" s="177">
        <v>107505.73</v>
      </c>
      <c r="CL10" s="177">
        <v>234391.31</v>
      </c>
      <c r="CM10" s="177">
        <v>234162.37</v>
      </c>
      <c r="CN10" s="177">
        <v>187484.32</v>
      </c>
      <c r="CO10" s="177">
        <v>338149.5</v>
      </c>
      <c r="CP10" s="177">
        <v>171286.37</v>
      </c>
      <c r="CQ10" s="177">
        <v>70851.899999999994</v>
      </c>
      <c r="CR10" s="177">
        <v>61627.76</v>
      </c>
      <c r="CV10" s="447">
        <f>SUM(D10:CU10)</f>
        <v>18187215.880000003</v>
      </c>
      <c r="CW10" s="448"/>
      <c r="CX10" s="448"/>
      <c r="CY10" s="448"/>
      <c r="CZ10" s="448"/>
      <c r="DA10" s="448"/>
      <c r="DB10" s="448"/>
    </row>
    <row r="11" spans="1:106" ht="16.5" customHeight="1" outlineLevel="1">
      <c r="A11" s="451"/>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5"/>
      <c r="AB11" s="445"/>
      <c r="AC11" s="445"/>
      <c r="AD11" s="445"/>
      <c r="AE11" s="449"/>
      <c r="AF11" s="449"/>
      <c r="AG11" s="449"/>
      <c r="AH11" s="449"/>
      <c r="AI11" s="449"/>
      <c r="AJ11" s="449"/>
      <c r="AK11" s="449"/>
      <c r="AL11" s="449"/>
      <c r="AM11" s="450"/>
      <c r="AN11" s="450"/>
      <c r="AO11" s="450"/>
      <c r="AP11" s="450"/>
      <c r="AQ11" s="450"/>
      <c r="AR11" s="450"/>
      <c r="AS11" s="450"/>
      <c r="AT11" s="450"/>
      <c r="AU11" s="450"/>
      <c r="AV11" s="450"/>
      <c r="AW11" s="450"/>
      <c r="AX11" s="450"/>
      <c r="AY11" s="450"/>
      <c r="AZ11" s="450"/>
      <c r="BA11" s="450"/>
      <c r="BR11" s="448"/>
      <c r="CV11" s="452"/>
      <c r="CW11" s="448"/>
      <c r="CX11" s="448"/>
      <c r="CY11" s="448"/>
      <c r="CZ11" s="448"/>
      <c r="DA11" s="448"/>
      <c r="DB11" s="448"/>
    </row>
    <row r="12" spans="1:106" ht="16.5" customHeight="1" outlineLevel="1">
      <c r="A12" s="451"/>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5"/>
      <c r="AB12" s="445"/>
      <c r="AC12" s="445"/>
      <c r="AD12" s="445"/>
      <c r="AE12" s="449"/>
      <c r="AF12" s="449"/>
      <c r="AG12" s="449"/>
      <c r="AH12" s="449"/>
      <c r="AI12" s="449"/>
      <c r="AJ12" s="449"/>
      <c r="AK12" s="449"/>
      <c r="AL12" s="449"/>
      <c r="AM12" s="450"/>
      <c r="AN12" s="450"/>
      <c r="AO12" s="450"/>
      <c r="AP12" s="450"/>
      <c r="AQ12" s="450"/>
      <c r="AR12" s="450"/>
      <c r="AS12" s="450"/>
      <c r="AT12" s="450"/>
      <c r="AU12" s="450"/>
      <c r="AV12" s="450"/>
      <c r="AW12" s="450"/>
      <c r="AX12" s="450"/>
      <c r="AY12" s="450"/>
      <c r="AZ12" s="450"/>
      <c r="BA12" s="450"/>
      <c r="BR12" s="448"/>
      <c r="CV12" s="452"/>
      <c r="CX12" s="448"/>
      <c r="CY12" s="448"/>
      <c r="CZ12" s="448"/>
      <c r="DA12" s="448"/>
      <c r="DB12" s="448"/>
    </row>
    <row r="13" spans="1:106" ht="16.5" customHeight="1" outlineLevel="1">
      <c r="A13" s="451"/>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5"/>
      <c r="AB13" s="445"/>
      <c r="AC13" s="445"/>
      <c r="AD13" s="445"/>
      <c r="AE13" s="449"/>
      <c r="AF13" s="449"/>
      <c r="AG13" s="449"/>
      <c r="AH13" s="449"/>
      <c r="AI13" s="449"/>
      <c r="AJ13" s="449"/>
      <c r="AK13" s="449"/>
      <c r="AL13" s="449"/>
      <c r="AM13" s="450"/>
      <c r="AN13" s="450"/>
      <c r="AO13" s="450"/>
      <c r="AP13" s="450"/>
      <c r="AQ13" s="450"/>
      <c r="AR13" s="450"/>
      <c r="AS13" s="450"/>
      <c r="AT13" s="450"/>
      <c r="AU13" s="450"/>
      <c r="AV13" s="450"/>
      <c r="AW13" s="450"/>
      <c r="AX13" s="450"/>
      <c r="AY13" s="450"/>
      <c r="AZ13" s="450"/>
      <c r="BA13" s="450"/>
      <c r="BR13" s="448"/>
      <c r="CV13" s="452"/>
      <c r="CX13" s="448"/>
      <c r="CY13" s="448"/>
      <c r="CZ13" s="448"/>
      <c r="DA13" s="448"/>
      <c r="DB13" s="448"/>
    </row>
    <row r="14" spans="1:106" ht="16.5" hidden="1" customHeight="1" outlineLevel="2">
      <c r="A14" s="451"/>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Z14" s="444"/>
      <c r="AA14" s="445"/>
      <c r="AB14" s="445"/>
      <c r="AC14" s="445"/>
      <c r="AD14" s="445"/>
      <c r="AE14" s="449"/>
      <c r="AF14" s="449"/>
      <c r="AG14" s="449"/>
      <c r="AH14" s="449"/>
      <c r="AI14" s="449"/>
      <c r="AJ14" s="449"/>
      <c r="AK14" s="449"/>
      <c r="AL14" s="449"/>
      <c r="AM14" s="450"/>
      <c r="AN14" s="450"/>
      <c r="AO14" s="450"/>
      <c r="AP14" s="450"/>
      <c r="AQ14" s="450"/>
      <c r="AR14" s="450"/>
      <c r="AS14" s="450"/>
      <c r="AT14" s="450"/>
      <c r="AU14" s="450"/>
      <c r="AV14" s="450"/>
      <c r="AW14" s="450"/>
      <c r="AX14" s="450"/>
      <c r="AY14" s="450"/>
      <c r="AZ14" s="450"/>
      <c r="BA14" s="450"/>
      <c r="BR14" s="448"/>
      <c r="CV14" s="452"/>
      <c r="CX14" s="448"/>
      <c r="CY14" s="448"/>
      <c r="CZ14" s="448"/>
      <c r="DA14" s="448"/>
      <c r="DB14" s="448"/>
    </row>
    <row r="15" spans="1:106" ht="16.5" hidden="1" customHeight="1" outlineLevel="2">
      <c r="A15" s="451"/>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5"/>
      <c r="AB15" s="445"/>
      <c r="AC15" s="445"/>
      <c r="AD15" s="445"/>
      <c r="AE15" s="449"/>
      <c r="AF15" s="449"/>
      <c r="AG15" s="449"/>
      <c r="AH15" s="449"/>
      <c r="AI15" s="449"/>
      <c r="AJ15" s="449"/>
      <c r="AK15" s="449"/>
      <c r="AL15" s="449"/>
      <c r="AM15" s="450"/>
      <c r="AN15" s="450"/>
      <c r="AO15" s="450"/>
      <c r="AP15" s="450"/>
      <c r="AQ15" s="450"/>
      <c r="AR15" s="450"/>
      <c r="AS15" s="450"/>
      <c r="AT15" s="450"/>
      <c r="AU15" s="450"/>
      <c r="AV15" s="450"/>
      <c r="AW15" s="450"/>
      <c r="AX15" s="450"/>
      <c r="AY15" s="450"/>
      <c r="AZ15" s="450"/>
      <c r="BA15" s="450"/>
      <c r="BR15" s="448"/>
      <c r="CV15" s="452"/>
      <c r="CX15" s="448"/>
      <c r="CY15" s="448"/>
      <c r="CZ15" s="448"/>
      <c r="DA15" s="448"/>
      <c r="DB15" s="448"/>
    </row>
    <row r="16" spans="1:106" ht="16.5" hidden="1" customHeight="1" outlineLevel="2">
      <c r="A16" s="451"/>
      <c r="C16" s="444"/>
      <c r="D16" s="444"/>
      <c r="E16" s="444"/>
      <c r="F16" s="444"/>
      <c r="G16" s="444"/>
      <c r="H16" s="444"/>
      <c r="I16" s="444"/>
      <c r="J16" s="444"/>
      <c r="K16" s="444"/>
      <c r="L16" s="444"/>
      <c r="M16" s="444"/>
      <c r="N16" s="444"/>
      <c r="O16" s="444"/>
      <c r="P16" s="444"/>
      <c r="Q16" s="444"/>
      <c r="R16" s="444"/>
      <c r="S16" s="444"/>
      <c r="T16" s="444"/>
      <c r="U16" s="444"/>
      <c r="V16" s="444"/>
      <c r="W16" s="444"/>
      <c r="X16" s="444"/>
      <c r="Y16" s="444"/>
      <c r="Z16" s="444"/>
      <c r="AA16" s="445"/>
      <c r="AB16" s="445"/>
      <c r="AC16" s="445"/>
      <c r="AD16" s="445"/>
      <c r="AE16" s="449"/>
      <c r="AF16" s="449"/>
      <c r="AG16" s="449"/>
      <c r="AH16" s="449"/>
      <c r="AI16" s="449"/>
      <c r="AJ16" s="449"/>
      <c r="AK16" s="449"/>
      <c r="AL16" s="449"/>
      <c r="AM16" s="450"/>
      <c r="AN16" s="450"/>
      <c r="AO16" s="450"/>
      <c r="AP16" s="450"/>
      <c r="AQ16" s="450"/>
      <c r="AR16" s="450"/>
      <c r="AS16" s="450"/>
      <c r="AT16" s="450"/>
      <c r="AU16" s="450"/>
      <c r="AV16" s="450"/>
      <c r="AW16" s="450"/>
      <c r="AX16" s="450"/>
      <c r="AY16" s="450"/>
      <c r="AZ16" s="450"/>
      <c r="BA16" s="450"/>
      <c r="BR16" s="448"/>
      <c r="CV16" s="452"/>
      <c r="CX16" s="448"/>
      <c r="CY16" s="448"/>
      <c r="CZ16" s="448"/>
      <c r="DA16" s="448"/>
      <c r="DB16" s="448"/>
    </row>
    <row r="17" spans="1:106" ht="16.5" hidden="1" customHeight="1" outlineLevel="2">
      <c r="A17" s="451"/>
      <c r="C17" s="444"/>
      <c r="D17" s="444"/>
      <c r="E17" s="444"/>
      <c r="F17" s="444"/>
      <c r="G17" s="444"/>
      <c r="H17" s="444"/>
      <c r="I17" s="444"/>
      <c r="J17" s="444"/>
      <c r="K17" s="444"/>
      <c r="L17" s="444"/>
      <c r="M17" s="444"/>
      <c r="N17" s="444"/>
      <c r="O17" s="444"/>
      <c r="P17" s="444"/>
      <c r="Q17" s="444"/>
      <c r="R17" s="444"/>
      <c r="S17" s="444"/>
      <c r="T17" s="444"/>
      <c r="U17" s="444"/>
      <c r="V17" s="444"/>
      <c r="W17" s="444"/>
      <c r="X17" s="444"/>
      <c r="Y17" s="444"/>
      <c r="Z17" s="444"/>
      <c r="AA17" s="445"/>
      <c r="AB17" s="445"/>
      <c r="AC17" s="445"/>
      <c r="AD17" s="445"/>
      <c r="AE17" s="449"/>
      <c r="AF17" s="449"/>
      <c r="AG17" s="449"/>
      <c r="AH17" s="449"/>
      <c r="AI17" s="449"/>
      <c r="AJ17" s="449"/>
      <c r="AK17" s="449"/>
      <c r="AL17" s="449"/>
      <c r="AM17" s="450"/>
      <c r="AN17" s="450"/>
      <c r="AO17" s="450"/>
      <c r="AP17" s="450"/>
      <c r="AQ17" s="450"/>
      <c r="AR17" s="450"/>
      <c r="AS17" s="450"/>
      <c r="AT17" s="450"/>
      <c r="AU17" s="450"/>
      <c r="AV17" s="450"/>
      <c r="AW17" s="450"/>
      <c r="AX17" s="450"/>
      <c r="AY17" s="450"/>
      <c r="AZ17" s="450"/>
      <c r="BA17" s="450"/>
      <c r="BR17" s="448"/>
      <c r="CV17" s="452"/>
      <c r="CX17" s="448"/>
      <c r="CY17" s="448"/>
      <c r="CZ17" s="448"/>
      <c r="DA17" s="448"/>
      <c r="DB17" s="448"/>
    </row>
    <row r="18" spans="1:106" ht="16.5" hidden="1" customHeight="1" outlineLevel="2">
      <c r="A18" s="451"/>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5"/>
      <c r="AB18" s="445"/>
      <c r="AC18" s="445"/>
      <c r="AD18" s="445"/>
      <c r="AE18" s="449"/>
      <c r="AF18" s="449"/>
      <c r="AG18" s="449"/>
      <c r="AH18" s="449"/>
      <c r="AI18" s="449"/>
      <c r="AJ18" s="449"/>
      <c r="AK18" s="449"/>
      <c r="AL18" s="449"/>
      <c r="AM18" s="450"/>
      <c r="AN18" s="450"/>
      <c r="AO18" s="450"/>
      <c r="AP18" s="450"/>
      <c r="AQ18" s="450"/>
      <c r="AR18" s="450"/>
      <c r="AS18" s="450"/>
      <c r="AT18" s="450"/>
      <c r="AU18" s="450"/>
      <c r="AV18" s="450"/>
      <c r="AW18" s="450"/>
      <c r="AX18" s="450"/>
      <c r="AY18" s="450"/>
      <c r="AZ18" s="450"/>
      <c r="BA18" s="450"/>
      <c r="BR18" s="448"/>
      <c r="CV18" s="452"/>
      <c r="CX18" s="448"/>
      <c r="CY18" s="448"/>
      <c r="CZ18" s="448"/>
      <c r="DA18" s="448"/>
      <c r="DB18" s="448"/>
    </row>
    <row r="19" spans="1:106" ht="16.5" hidden="1" customHeight="1" outlineLevel="2">
      <c r="A19" s="451"/>
      <c r="C19" s="444"/>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5"/>
      <c r="AB19" s="445"/>
      <c r="AC19" s="445"/>
      <c r="AD19" s="445"/>
      <c r="AE19" s="449"/>
      <c r="AF19" s="449"/>
      <c r="AG19" s="449"/>
      <c r="AH19" s="449"/>
      <c r="AI19" s="449"/>
      <c r="AJ19" s="449"/>
      <c r="AK19" s="449"/>
      <c r="AL19" s="449"/>
      <c r="AM19" s="450"/>
      <c r="AN19" s="450"/>
      <c r="AO19" s="450"/>
      <c r="AP19" s="450"/>
      <c r="AQ19" s="450"/>
      <c r="AR19" s="450"/>
      <c r="AS19" s="450"/>
      <c r="AT19" s="450"/>
      <c r="AU19" s="450"/>
      <c r="AV19" s="450"/>
      <c r="AW19" s="450"/>
      <c r="AX19" s="450"/>
      <c r="AY19" s="450"/>
      <c r="AZ19" s="450"/>
      <c r="BA19" s="450"/>
      <c r="BR19" s="448"/>
      <c r="CV19" s="452"/>
      <c r="CX19" s="448"/>
      <c r="CY19" s="448"/>
      <c r="CZ19" s="448"/>
      <c r="DA19" s="448"/>
      <c r="DB19" s="448"/>
    </row>
    <row r="20" spans="1:106" ht="16.5" hidden="1" customHeight="1" outlineLevel="2">
      <c r="A20" s="451"/>
      <c r="C20" s="444"/>
      <c r="D20" s="444"/>
      <c r="E20" s="444"/>
      <c r="F20" s="444"/>
      <c r="G20" s="444"/>
      <c r="H20" s="444"/>
      <c r="I20" s="444"/>
      <c r="J20" s="444"/>
      <c r="K20" s="444"/>
      <c r="L20" s="444"/>
      <c r="M20" s="444"/>
      <c r="N20" s="444"/>
      <c r="O20" s="444"/>
      <c r="P20" s="444"/>
      <c r="Q20" s="444"/>
      <c r="R20" s="444"/>
      <c r="S20" s="444"/>
      <c r="T20" s="444"/>
      <c r="U20" s="444"/>
      <c r="V20" s="444"/>
      <c r="W20" s="444"/>
      <c r="X20" s="444"/>
      <c r="Y20" s="444"/>
      <c r="Z20" s="444"/>
      <c r="AA20" s="445"/>
      <c r="AB20" s="445"/>
      <c r="AC20" s="445"/>
      <c r="AD20" s="445"/>
      <c r="AE20" s="449"/>
      <c r="AF20" s="449"/>
      <c r="AG20" s="449"/>
      <c r="AH20" s="449"/>
      <c r="AI20" s="449"/>
      <c r="AJ20" s="449"/>
      <c r="AK20" s="449"/>
      <c r="AL20" s="449"/>
      <c r="AM20" s="450"/>
      <c r="AN20" s="450"/>
      <c r="AO20" s="450"/>
      <c r="AP20" s="450"/>
      <c r="AQ20" s="450"/>
      <c r="AR20" s="450"/>
      <c r="AS20" s="450"/>
      <c r="AT20" s="450"/>
      <c r="AU20" s="450"/>
      <c r="AV20" s="450"/>
      <c r="AW20" s="450"/>
      <c r="AX20" s="450"/>
      <c r="AY20" s="450"/>
      <c r="AZ20" s="450"/>
      <c r="BA20" s="450"/>
      <c r="BR20" s="448"/>
      <c r="CV20" s="452"/>
      <c r="CX20" s="448"/>
      <c r="CY20" s="448"/>
      <c r="CZ20" s="448"/>
      <c r="DA20" s="448"/>
      <c r="DB20" s="448"/>
    </row>
    <row r="21" spans="1:106" ht="16.5" hidden="1" customHeight="1" outlineLevel="2">
      <c r="A21" s="451"/>
      <c r="C21" s="444"/>
      <c r="D21" s="444"/>
      <c r="E21" s="444"/>
      <c r="F21" s="444"/>
      <c r="G21" s="444"/>
      <c r="H21" s="444"/>
      <c r="I21" s="444"/>
      <c r="J21" s="444"/>
      <c r="K21" s="444"/>
      <c r="L21" s="444"/>
      <c r="M21" s="444"/>
      <c r="N21" s="444"/>
      <c r="O21" s="444"/>
      <c r="P21" s="444"/>
      <c r="Q21" s="444"/>
      <c r="R21" s="444"/>
      <c r="S21" s="444"/>
      <c r="T21" s="444"/>
      <c r="U21" s="444"/>
      <c r="V21" s="444"/>
      <c r="W21" s="444"/>
      <c r="X21" s="444"/>
      <c r="Y21" s="444"/>
      <c r="Z21" s="444"/>
      <c r="AA21" s="445"/>
      <c r="AB21" s="445"/>
      <c r="AC21" s="445"/>
      <c r="AD21" s="445"/>
      <c r="AE21" s="449"/>
      <c r="AF21" s="449"/>
      <c r="AG21" s="449"/>
      <c r="AH21" s="449"/>
      <c r="AI21" s="449"/>
      <c r="AJ21" s="449"/>
      <c r="AK21" s="449"/>
      <c r="AL21" s="449"/>
      <c r="AM21" s="450"/>
      <c r="AN21" s="450"/>
      <c r="AO21" s="450"/>
      <c r="AP21" s="450"/>
      <c r="AQ21" s="450"/>
      <c r="AR21" s="450"/>
      <c r="AS21" s="450"/>
      <c r="AT21" s="450"/>
      <c r="AU21" s="450"/>
      <c r="AV21" s="450"/>
      <c r="AW21" s="450"/>
      <c r="AX21" s="450"/>
      <c r="AY21" s="450"/>
      <c r="AZ21" s="450"/>
      <c r="BA21" s="450"/>
      <c r="CV21" s="452"/>
      <c r="CX21" s="448"/>
      <c r="CY21" s="448"/>
      <c r="CZ21" s="448"/>
      <c r="DA21" s="448"/>
      <c r="DB21" s="448"/>
    </row>
    <row r="22" spans="1:106" ht="15" hidden="1" outlineLevel="2">
      <c r="A22" s="451"/>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5"/>
      <c r="AB22" s="445"/>
      <c r="AC22" s="445"/>
      <c r="AD22" s="445"/>
      <c r="AE22" s="178"/>
      <c r="AF22" s="449"/>
      <c r="AG22" s="449"/>
      <c r="AH22" s="449"/>
      <c r="AI22" s="449"/>
      <c r="AJ22" s="449"/>
      <c r="AK22" s="449"/>
      <c r="AL22" s="449"/>
      <c r="AM22" s="450"/>
      <c r="AN22" s="450"/>
      <c r="AO22" s="450"/>
      <c r="AP22" s="450"/>
      <c r="AQ22" s="450"/>
      <c r="AR22" s="450"/>
      <c r="AS22" s="450"/>
      <c r="AT22" s="450"/>
      <c r="AU22" s="450"/>
      <c r="AV22" s="450"/>
      <c r="AW22" s="450"/>
      <c r="AX22" s="450"/>
      <c r="AY22" s="450"/>
      <c r="AZ22" s="450"/>
      <c r="BA22" s="450"/>
      <c r="CV22" s="452"/>
      <c r="CX22" s="448"/>
      <c r="CY22" s="448"/>
      <c r="CZ22" s="448"/>
      <c r="DA22" s="448"/>
      <c r="DB22" s="448"/>
    </row>
    <row r="23" spans="1:106" ht="16.5" hidden="1" customHeight="1" outlineLevel="2">
      <c r="A23" s="451"/>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5"/>
      <c r="AB23" s="445"/>
      <c r="AC23" s="445"/>
      <c r="AD23" s="445"/>
      <c r="AE23" s="449"/>
      <c r="AF23" s="449"/>
      <c r="AG23" s="449"/>
      <c r="AH23" s="449"/>
      <c r="AI23" s="449"/>
      <c r="AJ23" s="449"/>
      <c r="AK23" s="449"/>
      <c r="AL23" s="449"/>
      <c r="AM23" s="450"/>
      <c r="AN23" s="450"/>
      <c r="AO23" s="450"/>
      <c r="AP23" s="450"/>
      <c r="AQ23" s="450"/>
      <c r="AR23" s="450"/>
      <c r="AS23" s="450"/>
      <c r="AT23" s="450"/>
      <c r="AU23" s="450"/>
      <c r="AV23" s="450"/>
      <c r="AW23" s="450"/>
      <c r="AX23" s="450"/>
      <c r="AY23" s="450"/>
      <c r="AZ23" s="450"/>
      <c r="BA23" s="450"/>
      <c r="CV23" s="452"/>
      <c r="CX23" s="448"/>
      <c r="CY23" s="448"/>
      <c r="CZ23" s="448"/>
      <c r="DA23" s="448"/>
      <c r="DB23" s="448"/>
    </row>
    <row r="24" spans="1:106" ht="16.5" hidden="1" customHeight="1" outlineLevel="2">
      <c r="A24" s="451"/>
      <c r="C24" s="444"/>
      <c r="D24" s="444"/>
      <c r="E24" s="444"/>
      <c r="F24" s="444"/>
      <c r="G24" s="444"/>
      <c r="H24" s="444"/>
      <c r="I24" s="444"/>
      <c r="J24" s="444"/>
      <c r="K24" s="444"/>
      <c r="L24" s="444"/>
      <c r="M24" s="444"/>
      <c r="N24" s="444"/>
      <c r="O24" s="444"/>
      <c r="P24" s="444"/>
      <c r="Q24" s="444"/>
      <c r="R24" s="444"/>
      <c r="S24" s="444"/>
      <c r="T24" s="444"/>
      <c r="U24" s="444"/>
      <c r="V24" s="444"/>
      <c r="W24" s="444"/>
      <c r="X24" s="444"/>
      <c r="Y24" s="444"/>
      <c r="Z24" s="444"/>
      <c r="AA24" s="445"/>
      <c r="AB24" s="445"/>
      <c r="AC24" s="445"/>
      <c r="AD24" s="445"/>
      <c r="AE24" s="449"/>
      <c r="AF24" s="449"/>
      <c r="AG24" s="449"/>
      <c r="AH24" s="449"/>
      <c r="AI24" s="449"/>
      <c r="AJ24" s="449"/>
      <c r="AK24" s="449"/>
      <c r="AL24" s="449"/>
      <c r="AM24" s="450"/>
      <c r="AN24" s="450"/>
      <c r="AO24" s="450"/>
      <c r="AP24" s="450"/>
      <c r="AQ24" s="450"/>
      <c r="AR24" s="450"/>
      <c r="AS24" s="450"/>
      <c r="AT24" s="450"/>
      <c r="AU24" s="450"/>
      <c r="AV24" s="450"/>
      <c r="AW24" s="450"/>
      <c r="AX24" s="450"/>
      <c r="AY24" s="450"/>
      <c r="AZ24" s="450"/>
      <c r="BA24" s="450"/>
      <c r="CV24" s="452"/>
      <c r="CX24" s="448"/>
      <c r="CY24" s="448"/>
      <c r="CZ24" s="448"/>
      <c r="DA24" s="448"/>
      <c r="DB24" s="448"/>
    </row>
    <row r="25" spans="1:106" ht="16.5" hidden="1" customHeight="1" outlineLevel="2">
      <c r="A25" s="451"/>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5"/>
      <c r="AB25" s="445"/>
      <c r="AC25" s="445"/>
      <c r="AD25" s="445"/>
      <c r="AE25" s="449"/>
      <c r="AF25" s="449"/>
      <c r="AG25" s="449"/>
      <c r="AH25" s="449"/>
      <c r="AI25" s="449"/>
      <c r="AJ25" s="449"/>
      <c r="AK25" s="449"/>
      <c r="AL25" s="449"/>
      <c r="AM25" s="450"/>
      <c r="AN25" s="450"/>
      <c r="AO25" s="450"/>
      <c r="AP25" s="450"/>
      <c r="AQ25" s="450"/>
      <c r="AR25" s="450"/>
      <c r="AS25" s="450"/>
      <c r="AT25" s="450"/>
      <c r="AU25" s="450"/>
      <c r="AV25" s="450"/>
      <c r="AW25" s="450"/>
      <c r="AX25" s="450"/>
      <c r="AY25" s="450"/>
      <c r="AZ25" s="450"/>
      <c r="BA25" s="450"/>
      <c r="CV25" s="452"/>
      <c r="CX25" s="448"/>
      <c r="CY25" s="448"/>
      <c r="CZ25" s="448"/>
      <c r="DA25" s="448"/>
      <c r="DB25" s="448"/>
    </row>
    <row r="26" spans="1:106" ht="16.5" hidden="1" customHeight="1" outlineLevel="2">
      <c r="A26" s="451"/>
      <c r="C26" s="444"/>
      <c r="D26" s="444"/>
      <c r="E26" s="444"/>
      <c r="F26" s="444"/>
      <c r="G26" s="444"/>
      <c r="H26" s="444"/>
      <c r="I26" s="444"/>
      <c r="J26" s="444"/>
      <c r="K26" s="444"/>
      <c r="L26" s="444"/>
      <c r="M26" s="444"/>
      <c r="N26" s="444"/>
      <c r="O26" s="444"/>
      <c r="P26" s="444"/>
      <c r="Q26" s="444"/>
      <c r="R26" s="444"/>
      <c r="S26" s="444"/>
      <c r="T26" s="444"/>
      <c r="U26" s="444"/>
      <c r="V26" s="444"/>
      <c r="W26" s="444"/>
      <c r="X26" s="444"/>
      <c r="Y26" s="444"/>
      <c r="Z26" s="444"/>
      <c r="AA26" s="445"/>
      <c r="AB26" s="445"/>
      <c r="AC26" s="445"/>
      <c r="AD26" s="445"/>
      <c r="AE26" s="449"/>
      <c r="AF26" s="449"/>
      <c r="AG26" s="449"/>
      <c r="AH26" s="449"/>
      <c r="AI26" s="449"/>
      <c r="AJ26" s="449"/>
      <c r="AK26" s="449"/>
      <c r="AL26" s="449"/>
      <c r="AM26" s="450"/>
      <c r="AN26" s="450"/>
      <c r="AO26" s="450"/>
      <c r="AP26" s="450"/>
      <c r="AQ26" s="450"/>
      <c r="AR26" s="450"/>
      <c r="AS26" s="450"/>
      <c r="AT26" s="450"/>
      <c r="AU26" s="450"/>
      <c r="AV26" s="450"/>
      <c r="AW26" s="450"/>
      <c r="AX26" s="450"/>
      <c r="AY26" s="450"/>
      <c r="AZ26" s="450"/>
      <c r="BA26" s="450"/>
      <c r="CV26" s="452"/>
      <c r="CX26" s="448"/>
      <c r="CY26" s="448"/>
      <c r="CZ26" s="448"/>
      <c r="DA26" s="448"/>
      <c r="DB26" s="448"/>
    </row>
    <row r="27" spans="1:106" ht="16.5" hidden="1" customHeight="1" outlineLevel="2">
      <c r="A27" s="451"/>
      <c r="C27" s="444"/>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5"/>
      <c r="AB27" s="445"/>
      <c r="AC27" s="445"/>
      <c r="AD27" s="445"/>
      <c r="AE27" s="449"/>
      <c r="AF27" s="449"/>
      <c r="AG27" s="449"/>
      <c r="AH27" s="449"/>
      <c r="AI27" s="449"/>
      <c r="AJ27" s="449"/>
      <c r="AK27" s="449"/>
      <c r="AL27" s="449"/>
      <c r="AM27" s="450"/>
      <c r="AN27" s="450"/>
      <c r="AO27" s="450"/>
      <c r="AP27" s="450"/>
      <c r="AQ27" s="450"/>
      <c r="AR27" s="450"/>
      <c r="AS27" s="450"/>
      <c r="AT27" s="450"/>
      <c r="AU27" s="450"/>
      <c r="AV27" s="450"/>
      <c r="AW27" s="450"/>
      <c r="AX27" s="450"/>
      <c r="AY27" s="450"/>
      <c r="AZ27" s="450"/>
      <c r="BA27" s="450"/>
      <c r="CV27" s="452"/>
      <c r="CX27" s="448"/>
      <c r="CY27" s="448"/>
      <c r="CZ27" s="448"/>
      <c r="DA27" s="448"/>
      <c r="DB27" s="448"/>
    </row>
    <row r="28" spans="1:106" ht="16.5" hidden="1" customHeight="1" outlineLevel="2">
      <c r="A28" s="451"/>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5"/>
      <c r="AB28" s="445"/>
      <c r="AC28" s="445"/>
      <c r="AD28" s="445"/>
      <c r="AE28" s="449"/>
      <c r="AF28" s="449"/>
      <c r="AG28" s="449"/>
      <c r="AH28" s="449"/>
      <c r="AI28" s="449"/>
      <c r="AJ28" s="449"/>
      <c r="AK28" s="449"/>
      <c r="AL28" s="449"/>
      <c r="AM28" s="450"/>
      <c r="AN28" s="450"/>
      <c r="AO28" s="450"/>
      <c r="AP28" s="450"/>
      <c r="AQ28" s="450"/>
      <c r="AR28" s="450"/>
      <c r="AS28" s="450"/>
      <c r="AT28" s="450"/>
      <c r="AU28" s="450"/>
      <c r="AV28" s="450"/>
      <c r="AW28" s="450"/>
      <c r="AX28" s="450"/>
      <c r="AY28" s="450"/>
      <c r="AZ28" s="450"/>
      <c r="BA28" s="450"/>
      <c r="CV28" s="452"/>
      <c r="CX28" s="448"/>
      <c r="CY28" s="448"/>
      <c r="CZ28" s="448"/>
      <c r="DA28" s="448"/>
      <c r="DB28" s="448"/>
    </row>
    <row r="29" spans="1:106" outlineLevel="1" collapsed="1">
      <c r="A29" s="451"/>
      <c r="B29" s="438"/>
      <c r="C29" s="438"/>
      <c r="D29" s="438"/>
      <c r="E29" s="438"/>
      <c r="F29" s="438"/>
      <c r="G29" s="438"/>
      <c r="H29" s="438"/>
      <c r="I29" s="438"/>
      <c r="J29" s="438"/>
      <c r="K29" s="438"/>
      <c r="L29" s="438"/>
      <c r="M29" s="438"/>
      <c r="N29" s="438"/>
      <c r="O29" s="438"/>
      <c r="P29" s="438"/>
      <c r="Q29" s="438"/>
      <c r="R29" s="438"/>
      <c r="S29" s="438"/>
      <c r="T29" s="438"/>
      <c r="U29" s="438"/>
      <c r="V29" s="438"/>
      <c r="W29" s="438"/>
      <c r="X29" s="438"/>
      <c r="Y29" s="438"/>
      <c r="Z29" s="438"/>
      <c r="AA29" s="453"/>
      <c r="AB29" s="453"/>
      <c r="AC29" s="453"/>
      <c r="AD29" s="453"/>
      <c r="AE29" s="454"/>
      <c r="AF29" s="454"/>
      <c r="AG29" s="454"/>
      <c r="AH29" s="454"/>
      <c r="AI29" s="454"/>
      <c r="AJ29" s="454"/>
      <c r="AK29" s="454"/>
      <c r="AL29" s="454"/>
      <c r="AM29" s="455"/>
      <c r="AN29" s="455"/>
      <c r="AO29" s="455"/>
      <c r="AP29" s="455"/>
      <c r="AQ29" s="455"/>
      <c r="AR29" s="455"/>
      <c r="AS29" s="455"/>
      <c r="AT29" s="455"/>
      <c r="AU29" s="455"/>
      <c r="AV29" s="455"/>
      <c r="AW29" s="455"/>
      <c r="AX29" s="455"/>
      <c r="AY29" s="455"/>
      <c r="AZ29" s="455"/>
      <c r="BA29" s="455"/>
      <c r="CV29" s="452"/>
      <c r="CX29" s="448"/>
      <c r="CY29" s="448"/>
      <c r="CZ29" s="448"/>
      <c r="DA29" s="448"/>
      <c r="DB29" s="448"/>
    </row>
    <row r="30" spans="1:106" ht="13.5" thickBot="1">
      <c r="A30" s="456"/>
      <c r="B30" s="457" t="s">
        <v>1369</v>
      </c>
      <c r="C30" s="458"/>
      <c r="D30" s="459">
        <f t="shared" ref="D30:BO30" si="8">SUM(D9:D23)</f>
        <v>802438.52</v>
      </c>
      <c r="E30" s="459">
        <f t="shared" si="8"/>
        <v>159643.56</v>
      </c>
      <c r="F30" s="459">
        <f t="shared" si="8"/>
        <v>301546.87</v>
      </c>
      <c r="G30" s="459">
        <f t="shared" si="8"/>
        <v>186398.46</v>
      </c>
      <c r="H30" s="459">
        <f t="shared" si="8"/>
        <v>254307.01</v>
      </c>
      <c r="I30" s="459">
        <f t="shared" si="8"/>
        <v>70881.39</v>
      </c>
      <c r="J30" s="459">
        <f t="shared" si="8"/>
        <v>169633.29</v>
      </c>
      <c r="K30" s="459">
        <f t="shared" si="8"/>
        <v>236019.58</v>
      </c>
      <c r="L30" s="459">
        <f t="shared" si="8"/>
        <v>185030.5</v>
      </c>
      <c r="M30" s="459">
        <f t="shared" si="8"/>
        <v>660980.27</v>
      </c>
      <c r="N30" s="459">
        <f t="shared" si="8"/>
        <v>88905.3</v>
      </c>
      <c r="O30" s="459">
        <f t="shared" si="8"/>
        <v>80169.91</v>
      </c>
      <c r="P30" s="459">
        <f t="shared" si="8"/>
        <v>9143.0499999999993</v>
      </c>
      <c r="Q30" s="459">
        <f t="shared" si="8"/>
        <v>3046.48</v>
      </c>
      <c r="R30" s="459">
        <f t="shared" si="8"/>
        <v>0</v>
      </c>
      <c r="S30" s="459">
        <f t="shared" si="8"/>
        <v>0</v>
      </c>
      <c r="T30" s="459">
        <f t="shared" si="8"/>
        <v>0</v>
      </c>
      <c r="U30" s="459">
        <f t="shared" si="8"/>
        <v>0</v>
      </c>
      <c r="V30" s="459">
        <f t="shared" si="8"/>
        <v>0</v>
      </c>
      <c r="W30" s="459">
        <f t="shared" si="8"/>
        <v>0</v>
      </c>
      <c r="X30" s="459">
        <f t="shared" si="8"/>
        <v>0</v>
      </c>
      <c r="Y30" s="459">
        <f t="shared" si="8"/>
        <v>0</v>
      </c>
      <c r="Z30" s="459">
        <f t="shared" si="8"/>
        <v>0</v>
      </c>
      <c r="AA30" s="459">
        <f t="shared" si="8"/>
        <v>0</v>
      </c>
      <c r="AB30" s="459">
        <f t="shared" si="8"/>
        <v>0</v>
      </c>
      <c r="AC30" s="459">
        <f t="shared" si="8"/>
        <v>0</v>
      </c>
      <c r="AD30" s="459">
        <f t="shared" si="8"/>
        <v>2923572.47</v>
      </c>
      <c r="AE30" s="459">
        <f t="shared" si="8"/>
        <v>0</v>
      </c>
      <c r="AF30" s="459">
        <f t="shared" si="8"/>
        <v>0</v>
      </c>
      <c r="AG30" s="459">
        <f t="shared" si="8"/>
        <v>2411.7600000000002</v>
      </c>
      <c r="AH30" s="459">
        <f t="shared" si="8"/>
        <v>-2411.7600000000002</v>
      </c>
      <c r="AI30" s="459">
        <f t="shared" si="8"/>
        <v>3659014.18</v>
      </c>
      <c r="AJ30" s="459">
        <f t="shared" si="8"/>
        <v>167271.51</v>
      </c>
      <c r="AK30" s="459">
        <f t="shared" si="8"/>
        <v>217725.19</v>
      </c>
      <c r="AL30" s="459">
        <f t="shared" si="8"/>
        <v>136193.22</v>
      </c>
      <c r="AM30" s="459">
        <f t="shared" si="8"/>
        <v>208198.75</v>
      </c>
      <c r="AN30" s="459">
        <f t="shared" si="8"/>
        <v>167565.87</v>
      </c>
      <c r="AO30" s="459">
        <f t="shared" si="8"/>
        <v>215132.13</v>
      </c>
      <c r="AP30" s="459">
        <f t="shared" si="8"/>
        <v>199483.89</v>
      </c>
      <c r="AQ30" s="459">
        <f t="shared" si="8"/>
        <v>313146.84999999998</v>
      </c>
      <c r="AR30" s="459">
        <f t="shared" si="8"/>
        <v>148655.5</v>
      </c>
      <c r="AS30" s="459">
        <f t="shared" si="8"/>
        <v>286410.01</v>
      </c>
      <c r="AT30" s="459">
        <f t="shared" si="8"/>
        <v>146342.59</v>
      </c>
      <c r="AU30" s="459">
        <f t="shared" si="8"/>
        <v>158691.79999999999</v>
      </c>
      <c r="AV30" s="459">
        <f t="shared" si="8"/>
        <v>172685.86000000002</v>
      </c>
      <c r="AW30" s="459">
        <f t="shared" si="8"/>
        <v>265334.96000000002</v>
      </c>
      <c r="AX30" s="459">
        <f t="shared" si="8"/>
        <v>288026.25</v>
      </c>
      <c r="AY30" s="459">
        <f t="shared" si="8"/>
        <v>279667.71000000002</v>
      </c>
      <c r="AZ30" s="459">
        <f t="shared" si="8"/>
        <v>386216.68</v>
      </c>
      <c r="BA30" s="459">
        <f t="shared" si="8"/>
        <v>199592.11</v>
      </c>
      <c r="BB30" s="459">
        <f t="shared" si="8"/>
        <v>189315.13</v>
      </c>
      <c r="BC30" s="459">
        <f t="shared" si="8"/>
        <v>201230.11</v>
      </c>
      <c r="BD30" s="459">
        <f t="shared" si="8"/>
        <v>234815.04</v>
      </c>
      <c r="BE30" s="459">
        <f t="shared" si="8"/>
        <v>243316.73</v>
      </c>
      <c r="BF30" s="459">
        <f t="shared" si="8"/>
        <v>132709.62</v>
      </c>
      <c r="BG30" s="459">
        <f t="shared" si="8"/>
        <v>313996.43</v>
      </c>
      <c r="BH30" s="459">
        <f t="shared" si="8"/>
        <v>226271.46</v>
      </c>
      <c r="BI30" s="459">
        <f t="shared" si="8"/>
        <v>343246.03</v>
      </c>
      <c r="BJ30" s="459">
        <f t="shared" si="8"/>
        <v>453265.93</v>
      </c>
      <c r="BK30" s="459">
        <f t="shared" si="8"/>
        <v>300879.88</v>
      </c>
      <c r="BL30" s="459">
        <f t="shared" si="8"/>
        <v>266585.61</v>
      </c>
      <c r="BM30" s="459">
        <f t="shared" si="8"/>
        <v>71720.78</v>
      </c>
      <c r="BN30" s="459">
        <f t="shared" si="8"/>
        <v>92529.02</v>
      </c>
      <c r="BO30" s="459">
        <f t="shared" si="8"/>
        <v>207786.62</v>
      </c>
      <c r="BP30" s="459">
        <f t="shared" ref="BP30:CU30" si="9">SUM(BP9:BP23)</f>
        <v>494727.62</v>
      </c>
      <c r="BQ30" s="459">
        <f t="shared" si="9"/>
        <v>56781.38</v>
      </c>
      <c r="BR30" s="459">
        <f t="shared" si="9"/>
        <v>4220.9799999999996</v>
      </c>
      <c r="BS30" s="459">
        <f t="shared" si="9"/>
        <v>34659.07</v>
      </c>
      <c r="BT30" s="459">
        <f t="shared" si="9"/>
        <v>72498.39</v>
      </c>
      <c r="BU30" s="459">
        <f t="shared" si="9"/>
        <v>127034.67</v>
      </c>
      <c r="BV30" s="459">
        <f t="shared" si="9"/>
        <v>108767.9</v>
      </c>
      <c r="BW30" s="459">
        <f t="shared" si="9"/>
        <v>62435.74</v>
      </c>
      <c r="BX30" s="459">
        <f t="shared" si="9"/>
        <v>-13493.51</v>
      </c>
      <c r="BY30" s="459">
        <f t="shared" si="9"/>
        <v>46568.77</v>
      </c>
      <c r="BZ30" s="459">
        <f t="shared" si="9"/>
        <v>167052.23000000001</v>
      </c>
      <c r="CA30" s="459">
        <f t="shared" si="9"/>
        <v>395240.08</v>
      </c>
      <c r="CB30" s="459">
        <f t="shared" si="9"/>
        <v>96781.89</v>
      </c>
      <c r="CC30" s="459">
        <f t="shared" si="9"/>
        <v>114760.52</v>
      </c>
      <c r="CD30" s="459">
        <f t="shared" si="9"/>
        <v>228872.85</v>
      </c>
      <c r="CE30" s="459">
        <f t="shared" si="9"/>
        <v>165573.39000000001</v>
      </c>
      <c r="CF30" s="459">
        <f t="shared" si="9"/>
        <v>160476.81</v>
      </c>
      <c r="CG30" s="459">
        <f t="shared" si="9"/>
        <v>127839.59</v>
      </c>
      <c r="CH30" s="459">
        <f t="shared" si="9"/>
        <v>100477.83</v>
      </c>
      <c r="CI30" s="459">
        <f t="shared" si="9"/>
        <v>72698.75</v>
      </c>
      <c r="CJ30" s="459">
        <f t="shared" si="9"/>
        <v>56614.03</v>
      </c>
      <c r="CK30" s="459">
        <f t="shared" si="9"/>
        <v>107505.73</v>
      </c>
      <c r="CL30" s="459">
        <f t="shared" si="9"/>
        <v>234391.31</v>
      </c>
      <c r="CM30" s="459">
        <f t="shared" si="9"/>
        <v>234162.37</v>
      </c>
      <c r="CN30" s="459">
        <f t="shared" si="9"/>
        <v>187484.32</v>
      </c>
      <c r="CO30" s="459">
        <f t="shared" si="9"/>
        <v>338149.5</v>
      </c>
      <c r="CP30" s="459">
        <f t="shared" si="9"/>
        <v>171286.37</v>
      </c>
      <c r="CQ30" s="459">
        <f t="shared" si="9"/>
        <v>70851.899999999994</v>
      </c>
      <c r="CR30" s="459">
        <f t="shared" si="9"/>
        <v>61627.76</v>
      </c>
      <c r="CS30" s="459">
        <f t="shared" si="9"/>
        <v>0</v>
      </c>
      <c r="CT30" s="459">
        <f t="shared" si="9"/>
        <v>0</v>
      </c>
      <c r="CU30" s="459">
        <f t="shared" si="9"/>
        <v>0</v>
      </c>
      <c r="CV30" s="452">
        <f>SUM(D30:CU30)</f>
        <v>21110788.349999998</v>
      </c>
      <c r="CX30" s="448"/>
      <c r="CY30" s="448"/>
      <c r="CZ30" s="448"/>
      <c r="DA30" s="448"/>
      <c r="DB30" s="448"/>
    </row>
    <row r="31" spans="1:106">
      <c r="A31" s="460"/>
      <c r="B31" s="461" t="s">
        <v>1370</v>
      </c>
      <c r="C31" s="461"/>
      <c r="D31" s="462">
        <f>D30</f>
        <v>802438.52</v>
      </c>
      <c r="E31" s="462">
        <f t="shared" ref="E31:BP31" si="10">+D31+E30</f>
        <v>962082.08000000007</v>
      </c>
      <c r="F31" s="462">
        <f t="shared" si="10"/>
        <v>1263628.9500000002</v>
      </c>
      <c r="G31" s="462">
        <f t="shared" si="10"/>
        <v>1450027.4100000001</v>
      </c>
      <c r="H31" s="462">
        <f t="shared" si="10"/>
        <v>1704334.4200000002</v>
      </c>
      <c r="I31" s="462">
        <f t="shared" si="10"/>
        <v>1775215.81</v>
      </c>
      <c r="J31" s="462">
        <f t="shared" si="10"/>
        <v>1944849.1</v>
      </c>
      <c r="K31" s="462">
        <f t="shared" si="10"/>
        <v>2180868.6800000002</v>
      </c>
      <c r="L31" s="462">
        <f t="shared" si="10"/>
        <v>2365899.1800000002</v>
      </c>
      <c r="M31" s="462">
        <f t="shared" si="10"/>
        <v>3026879.45</v>
      </c>
      <c r="N31" s="462">
        <f t="shared" si="10"/>
        <v>3115784.75</v>
      </c>
      <c r="O31" s="462">
        <f t="shared" si="10"/>
        <v>3195954.66</v>
      </c>
      <c r="P31" s="462">
        <f t="shared" si="10"/>
        <v>3205097.71</v>
      </c>
      <c r="Q31" s="462">
        <f t="shared" si="10"/>
        <v>3208144.19</v>
      </c>
      <c r="R31" s="462">
        <f t="shared" si="10"/>
        <v>3208144.19</v>
      </c>
      <c r="S31" s="462">
        <f t="shared" si="10"/>
        <v>3208144.19</v>
      </c>
      <c r="T31" s="462">
        <f t="shared" si="10"/>
        <v>3208144.19</v>
      </c>
      <c r="U31" s="462">
        <f t="shared" si="10"/>
        <v>3208144.19</v>
      </c>
      <c r="V31" s="462">
        <f t="shared" si="10"/>
        <v>3208144.19</v>
      </c>
      <c r="W31" s="462">
        <f t="shared" si="10"/>
        <v>3208144.19</v>
      </c>
      <c r="X31" s="462">
        <f t="shared" si="10"/>
        <v>3208144.19</v>
      </c>
      <c r="Y31" s="462">
        <f t="shared" si="10"/>
        <v>3208144.19</v>
      </c>
      <c r="Z31" s="462">
        <f t="shared" si="10"/>
        <v>3208144.19</v>
      </c>
      <c r="AA31" s="462">
        <f t="shared" si="10"/>
        <v>3208144.19</v>
      </c>
      <c r="AB31" s="462">
        <f t="shared" si="10"/>
        <v>3208144.19</v>
      </c>
      <c r="AC31" s="462">
        <f t="shared" si="10"/>
        <v>3208144.19</v>
      </c>
      <c r="AD31" s="462">
        <f t="shared" si="10"/>
        <v>6131716.6600000001</v>
      </c>
      <c r="AE31" s="462">
        <f t="shared" si="10"/>
        <v>6131716.6600000001</v>
      </c>
      <c r="AF31" s="462">
        <f t="shared" si="10"/>
        <v>6131716.6600000001</v>
      </c>
      <c r="AG31" s="462">
        <f t="shared" si="10"/>
        <v>6134128.4199999999</v>
      </c>
      <c r="AH31" s="462">
        <f t="shared" si="10"/>
        <v>6131716.6600000001</v>
      </c>
      <c r="AI31" s="462">
        <f t="shared" si="10"/>
        <v>9790730.8399999999</v>
      </c>
      <c r="AJ31" s="462">
        <f t="shared" si="10"/>
        <v>9958002.3499999996</v>
      </c>
      <c r="AK31" s="462">
        <f t="shared" si="10"/>
        <v>10175727.539999999</v>
      </c>
      <c r="AL31" s="462">
        <f t="shared" si="10"/>
        <v>10311920.76</v>
      </c>
      <c r="AM31" s="462">
        <f t="shared" si="10"/>
        <v>10520119.51</v>
      </c>
      <c r="AN31" s="462">
        <f t="shared" si="10"/>
        <v>10687685.379999999</v>
      </c>
      <c r="AO31" s="462">
        <f t="shared" si="10"/>
        <v>10902817.51</v>
      </c>
      <c r="AP31" s="462">
        <f t="shared" si="10"/>
        <v>11102301.4</v>
      </c>
      <c r="AQ31" s="462">
        <f t="shared" si="10"/>
        <v>11415448.25</v>
      </c>
      <c r="AR31" s="462">
        <f t="shared" si="10"/>
        <v>11564103.75</v>
      </c>
      <c r="AS31" s="462">
        <f t="shared" si="10"/>
        <v>11850513.76</v>
      </c>
      <c r="AT31" s="462">
        <f t="shared" si="10"/>
        <v>11996856.35</v>
      </c>
      <c r="AU31" s="462">
        <f t="shared" si="10"/>
        <v>12155548.15</v>
      </c>
      <c r="AV31" s="462">
        <f t="shared" si="10"/>
        <v>12328234.01</v>
      </c>
      <c r="AW31" s="462">
        <f t="shared" si="10"/>
        <v>12593568.970000001</v>
      </c>
      <c r="AX31" s="462">
        <f t="shared" si="10"/>
        <v>12881595.220000001</v>
      </c>
      <c r="AY31" s="462">
        <f t="shared" si="10"/>
        <v>13161262.930000002</v>
      </c>
      <c r="AZ31" s="462">
        <f t="shared" si="10"/>
        <v>13547479.610000001</v>
      </c>
      <c r="BA31" s="462">
        <f t="shared" si="10"/>
        <v>13747071.720000001</v>
      </c>
      <c r="BB31" s="462">
        <f t="shared" si="10"/>
        <v>13936386.850000001</v>
      </c>
      <c r="BC31" s="462">
        <f t="shared" si="10"/>
        <v>14137616.960000001</v>
      </c>
      <c r="BD31" s="462">
        <f t="shared" si="10"/>
        <v>14372432</v>
      </c>
      <c r="BE31" s="462">
        <f t="shared" si="10"/>
        <v>14615748.73</v>
      </c>
      <c r="BF31" s="462">
        <f t="shared" si="10"/>
        <v>14748458.35</v>
      </c>
      <c r="BG31" s="462">
        <f t="shared" si="10"/>
        <v>15062454.779999999</v>
      </c>
      <c r="BH31" s="462">
        <f t="shared" si="10"/>
        <v>15288726.24</v>
      </c>
      <c r="BI31" s="462">
        <f t="shared" si="10"/>
        <v>15631972.27</v>
      </c>
      <c r="BJ31" s="462">
        <f t="shared" si="10"/>
        <v>16085238.199999999</v>
      </c>
      <c r="BK31" s="462">
        <f t="shared" si="10"/>
        <v>16386118.08</v>
      </c>
      <c r="BL31" s="462">
        <f t="shared" si="10"/>
        <v>16652703.689999999</v>
      </c>
      <c r="BM31" s="462">
        <f t="shared" si="10"/>
        <v>16724424.469999999</v>
      </c>
      <c r="BN31" s="462">
        <f t="shared" si="10"/>
        <v>16816953.489999998</v>
      </c>
      <c r="BO31" s="462">
        <f t="shared" si="10"/>
        <v>17024740.109999999</v>
      </c>
      <c r="BP31" s="462">
        <f t="shared" si="10"/>
        <v>17519467.73</v>
      </c>
      <c r="BQ31" s="462">
        <f t="shared" ref="BQ31:CU31" si="11">+BP31+BQ30</f>
        <v>17576249.109999999</v>
      </c>
      <c r="BR31" s="462">
        <f t="shared" si="11"/>
        <v>17580470.09</v>
      </c>
      <c r="BS31" s="462">
        <f t="shared" si="11"/>
        <v>17615129.16</v>
      </c>
      <c r="BT31" s="462">
        <f t="shared" si="11"/>
        <v>17687627.550000001</v>
      </c>
      <c r="BU31" s="462">
        <f t="shared" si="11"/>
        <v>17814662.220000003</v>
      </c>
      <c r="BV31" s="462">
        <f t="shared" si="11"/>
        <v>17923430.120000001</v>
      </c>
      <c r="BW31" s="462">
        <f t="shared" si="11"/>
        <v>17985865.859999999</v>
      </c>
      <c r="BX31" s="462">
        <f t="shared" si="11"/>
        <v>17972372.349999998</v>
      </c>
      <c r="BY31" s="462">
        <f t="shared" si="11"/>
        <v>18018941.119999997</v>
      </c>
      <c r="BZ31" s="462">
        <f t="shared" si="11"/>
        <v>18185993.349999998</v>
      </c>
      <c r="CA31" s="462">
        <f t="shared" si="11"/>
        <v>18581233.429999996</v>
      </c>
      <c r="CB31" s="462">
        <f t="shared" si="11"/>
        <v>18678015.319999997</v>
      </c>
      <c r="CC31" s="462">
        <f t="shared" si="11"/>
        <v>18792775.839999996</v>
      </c>
      <c r="CD31" s="462">
        <f t="shared" si="11"/>
        <v>19021648.689999998</v>
      </c>
      <c r="CE31" s="462">
        <f t="shared" si="11"/>
        <v>19187222.079999998</v>
      </c>
      <c r="CF31" s="462">
        <f t="shared" si="11"/>
        <v>19347698.889999997</v>
      </c>
      <c r="CG31" s="462">
        <f t="shared" si="11"/>
        <v>19475538.479999997</v>
      </c>
      <c r="CH31" s="462">
        <f t="shared" si="11"/>
        <v>19576016.309999995</v>
      </c>
      <c r="CI31" s="462">
        <f t="shared" si="11"/>
        <v>19648715.059999995</v>
      </c>
      <c r="CJ31" s="462">
        <f t="shared" si="11"/>
        <v>19705329.089999996</v>
      </c>
      <c r="CK31" s="462">
        <f t="shared" si="11"/>
        <v>19812834.819999997</v>
      </c>
      <c r="CL31" s="462">
        <f t="shared" si="11"/>
        <v>20047226.129999995</v>
      </c>
      <c r="CM31" s="462">
        <f t="shared" si="11"/>
        <v>20281388.499999996</v>
      </c>
      <c r="CN31" s="462">
        <f t="shared" si="11"/>
        <v>20468872.819999997</v>
      </c>
      <c r="CO31" s="462">
        <f t="shared" si="11"/>
        <v>20807022.319999997</v>
      </c>
      <c r="CP31" s="462">
        <f t="shared" si="11"/>
        <v>20978308.689999998</v>
      </c>
      <c r="CQ31" s="462">
        <f t="shared" si="11"/>
        <v>21049160.589999996</v>
      </c>
      <c r="CR31" s="462">
        <f t="shared" si="11"/>
        <v>21110788.349999998</v>
      </c>
      <c r="CS31" s="462">
        <f t="shared" si="11"/>
        <v>21110788.349999998</v>
      </c>
      <c r="CT31" s="462">
        <f t="shared" si="11"/>
        <v>21110788.349999998</v>
      </c>
      <c r="CU31" s="462">
        <f t="shared" si="11"/>
        <v>21110788.349999998</v>
      </c>
      <c r="CV31" s="463">
        <f>CU31-'Cumulative Through Feb 2026'!S84-'Cumulative Through Feb 2026'!S182</f>
        <v>0</v>
      </c>
    </row>
    <row r="32" spans="1:106" ht="13.5" thickBot="1">
      <c r="A32" s="456"/>
      <c r="B32" s="464" t="s">
        <v>1371</v>
      </c>
      <c r="C32" s="464"/>
      <c r="D32" s="465"/>
      <c r="E32" s="465"/>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5"/>
      <c r="AD32" s="466"/>
      <c r="AE32" s="467"/>
      <c r="AF32" s="468"/>
      <c r="AG32" s="468"/>
      <c r="AH32" s="468"/>
      <c r="AI32" s="468"/>
      <c r="AJ32" s="468"/>
      <c r="AK32" s="468"/>
      <c r="AL32" s="468"/>
      <c r="AM32" s="468"/>
      <c r="AN32" s="468"/>
      <c r="AO32" s="468"/>
      <c r="AP32" s="468"/>
      <c r="AQ32" s="468"/>
      <c r="AR32" s="468"/>
      <c r="AS32" s="468"/>
      <c r="AT32" s="469"/>
      <c r="AU32" s="469"/>
      <c r="AV32" s="469"/>
      <c r="AW32" s="469"/>
      <c r="AX32" s="469"/>
      <c r="AY32" s="469"/>
      <c r="AZ32" s="469"/>
      <c r="BA32" s="469"/>
      <c r="BB32" s="469"/>
      <c r="BC32" s="469"/>
      <c r="BD32" s="469"/>
      <c r="BE32" s="469"/>
      <c r="BF32" s="469"/>
      <c r="BG32" s="469"/>
      <c r="BH32" s="470"/>
      <c r="BI32" s="470"/>
      <c r="BJ32" s="470"/>
      <c r="BK32" s="470"/>
      <c r="BL32" s="470"/>
      <c r="BM32" s="470"/>
      <c r="BN32" s="470"/>
      <c r="BO32" s="470"/>
      <c r="BP32" s="470"/>
      <c r="BQ32" s="470"/>
      <c r="BR32" s="470"/>
      <c r="BS32" s="470"/>
      <c r="BT32" s="470"/>
      <c r="BU32" s="470"/>
      <c r="BV32" s="470"/>
      <c r="BW32" s="470"/>
      <c r="BX32" s="470"/>
      <c r="BY32" s="470"/>
      <c r="BZ32" s="470"/>
      <c r="CA32" s="470"/>
      <c r="CB32" s="470"/>
      <c r="CC32" s="470"/>
      <c r="CD32" s="470"/>
      <c r="CE32" s="470"/>
      <c r="CF32" s="470"/>
      <c r="CG32" s="470"/>
      <c r="CH32" s="470"/>
      <c r="CI32" s="470"/>
      <c r="CJ32" s="470"/>
      <c r="CK32" s="470"/>
      <c r="CL32" s="470"/>
      <c r="CM32" s="470"/>
      <c r="CN32" s="470"/>
      <c r="CO32" s="470"/>
      <c r="CP32" s="470"/>
      <c r="CQ32" s="470"/>
      <c r="CR32" s="470"/>
      <c r="CS32" s="470"/>
      <c r="CT32" s="470"/>
      <c r="CU32" s="470"/>
      <c r="CV32" s="452"/>
    </row>
    <row r="33" spans="1:102" ht="14.25" customHeight="1" outlineLevel="1">
      <c r="A33" s="441" t="str">
        <f>A9</f>
        <v>Assets 1</v>
      </c>
      <c r="B33" s="471" t="str">
        <f>B9</f>
        <v>FERC Plant Account 36400</v>
      </c>
      <c r="C33" s="472">
        <f>'Cumulative Through Feb 2026'!L4</f>
        <v>3.5200000000000002E-2</v>
      </c>
      <c r="D33" s="547"/>
      <c r="E33" s="547"/>
      <c r="F33" s="547"/>
      <c r="G33" s="547"/>
      <c r="H33" s="547"/>
      <c r="I33" s="547"/>
      <c r="J33" s="547"/>
      <c r="K33" s="547"/>
      <c r="L33" s="547"/>
      <c r="M33" s="547"/>
      <c r="N33" s="547"/>
      <c r="O33" s="547"/>
      <c r="P33" s="547"/>
      <c r="Q33" s="547"/>
      <c r="R33" s="547"/>
      <c r="S33" s="547"/>
      <c r="T33" s="547"/>
      <c r="U33" s="547"/>
      <c r="V33" s="547"/>
      <c r="W33" s="547"/>
      <c r="X33" s="547"/>
      <c r="Y33" s="547"/>
      <c r="Z33" s="547"/>
      <c r="AA33" s="547"/>
      <c r="AB33" s="547"/>
      <c r="AC33" s="547"/>
      <c r="AD33" s="547"/>
      <c r="AE33" s="473">
        <f>SUM($AD9:AD9)*$C33/12</f>
        <v>8575.8125786666678</v>
      </c>
      <c r="AF33" s="473">
        <f>SUM($AD9:AE9)*$C33/12</f>
        <v>8575.8125786666678</v>
      </c>
      <c r="AG33" s="473">
        <f>SUM($AD9:AF9)*$C33/12</f>
        <v>8575.8125786666678</v>
      </c>
      <c r="AH33" s="473">
        <f>SUM($AD9:AG9)*$C33/12</f>
        <v>8582.8870746666671</v>
      </c>
      <c r="AI33" s="473">
        <f>SUM($AD9:AH9)*$C33/12</f>
        <v>8575.8125786666678</v>
      </c>
      <c r="AJ33" s="473">
        <f>SUM($AD9:AI9)*$C33/12</f>
        <v>8575.8125786666678</v>
      </c>
      <c r="AK33" s="473">
        <f>SUM($AD9:AJ9)*$C33/12</f>
        <v>8575.8125786666678</v>
      </c>
      <c r="AL33" s="473">
        <f>SUM($AD9:AK9)*$C33/12</f>
        <v>8575.8125786666678</v>
      </c>
      <c r="AM33" s="473">
        <f>SUM($AD9:AL9)*$C33/12</f>
        <v>8575.8125786666678</v>
      </c>
      <c r="AN33" s="473">
        <f>SUM($AD9:AM9)*$C33/12</f>
        <v>8575.8125786666678</v>
      </c>
      <c r="AO33" s="473">
        <f>SUM($AD9:AN9)*$C33/12</f>
        <v>8575.8125786666678</v>
      </c>
      <c r="AP33" s="473">
        <f>SUM($AD9:AO9)*$C33/12</f>
        <v>8575.8125786666678</v>
      </c>
      <c r="AQ33" s="473">
        <f>SUM($AD9:AP9)*$C33/12</f>
        <v>8575.8125786666678</v>
      </c>
      <c r="AR33" s="473">
        <f>SUM($AD9:AQ9)*$C33/12</f>
        <v>8575.8125786666678</v>
      </c>
      <c r="AS33" s="473">
        <f>SUM($AD9:AR9)*$C33/12</f>
        <v>8575.8125786666678</v>
      </c>
      <c r="AT33" s="473">
        <f>SUM($AD9:AS9)*$C33/12</f>
        <v>8575.8125786666678</v>
      </c>
      <c r="AU33" s="473">
        <f>SUM($AD9:AT9)*$C33/12</f>
        <v>8575.8125786666678</v>
      </c>
      <c r="AV33" s="473">
        <f>SUM($AD9:AU9)*$C33/12</f>
        <v>8575.8125786666678</v>
      </c>
      <c r="AW33" s="473">
        <f>SUM($AD9:AV9)*$C33/12</f>
        <v>8575.8125786666678</v>
      </c>
      <c r="AX33" s="473">
        <f>SUM($AD9:AW9)*$C33/12</f>
        <v>8575.8125786666678</v>
      </c>
      <c r="AY33" s="473">
        <f>SUM($AD9:AX9)*$C33/12</f>
        <v>8575.8125786666678</v>
      </c>
      <c r="AZ33" s="473">
        <f>SUM($AD9:AY9)*$C33/12</f>
        <v>8575.8125786666678</v>
      </c>
      <c r="BA33" s="473">
        <f>SUM($AD9:AZ9)*$C33/12</f>
        <v>8575.8125786666678</v>
      </c>
      <c r="BB33" s="473">
        <f>SUM($AD9:BA9)*$C33/12</f>
        <v>8575.8125786666678</v>
      </c>
      <c r="BC33" s="473">
        <f>SUM($AD9:BB9)*$C33/12</f>
        <v>8575.8125786666678</v>
      </c>
      <c r="BD33" s="473">
        <f>SUM($AD9:BC9)*$C33/12</f>
        <v>8575.8125786666678</v>
      </c>
      <c r="BE33" s="473">
        <f>SUM($AD9:BD9)*$C33/12</f>
        <v>8575.8125786666678</v>
      </c>
      <c r="BF33" s="473">
        <f>SUM($AD9:BE9)*$C33/12</f>
        <v>8575.8125786666678</v>
      </c>
      <c r="BG33" s="473">
        <f>SUM($AD9:BF9)*$C33/12</f>
        <v>8575.8125786666678</v>
      </c>
      <c r="BH33" s="473">
        <f>SUM($AD9:BG9)*$C33/12</f>
        <v>8575.8125786666678</v>
      </c>
      <c r="BI33" s="473">
        <f>SUM($AD9:BH9)*$C33/12</f>
        <v>8575.8125786666678</v>
      </c>
      <c r="BJ33" s="473">
        <f>SUM($AD9:BI9)*$C33/12</f>
        <v>8575.8125786666678</v>
      </c>
      <c r="BK33" s="473">
        <f>SUM($AD9:BJ9)*$C33/12</f>
        <v>8575.8125786666678</v>
      </c>
      <c r="BL33" s="473">
        <f>SUM($AD9:BK9)*$C33/12</f>
        <v>8575.8125786666678</v>
      </c>
      <c r="BM33" s="473">
        <f>SUM($AD9:BL9)*$C33/12</f>
        <v>8575.8125786666678</v>
      </c>
      <c r="BN33" s="473">
        <f>SUM($AD9:BM9)*$C33/12</f>
        <v>8575.8125786666678</v>
      </c>
      <c r="BO33" s="473">
        <f>SUM($AD9:BN9)*$C33/12</f>
        <v>8575.8125786666678</v>
      </c>
      <c r="BP33" s="473">
        <f>SUM($AD9:BO9)*$C33/12</f>
        <v>8575.8125786666678</v>
      </c>
      <c r="BQ33" s="473">
        <f>SUM($AD9:BP9)*$C33/12</f>
        <v>8575.8125786666678</v>
      </c>
      <c r="BR33" s="473">
        <f>SUM($AD9:BQ9)*$C33/12</f>
        <v>8575.8125786666678</v>
      </c>
      <c r="BS33" s="473">
        <f>SUM($AD9:BR9)*$C33/12</f>
        <v>8575.8125786666678</v>
      </c>
      <c r="BT33" s="473">
        <f>SUM($AD9:BS9)*$C33/12</f>
        <v>8575.8125786666678</v>
      </c>
      <c r="BU33" s="473">
        <f>SUM($AD9:BT9)*$C33/12</f>
        <v>8575.8125786666678</v>
      </c>
      <c r="BV33" s="473">
        <f>SUM($AD9:BU9)*$C33/12</f>
        <v>8575.8125786666678</v>
      </c>
      <c r="BW33" s="473">
        <f>SUM($AD9:BV9)*$C33/12</f>
        <v>8575.8125786666678</v>
      </c>
      <c r="BX33" s="473">
        <f>SUM($AD9:BW9)*$C33/12</f>
        <v>8575.8125786666678</v>
      </c>
      <c r="BY33" s="473">
        <f>SUM($AD9:BX9)*$C33/12</f>
        <v>8575.8125786666678</v>
      </c>
      <c r="BZ33" s="473">
        <f>SUM($AD9:BY9)*$C33/12</f>
        <v>8575.8125786666678</v>
      </c>
      <c r="CA33" s="473">
        <f>SUM($AD9:BZ9)*$C33/12</f>
        <v>8575.8125786666678</v>
      </c>
      <c r="CB33" s="473">
        <f>SUM($AD9:CA9)*$C33/12</f>
        <v>8575.8125786666678</v>
      </c>
      <c r="CC33" s="473">
        <f>SUM($AD9:CB9)*$C33/12</f>
        <v>8575.8125786666678</v>
      </c>
      <c r="CD33" s="473">
        <f>SUM($AD9:CC9)*$C33/12</f>
        <v>8575.8125786666678</v>
      </c>
      <c r="CE33" s="473">
        <f>SUM($AD9:CD9)*$C33/12</f>
        <v>8575.8125786666678</v>
      </c>
      <c r="CF33" s="473">
        <f>SUM($AD9:CE9)*$C33/12</f>
        <v>8575.8125786666678</v>
      </c>
      <c r="CG33" s="473">
        <f>SUM($AD9:CF9)*$C33/12</f>
        <v>8575.8125786666678</v>
      </c>
      <c r="CH33" s="473">
        <f>SUM($AD9:CG9)*$C33/12</f>
        <v>8575.8125786666678</v>
      </c>
      <c r="CI33" s="473">
        <f>SUM($AD9:CH9)*$C33/12</f>
        <v>8575.8125786666678</v>
      </c>
      <c r="CJ33" s="473">
        <f>SUM($AD9:CI9)*$C33/12</f>
        <v>8575.8125786666678</v>
      </c>
      <c r="CK33" s="473">
        <f>SUM($AD9:CJ9)*$C33/12</f>
        <v>8575.8125786666678</v>
      </c>
      <c r="CL33" s="473">
        <f>SUM($AD9:CK9)*$C33/12</f>
        <v>8575.8125786666678</v>
      </c>
      <c r="CM33" s="473">
        <f>SUM($AD9:CL9)*$C33/12</f>
        <v>8575.8125786666678</v>
      </c>
      <c r="CN33" s="473">
        <f>SUM($AD9:CM9)*$C33/12</f>
        <v>8575.8125786666678</v>
      </c>
      <c r="CO33" s="473">
        <f>SUM($AD9:CN9)*$C33/12</f>
        <v>8575.8125786666678</v>
      </c>
      <c r="CP33" s="473">
        <f>SUM($AD9:CO9)*$C33/12</f>
        <v>8575.8125786666678</v>
      </c>
      <c r="CQ33" s="473">
        <f>SUM($AD9:CP9)*$C33/12</f>
        <v>8575.8125786666678</v>
      </c>
      <c r="CR33" s="473">
        <f>SUM($AD9:CQ9)*$C33/12</f>
        <v>8575.8125786666678</v>
      </c>
      <c r="CS33" s="473">
        <f>SUM($AD9:CR9)*$C33/12</f>
        <v>8575.8125786666678</v>
      </c>
      <c r="CT33" s="473">
        <f>SUM($AD9:CS9)*$C33/12</f>
        <v>8575.8125786666678</v>
      </c>
      <c r="CU33" s="473">
        <f>SUM($AD9:CT9)*$C33/12</f>
        <v>8575.8125786666678</v>
      </c>
      <c r="CV33" s="452">
        <f>SUM(D33:CU33)</f>
        <v>591738.14242400031</v>
      </c>
    </row>
    <row r="34" spans="1:102" ht="14.25" customHeight="1" outlineLevel="1">
      <c r="A34" s="489" t="str">
        <f>A10</f>
        <v>Assets 2</v>
      </c>
      <c r="B34" s="474" t="s">
        <v>1368</v>
      </c>
      <c r="C34" s="475">
        <f>'Cumulative Through Feb 2026'!L88</f>
        <v>3.5200000000000002E-2</v>
      </c>
      <c r="D34" s="476">
        <f>0</f>
        <v>0</v>
      </c>
      <c r="E34" s="476">
        <f>SUM($D10:$D10)*$C34/12</f>
        <v>2353.8196586666668</v>
      </c>
      <c r="F34" s="476">
        <f>SUM($D10:E10)*$C34/12</f>
        <v>2822.1074346666669</v>
      </c>
      <c r="G34" s="476">
        <f>SUM($D10:F10)*$C34/12</f>
        <v>3706.6449200000006</v>
      </c>
      <c r="H34" s="476">
        <f>SUM($D10:G10)*$C34/12</f>
        <v>4253.4137360000004</v>
      </c>
      <c r="I34" s="476">
        <f>SUM($D10:H10)*$C34/12</f>
        <v>4999.3809653333346</v>
      </c>
      <c r="J34" s="476">
        <f>SUM($D10:I10)*$C34/12</f>
        <v>5207.2997093333333</v>
      </c>
      <c r="K34" s="476">
        <f>SUM($D10:J10)*$C34/12</f>
        <v>5704.8906933333337</v>
      </c>
      <c r="L34" s="476">
        <f>SUM($D10:K10)*$C34/12</f>
        <v>6397.2147946666673</v>
      </c>
      <c r="M34" s="476">
        <f>SUM($D10:L10)*$C34/12</f>
        <v>6939.9709280000015</v>
      </c>
      <c r="N34" s="476">
        <f>SUM($D10:M10)*$C34/12</f>
        <v>8878.846386666668</v>
      </c>
      <c r="O34" s="476">
        <f>SUM($D10:N10)*$C34/12</f>
        <v>9139.6352666666662</v>
      </c>
      <c r="P34" s="476">
        <f>SUM($D10:O10)*$C34/12</f>
        <v>9374.8003360000021</v>
      </c>
      <c r="Q34" s="476">
        <f>SUM($D10:P10)*$C34/12</f>
        <v>9401.6199493333334</v>
      </c>
      <c r="R34" s="476">
        <f>SUM($D10:Q10)*$C34/12</f>
        <v>9410.5562906666673</v>
      </c>
      <c r="S34" s="476">
        <f>SUM($D10:R10)*$C34/12</f>
        <v>9410.5562906666673</v>
      </c>
      <c r="T34" s="476">
        <f>SUM($D10:S10)*$C34/12</f>
        <v>9410.5562906666673</v>
      </c>
      <c r="U34" s="476">
        <f>SUM($D10:T10)*$C34/12</f>
        <v>9410.5562906666673</v>
      </c>
      <c r="V34" s="476">
        <f>SUM($D10:U10)*$C34/12</f>
        <v>9410.5562906666673</v>
      </c>
      <c r="W34" s="476">
        <f>SUM($D10:V10)*$C34/12</f>
        <v>9410.5562906666673</v>
      </c>
      <c r="X34" s="476">
        <f>SUM($D10:W10)*$C34/12</f>
        <v>9410.5562906666673</v>
      </c>
      <c r="Y34" s="476">
        <f>SUM($D10:X10)*$C34/12</f>
        <v>9410.5562906666673</v>
      </c>
      <c r="Z34" s="476">
        <f>SUM($D10:Y10)*$C34/12</f>
        <v>9410.5562906666673</v>
      </c>
      <c r="AA34" s="476">
        <f>SUM($D10:Z10)*$C34/12</f>
        <v>9410.5562906666673</v>
      </c>
      <c r="AB34" s="476">
        <f>SUM($D10:AA10)*$C34/12</f>
        <v>9410.5562906666673</v>
      </c>
      <c r="AC34" s="476">
        <f>SUM($D10:AB10)*$C34/12</f>
        <v>9410.5562906666673</v>
      </c>
      <c r="AD34" s="476">
        <f>SUM($D10:AC10)*$C34/12</f>
        <v>9410.5562906666673</v>
      </c>
      <c r="AE34" s="476">
        <f>SUM($D10:AD10)*$C34/12</f>
        <v>9410.5562906666673</v>
      </c>
      <c r="AF34" s="476">
        <f>SUM($D10:AE10)*$C34/12</f>
        <v>9410.5562906666673</v>
      </c>
      <c r="AG34" s="476">
        <f>SUM($D10:AF10)*$C34/12</f>
        <v>9410.5562906666673</v>
      </c>
      <c r="AH34" s="476">
        <f>SUM($D10:AG10)*$C34/12</f>
        <v>9410.5562906666673</v>
      </c>
      <c r="AI34" s="476">
        <f>SUM($D10:AH10)*$C34/12</f>
        <v>9410.5562906666673</v>
      </c>
      <c r="AJ34" s="476">
        <f>SUM($D10:AI10)*$C34/12</f>
        <v>20143.664552000002</v>
      </c>
      <c r="AK34" s="476">
        <f>SUM($D10:AJ10)*$C34/12</f>
        <v>20634.327648000002</v>
      </c>
      <c r="AL34" s="476">
        <f>SUM($D10:AK10)*$C34/12</f>
        <v>21272.988205333335</v>
      </c>
      <c r="AM34" s="476">
        <f>SUM($D10:AL10)*$C34/12</f>
        <v>21672.488317333333</v>
      </c>
      <c r="AN34" s="476">
        <f>SUM($D10:AM10)*$C34/12</f>
        <v>22283.204650666667</v>
      </c>
      <c r="AO34" s="476">
        <f>SUM($D10:AN10)*$C34/12</f>
        <v>22774.731202666666</v>
      </c>
      <c r="AP34" s="476">
        <f>SUM($D10:AO10)*$C34/12</f>
        <v>23405.785450666666</v>
      </c>
      <c r="AQ34" s="476">
        <f>SUM($D10:AP10)*$C34/12</f>
        <v>23990.938194666669</v>
      </c>
      <c r="AR34" s="476">
        <f>SUM($D10:AQ10)*$C34/12</f>
        <v>24909.502288</v>
      </c>
      <c r="AS34" s="476">
        <f>SUM($D10:AR10)*$C34/12</f>
        <v>25345.558421333335</v>
      </c>
      <c r="AT34" s="476">
        <f>SUM($D10:AS10)*$C34/12</f>
        <v>26185.694450666666</v>
      </c>
      <c r="AU34" s="476">
        <f>SUM($D10:AT10)*$C34/12</f>
        <v>26614.966047999998</v>
      </c>
      <c r="AV34" s="476">
        <f>SUM($D10:AU10)*$C34/12</f>
        <v>27080.461994666668</v>
      </c>
      <c r="AW34" s="476">
        <f>SUM($D10:AV10)*$C34/12</f>
        <v>27587.007183999998</v>
      </c>
      <c r="AX34" s="476">
        <f>SUM($D10:AW10)*$C34/12</f>
        <v>28365.323066666668</v>
      </c>
      <c r="AY34" s="476">
        <f>SUM($D10:AX10)*$C34/12</f>
        <v>29210.200066666668</v>
      </c>
      <c r="AZ34" s="476">
        <f>SUM($D10:AY10)*$C34/12</f>
        <v>30030.558682666669</v>
      </c>
      <c r="BA34" s="476">
        <f>SUM($D10:AZ10)*$C34/12</f>
        <v>31163.460944000006</v>
      </c>
      <c r="BB34" s="476">
        <f>SUM($D10:BA10)*$C34/12</f>
        <v>31748.931133333335</v>
      </c>
      <c r="BC34" s="476">
        <f>SUM($D10:BB10)*$C34/12</f>
        <v>32304.255514666671</v>
      </c>
      <c r="BD34" s="476">
        <f>SUM($D10:BC10)*$C34/12</f>
        <v>32894.530504000002</v>
      </c>
      <c r="BE34" s="476">
        <f>SUM($D10:BD10)*$C34/12</f>
        <v>33583.321287999999</v>
      </c>
      <c r="BF34" s="476">
        <f>SUM($D10:BE10)*$C34/12</f>
        <v>34297.050362666669</v>
      </c>
      <c r="BG34" s="476">
        <f>SUM($D10:BF10)*$C34/12</f>
        <v>34686.331914666669</v>
      </c>
      <c r="BH34" s="476">
        <f>SUM($D10:BG10)*$C34/12</f>
        <v>35607.388109333333</v>
      </c>
      <c r="BI34" s="476">
        <f>SUM($D10:BH10)*$C34/12</f>
        <v>36271.117725333337</v>
      </c>
      <c r="BJ34" s="476">
        <f>SUM($D10:BI10)*$C34/12</f>
        <v>37277.972746666666</v>
      </c>
      <c r="BK34" s="476">
        <f>SUM($D10:BJ10)*$C34/12</f>
        <v>38607.552808</v>
      </c>
      <c r="BL34" s="476">
        <f>SUM($D10:BK10)*$C34/12</f>
        <v>39490.133789333333</v>
      </c>
      <c r="BM34" s="476">
        <f>SUM($D10:BL10)*$C34/12</f>
        <v>40272.118245333331</v>
      </c>
      <c r="BN34" s="476">
        <f>SUM($D10:BM10)*$C34/12</f>
        <v>40482.499199999998</v>
      </c>
      <c r="BO34" s="476">
        <f>SUM($D10:BN10)*$C34/12</f>
        <v>40753.917658666665</v>
      </c>
      <c r="BP34" s="476">
        <f>SUM($D10:BO10)*$C34/12</f>
        <v>41363.425077333326</v>
      </c>
      <c r="BQ34" s="476">
        <f>SUM($D10:BP10)*$C34/12</f>
        <v>42814.626095999993</v>
      </c>
      <c r="BR34" s="476">
        <f>SUM($D10:BQ10)*$C34/12</f>
        <v>42981.184810666658</v>
      </c>
      <c r="BS34" s="476">
        <f>SUM($D10:BR10)*$C34/12</f>
        <v>42993.566351999994</v>
      </c>
      <c r="BT34" s="476">
        <f>SUM($D10:BS10)*$C34/12</f>
        <v>43095.232957333334</v>
      </c>
      <c r="BU34" s="476">
        <f>SUM($D10:BT10)*$C34/12</f>
        <v>43307.894901333333</v>
      </c>
      <c r="BV34" s="476">
        <f>SUM($D10:BU10)*$C34/12</f>
        <v>43680.529933333331</v>
      </c>
      <c r="BW34" s="476">
        <f>SUM($D10:BV10)*$C34/12</f>
        <v>43999.582439999998</v>
      </c>
      <c r="BX34" s="476">
        <f>SUM($D10:BW10)*$C34/12</f>
        <v>44182.727277333332</v>
      </c>
      <c r="BY34" s="476">
        <f>SUM($D10:BX10)*$C34/12</f>
        <v>44143.146314666665</v>
      </c>
      <c r="BZ34" s="476">
        <f>SUM($D10:BY10)*$C34/12</f>
        <v>44279.748039999999</v>
      </c>
      <c r="CA34" s="476">
        <f>SUM($D10:BZ10)*$C34/12</f>
        <v>44769.767914666671</v>
      </c>
      <c r="CB34" s="476">
        <f>SUM($D10:CA10)*$C34/12</f>
        <v>45929.138815999999</v>
      </c>
      <c r="CC34" s="476">
        <f>SUM($D10:CB10)*$C34/12</f>
        <v>46213.032360000005</v>
      </c>
      <c r="CD34" s="476">
        <f>SUM($D10:CC10)*$C34/12</f>
        <v>46549.663218666661</v>
      </c>
      <c r="CE34" s="476">
        <f>SUM($D10:CD10)*$C34/12</f>
        <v>47221.023578666667</v>
      </c>
      <c r="CF34" s="476">
        <f>SUM($D10:CE10)*$C34/12</f>
        <v>47706.705522666663</v>
      </c>
      <c r="CG34" s="476">
        <f>SUM($D10:CF10)*$C34/12</f>
        <v>48177.437498666666</v>
      </c>
      <c r="CH34" s="476">
        <f>SUM($D10:CG10)*$C34/12</f>
        <v>48552.433629333333</v>
      </c>
      <c r="CI34" s="476">
        <f>SUM($D10:CH10)*$C34/12</f>
        <v>48847.168597333337</v>
      </c>
      <c r="CJ34" s="476">
        <f>SUM($D10:CI10)*$C34/12</f>
        <v>49060.418264000007</v>
      </c>
      <c r="CK34" s="476">
        <f>SUM($D10:CJ10)*$C34/12</f>
        <v>49226.486085333338</v>
      </c>
      <c r="CL34" s="476">
        <f>SUM($D10:CK10)*$C34/12</f>
        <v>49541.836226666674</v>
      </c>
      <c r="CM34" s="476">
        <f>SUM($D10:CL10)*$C34/12</f>
        <v>50229.38406933334</v>
      </c>
      <c r="CN34" s="476">
        <f>SUM($D10:CM10)*$C34/12</f>
        <v>50916.260354666672</v>
      </c>
      <c r="CO34" s="476">
        <f>SUM($D10:CN10)*$C34/12</f>
        <v>51466.214360000005</v>
      </c>
      <c r="CP34" s="476">
        <f>SUM($D10:CO10)*$C34/12</f>
        <v>52458.119560000014</v>
      </c>
      <c r="CQ34" s="476">
        <f>SUM($D10:CP10)*$C34/12</f>
        <v>52960.559578666674</v>
      </c>
      <c r="CR34" s="476">
        <f>SUM($D10:CQ10)*$C34/12</f>
        <v>53168.391818666678</v>
      </c>
      <c r="CS34" s="476">
        <f>SUM($D10:CR10)*$C34/12</f>
        <v>53349.166581333346</v>
      </c>
      <c r="CT34" s="476">
        <f>SUM($D10:CS10)*$C34/12</f>
        <v>53349.166581333346</v>
      </c>
      <c r="CU34" s="476">
        <f>SUM($D10:CT10)*$C34/12</f>
        <v>53349.166581333346</v>
      </c>
      <c r="CV34" s="452">
        <f>SUM(D34:CU34)</f>
        <v>2729400.8457759996</v>
      </c>
    </row>
    <row r="35" spans="1:102" ht="14.25" customHeight="1" outlineLevel="1" thickBot="1">
      <c r="A35" s="456"/>
      <c r="B35" s="457"/>
      <c r="C35" s="457"/>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77"/>
      <c r="AJ35" s="477"/>
      <c r="AK35" s="477"/>
      <c r="AL35" s="477"/>
      <c r="AM35" s="477"/>
      <c r="AN35" s="477"/>
      <c r="AO35" s="477"/>
      <c r="AP35" s="477"/>
      <c r="AQ35" s="477"/>
      <c r="AR35" s="477"/>
      <c r="AS35" s="477"/>
      <c r="AT35" s="477"/>
      <c r="AU35" s="477"/>
      <c r="AV35" s="477"/>
      <c r="AW35" s="477"/>
      <c r="AX35" s="477"/>
      <c r="AY35" s="477"/>
      <c r="AZ35" s="477"/>
      <c r="BA35" s="477"/>
      <c r="BB35" s="477"/>
      <c r="BC35" s="477"/>
      <c r="BD35" s="477"/>
      <c r="BE35" s="477"/>
      <c r="BF35" s="477"/>
      <c r="BG35" s="477"/>
      <c r="BH35" s="477"/>
      <c r="BI35" s="477"/>
      <c r="BJ35" s="477"/>
      <c r="BK35" s="477"/>
      <c r="BL35" s="477"/>
      <c r="BM35" s="477"/>
      <c r="BN35" s="477"/>
      <c r="BO35" s="477"/>
      <c r="BP35" s="477"/>
      <c r="BQ35" s="477"/>
      <c r="BR35" s="477"/>
      <c r="BS35" s="477"/>
      <c r="BT35" s="477"/>
      <c r="BU35" s="477"/>
      <c r="BV35" s="477"/>
      <c r="BW35" s="477"/>
      <c r="BX35" s="477"/>
      <c r="BY35" s="477"/>
      <c r="BZ35" s="477"/>
      <c r="CA35" s="477"/>
      <c r="CB35" s="477"/>
      <c r="CC35" s="477"/>
      <c r="CD35" s="477"/>
      <c r="CE35" s="477"/>
      <c r="CF35" s="477"/>
      <c r="CG35" s="477"/>
      <c r="CH35" s="477"/>
      <c r="CI35" s="477"/>
      <c r="CJ35" s="477"/>
      <c r="CK35" s="477"/>
      <c r="CL35" s="477"/>
      <c r="CM35" s="477"/>
      <c r="CN35" s="477"/>
      <c r="CO35" s="477"/>
      <c r="CP35" s="477"/>
      <c r="CQ35" s="477"/>
      <c r="CR35" s="477"/>
      <c r="CS35" s="477"/>
      <c r="CT35" s="477"/>
      <c r="CU35" s="477"/>
      <c r="CV35" s="452"/>
    </row>
    <row r="36" spans="1:102" outlineLevel="1">
      <c r="B36" s="474" t="s">
        <v>1372</v>
      </c>
      <c r="C36" s="474"/>
      <c r="D36" s="478">
        <f t="shared" ref="D36:BO36" si="12">SUM(D33:D35)</f>
        <v>0</v>
      </c>
      <c r="E36" s="478">
        <f t="shared" si="12"/>
        <v>2353.8196586666668</v>
      </c>
      <c r="F36" s="478">
        <f t="shared" si="12"/>
        <v>2822.1074346666669</v>
      </c>
      <c r="G36" s="478">
        <f t="shared" si="12"/>
        <v>3706.6449200000006</v>
      </c>
      <c r="H36" s="478">
        <f t="shared" si="12"/>
        <v>4253.4137360000004</v>
      </c>
      <c r="I36" s="478">
        <f t="shared" si="12"/>
        <v>4999.3809653333346</v>
      </c>
      <c r="J36" s="478">
        <f t="shared" si="12"/>
        <v>5207.2997093333333</v>
      </c>
      <c r="K36" s="478">
        <f t="shared" si="12"/>
        <v>5704.8906933333337</v>
      </c>
      <c r="L36" s="478">
        <f t="shared" si="12"/>
        <v>6397.2147946666673</v>
      </c>
      <c r="M36" s="478">
        <f t="shared" si="12"/>
        <v>6939.9709280000015</v>
      </c>
      <c r="N36" s="478">
        <f t="shared" si="12"/>
        <v>8878.846386666668</v>
      </c>
      <c r="O36" s="478">
        <f t="shared" si="12"/>
        <v>9139.6352666666662</v>
      </c>
      <c r="P36" s="478">
        <f t="shared" si="12"/>
        <v>9374.8003360000021</v>
      </c>
      <c r="Q36" s="478">
        <f t="shared" si="12"/>
        <v>9401.6199493333334</v>
      </c>
      <c r="R36" s="478">
        <f t="shared" si="12"/>
        <v>9410.5562906666673</v>
      </c>
      <c r="S36" s="478">
        <f t="shared" si="12"/>
        <v>9410.5562906666673</v>
      </c>
      <c r="T36" s="478">
        <f t="shared" si="12"/>
        <v>9410.5562906666673</v>
      </c>
      <c r="U36" s="478">
        <f t="shared" si="12"/>
        <v>9410.5562906666673</v>
      </c>
      <c r="V36" s="478">
        <f t="shared" si="12"/>
        <v>9410.5562906666673</v>
      </c>
      <c r="W36" s="478">
        <f t="shared" si="12"/>
        <v>9410.5562906666673</v>
      </c>
      <c r="X36" s="478">
        <f t="shared" si="12"/>
        <v>9410.5562906666673</v>
      </c>
      <c r="Y36" s="478">
        <f t="shared" si="12"/>
        <v>9410.5562906666673</v>
      </c>
      <c r="Z36" s="478">
        <f t="shared" si="12"/>
        <v>9410.5562906666673</v>
      </c>
      <c r="AA36" s="478">
        <f t="shared" si="12"/>
        <v>9410.5562906666673</v>
      </c>
      <c r="AB36" s="478">
        <f t="shared" si="12"/>
        <v>9410.5562906666673</v>
      </c>
      <c r="AC36" s="478">
        <f t="shared" si="12"/>
        <v>9410.5562906666673</v>
      </c>
      <c r="AD36" s="478">
        <f t="shared" si="12"/>
        <v>9410.5562906666673</v>
      </c>
      <c r="AE36" s="478">
        <f t="shared" si="12"/>
        <v>17986.368869333335</v>
      </c>
      <c r="AF36" s="478">
        <f t="shared" si="12"/>
        <v>17986.368869333335</v>
      </c>
      <c r="AG36" s="478">
        <f t="shared" si="12"/>
        <v>17986.368869333335</v>
      </c>
      <c r="AH36" s="478">
        <f t="shared" si="12"/>
        <v>17993.443365333333</v>
      </c>
      <c r="AI36" s="478">
        <f t="shared" si="12"/>
        <v>17986.368869333335</v>
      </c>
      <c r="AJ36" s="478">
        <f t="shared" si="12"/>
        <v>28719.47713066667</v>
      </c>
      <c r="AK36" s="478">
        <f t="shared" si="12"/>
        <v>29210.14022666667</v>
      </c>
      <c r="AL36" s="478">
        <f t="shared" si="12"/>
        <v>29848.800784000003</v>
      </c>
      <c r="AM36" s="478">
        <f t="shared" si="12"/>
        <v>30248.300896000001</v>
      </c>
      <c r="AN36" s="478">
        <f t="shared" si="12"/>
        <v>30859.017229333334</v>
      </c>
      <c r="AO36" s="478">
        <f t="shared" si="12"/>
        <v>31350.543781333334</v>
      </c>
      <c r="AP36" s="478">
        <f t="shared" si="12"/>
        <v>31981.598029333334</v>
      </c>
      <c r="AQ36" s="478">
        <f t="shared" si="12"/>
        <v>32566.750773333337</v>
      </c>
      <c r="AR36" s="478">
        <f t="shared" si="12"/>
        <v>33485.314866666668</v>
      </c>
      <c r="AS36" s="478">
        <f t="shared" si="12"/>
        <v>33921.370999999999</v>
      </c>
      <c r="AT36" s="478">
        <f t="shared" si="12"/>
        <v>34761.507029333334</v>
      </c>
      <c r="AU36" s="478">
        <f t="shared" si="12"/>
        <v>35190.778626666666</v>
      </c>
      <c r="AV36" s="478">
        <f t="shared" si="12"/>
        <v>35656.274573333336</v>
      </c>
      <c r="AW36" s="478">
        <f t="shared" si="12"/>
        <v>36162.819762666666</v>
      </c>
      <c r="AX36" s="478">
        <f t="shared" si="12"/>
        <v>36941.135645333336</v>
      </c>
      <c r="AY36" s="478">
        <f t="shared" si="12"/>
        <v>37786.012645333336</v>
      </c>
      <c r="AZ36" s="478">
        <f t="shared" si="12"/>
        <v>38606.371261333334</v>
      </c>
      <c r="BA36" s="478">
        <f t="shared" si="12"/>
        <v>39739.27352266667</v>
      </c>
      <c r="BB36" s="478">
        <f t="shared" si="12"/>
        <v>40324.743712000003</v>
      </c>
      <c r="BC36" s="478">
        <f t="shared" si="12"/>
        <v>40880.068093333335</v>
      </c>
      <c r="BD36" s="478">
        <f t="shared" si="12"/>
        <v>41470.343082666674</v>
      </c>
      <c r="BE36" s="478">
        <f t="shared" si="12"/>
        <v>42159.133866666671</v>
      </c>
      <c r="BF36" s="478">
        <f t="shared" si="12"/>
        <v>42872.86294133334</v>
      </c>
      <c r="BG36" s="478">
        <f t="shared" si="12"/>
        <v>43262.144493333341</v>
      </c>
      <c r="BH36" s="478">
        <f t="shared" si="12"/>
        <v>44183.200687999997</v>
      </c>
      <c r="BI36" s="478">
        <f t="shared" si="12"/>
        <v>44846.930304000009</v>
      </c>
      <c r="BJ36" s="478">
        <f t="shared" si="12"/>
        <v>45853.785325333331</v>
      </c>
      <c r="BK36" s="478">
        <f t="shared" si="12"/>
        <v>47183.365386666672</v>
      </c>
      <c r="BL36" s="478">
        <f t="shared" si="12"/>
        <v>48065.946368000004</v>
      </c>
      <c r="BM36" s="478">
        <f t="shared" si="12"/>
        <v>48847.930823999995</v>
      </c>
      <c r="BN36" s="478">
        <f t="shared" si="12"/>
        <v>49058.31177866667</v>
      </c>
      <c r="BO36" s="478">
        <f t="shared" si="12"/>
        <v>49329.730237333337</v>
      </c>
      <c r="BP36" s="478">
        <f t="shared" ref="BP36:CU36" si="13">SUM(BP33:BP35)</f>
        <v>49939.237655999998</v>
      </c>
      <c r="BQ36" s="478">
        <f t="shared" si="13"/>
        <v>51390.438674666657</v>
      </c>
      <c r="BR36" s="478">
        <f t="shared" si="13"/>
        <v>51556.997389333323</v>
      </c>
      <c r="BS36" s="478">
        <f t="shared" si="13"/>
        <v>51569.378930666659</v>
      </c>
      <c r="BT36" s="478">
        <f t="shared" si="13"/>
        <v>51671.045536000005</v>
      </c>
      <c r="BU36" s="478">
        <f t="shared" si="13"/>
        <v>51883.707479999997</v>
      </c>
      <c r="BV36" s="478">
        <f t="shared" si="13"/>
        <v>52256.342512000003</v>
      </c>
      <c r="BW36" s="478">
        <f t="shared" si="13"/>
        <v>52575.395018666663</v>
      </c>
      <c r="BX36" s="478">
        <f t="shared" si="13"/>
        <v>52758.539856000003</v>
      </c>
      <c r="BY36" s="478">
        <f t="shared" si="13"/>
        <v>52718.958893333329</v>
      </c>
      <c r="BZ36" s="478">
        <f t="shared" si="13"/>
        <v>52855.56061866667</v>
      </c>
      <c r="CA36" s="478">
        <f t="shared" si="13"/>
        <v>53345.580493333342</v>
      </c>
      <c r="CB36" s="478">
        <f t="shared" si="13"/>
        <v>54504.95139466667</v>
      </c>
      <c r="CC36" s="478">
        <f t="shared" si="13"/>
        <v>54788.844938666676</v>
      </c>
      <c r="CD36" s="478">
        <f t="shared" si="13"/>
        <v>55125.475797333333</v>
      </c>
      <c r="CE36" s="478">
        <f t="shared" si="13"/>
        <v>55796.836157333339</v>
      </c>
      <c r="CF36" s="478">
        <f t="shared" si="13"/>
        <v>56282.518101333335</v>
      </c>
      <c r="CG36" s="478">
        <f t="shared" si="13"/>
        <v>56753.25007733333</v>
      </c>
      <c r="CH36" s="478">
        <f t="shared" si="13"/>
        <v>57128.246207999997</v>
      </c>
      <c r="CI36" s="478">
        <f t="shared" si="13"/>
        <v>57422.981176000001</v>
      </c>
      <c r="CJ36" s="478">
        <f t="shared" si="13"/>
        <v>57636.230842666671</v>
      </c>
      <c r="CK36" s="478">
        <f t="shared" si="13"/>
        <v>57802.298664000002</v>
      </c>
      <c r="CL36" s="478">
        <f t="shared" si="13"/>
        <v>58117.648805333345</v>
      </c>
      <c r="CM36" s="478">
        <f t="shared" si="13"/>
        <v>58805.196648000012</v>
      </c>
      <c r="CN36" s="478">
        <f t="shared" si="13"/>
        <v>59492.072933333344</v>
      </c>
      <c r="CO36" s="478">
        <f t="shared" si="13"/>
        <v>60042.026938666677</v>
      </c>
      <c r="CP36" s="478">
        <f t="shared" si="13"/>
        <v>61033.932138666685</v>
      </c>
      <c r="CQ36" s="478">
        <f t="shared" si="13"/>
        <v>61536.372157333346</v>
      </c>
      <c r="CR36" s="478">
        <f t="shared" si="13"/>
        <v>61744.204397333349</v>
      </c>
      <c r="CS36" s="478">
        <f t="shared" si="13"/>
        <v>61924.979160000017</v>
      </c>
      <c r="CT36" s="478">
        <f t="shared" si="13"/>
        <v>61924.979160000017</v>
      </c>
      <c r="CU36" s="478">
        <f t="shared" si="13"/>
        <v>61924.979160000017</v>
      </c>
      <c r="CV36" s="452">
        <f>SUM(D36:CU36)</f>
        <v>3321138.9881999996</v>
      </c>
    </row>
    <row r="37" spans="1:102" outlineLevel="1">
      <c r="B37" s="479"/>
      <c r="C37" s="479"/>
      <c r="D37" s="480"/>
      <c r="E37" s="480"/>
      <c r="F37" s="480"/>
      <c r="G37" s="480"/>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c r="AH37" s="480"/>
      <c r="AI37" s="480"/>
      <c r="AJ37" s="480"/>
      <c r="AK37" s="480"/>
      <c r="AL37" s="480"/>
      <c r="AM37" s="479"/>
      <c r="AN37" s="479"/>
      <c r="AO37" s="479"/>
      <c r="AP37" s="481"/>
      <c r="AQ37" s="479"/>
      <c r="AR37" s="479"/>
      <c r="AS37" s="479"/>
      <c r="AT37" s="479"/>
      <c r="AU37" s="479"/>
      <c r="AV37" s="479"/>
      <c r="AW37" s="479"/>
      <c r="AX37" s="479"/>
      <c r="AY37" s="479"/>
      <c r="AZ37" s="479"/>
      <c r="BA37" s="479"/>
      <c r="BB37" s="479"/>
      <c r="BC37" s="479"/>
      <c r="BD37" s="479"/>
      <c r="BE37" s="479"/>
      <c r="BF37" s="479"/>
      <c r="BG37" s="479"/>
      <c r="BH37" s="430"/>
      <c r="BI37" s="430"/>
      <c r="BJ37" s="430"/>
      <c r="BK37" s="430"/>
      <c r="BL37" s="430"/>
      <c r="BM37" s="430"/>
      <c r="BN37" s="430"/>
      <c r="BO37" s="430"/>
      <c r="BP37" s="430"/>
      <c r="BQ37" s="430"/>
      <c r="CV37" s="452"/>
    </row>
    <row r="38" spans="1:102">
      <c r="B38" s="482" t="s">
        <v>1373</v>
      </c>
      <c r="C38" s="482"/>
      <c r="D38" s="483">
        <f t="shared" ref="D38:BO38" si="14">C38+D36</f>
        <v>0</v>
      </c>
      <c r="E38" s="483">
        <f t="shared" si="14"/>
        <v>2353.8196586666668</v>
      </c>
      <c r="F38" s="483">
        <f t="shared" si="14"/>
        <v>5175.9270933333337</v>
      </c>
      <c r="G38" s="483">
        <f t="shared" si="14"/>
        <v>8882.5720133333343</v>
      </c>
      <c r="H38" s="483">
        <f t="shared" si="14"/>
        <v>13135.985749333335</v>
      </c>
      <c r="I38" s="483">
        <f t="shared" si="14"/>
        <v>18135.36671466667</v>
      </c>
      <c r="J38" s="483">
        <f t="shared" si="14"/>
        <v>23342.666424000003</v>
      </c>
      <c r="K38" s="483">
        <f t="shared" si="14"/>
        <v>29047.557117333337</v>
      </c>
      <c r="L38" s="483">
        <f t="shared" si="14"/>
        <v>35444.771912000004</v>
      </c>
      <c r="M38" s="483">
        <f t="shared" si="14"/>
        <v>42384.742840000006</v>
      </c>
      <c r="N38" s="483">
        <f t="shared" si="14"/>
        <v>51263.589226666678</v>
      </c>
      <c r="O38" s="483">
        <f t="shared" si="14"/>
        <v>60403.224493333342</v>
      </c>
      <c r="P38" s="483">
        <f t="shared" si="14"/>
        <v>69778.024829333342</v>
      </c>
      <c r="Q38" s="483">
        <f t="shared" si="14"/>
        <v>79179.644778666669</v>
      </c>
      <c r="R38" s="483">
        <f t="shared" si="14"/>
        <v>88590.201069333329</v>
      </c>
      <c r="S38" s="483">
        <f t="shared" si="14"/>
        <v>98000.757359999989</v>
      </c>
      <c r="T38" s="483">
        <f t="shared" si="14"/>
        <v>107411.31365066665</v>
      </c>
      <c r="U38" s="483">
        <f t="shared" si="14"/>
        <v>116821.86994133331</v>
      </c>
      <c r="V38" s="483">
        <f t="shared" si="14"/>
        <v>126232.42623199997</v>
      </c>
      <c r="W38" s="483">
        <f t="shared" si="14"/>
        <v>135642.98252266663</v>
      </c>
      <c r="X38" s="483">
        <f t="shared" si="14"/>
        <v>145053.53881333329</v>
      </c>
      <c r="Y38" s="483">
        <f t="shared" si="14"/>
        <v>154464.09510399995</v>
      </c>
      <c r="Z38" s="483">
        <f t="shared" si="14"/>
        <v>163874.65139466661</v>
      </c>
      <c r="AA38" s="483">
        <f t="shared" si="14"/>
        <v>173285.20768533327</v>
      </c>
      <c r="AB38" s="483">
        <f t="shared" si="14"/>
        <v>182695.76397599993</v>
      </c>
      <c r="AC38" s="483">
        <f t="shared" si="14"/>
        <v>192106.32026666659</v>
      </c>
      <c r="AD38" s="483">
        <f t="shared" si="14"/>
        <v>201516.87655733325</v>
      </c>
      <c r="AE38" s="483">
        <f t="shared" si="14"/>
        <v>219503.24542666657</v>
      </c>
      <c r="AF38" s="483">
        <f t="shared" si="14"/>
        <v>237489.6142959999</v>
      </c>
      <c r="AG38" s="483">
        <f t="shared" si="14"/>
        <v>255475.98316533322</v>
      </c>
      <c r="AH38" s="483">
        <f t="shared" si="14"/>
        <v>273469.42653066653</v>
      </c>
      <c r="AI38" s="483">
        <f t="shared" si="14"/>
        <v>291455.79539999989</v>
      </c>
      <c r="AJ38" s="483">
        <f t="shared" si="14"/>
        <v>320175.27253066655</v>
      </c>
      <c r="AK38" s="483">
        <f t="shared" si="14"/>
        <v>349385.41275733325</v>
      </c>
      <c r="AL38" s="483">
        <f t="shared" si="14"/>
        <v>379234.21354133327</v>
      </c>
      <c r="AM38" s="483">
        <f t="shared" si="14"/>
        <v>409482.51443733327</v>
      </c>
      <c r="AN38" s="483">
        <f t="shared" si="14"/>
        <v>440341.53166666662</v>
      </c>
      <c r="AO38" s="483">
        <f t="shared" si="14"/>
        <v>471692.07544799993</v>
      </c>
      <c r="AP38" s="483">
        <f t="shared" si="14"/>
        <v>503673.67347733327</v>
      </c>
      <c r="AQ38" s="483">
        <f t="shared" si="14"/>
        <v>536240.42425066663</v>
      </c>
      <c r="AR38" s="483">
        <f t="shared" si="14"/>
        <v>569725.73911733332</v>
      </c>
      <c r="AS38" s="483">
        <f t="shared" si="14"/>
        <v>603647.11011733336</v>
      </c>
      <c r="AT38" s="483">
        <f t="shared" si="14"/>
        <v>638408.61714666674</v>
      </c>
      <c r="AU38" s="483">
        <f t="shared" si="14"/>
        <v>673599.39577333338</v>
      </c>
      <c r="AV38" s="483">
        <f t="shared" si="14"/>
        <v>709255.67034666671</v>
      </c>
      <c r="AW38" s="483">
        <f t="shared" si="14"/>
        <v>745418.49010933342</v>
      </c>
      <c r="AX38" s="483">
        <f t="shared" si="14"/>
        <v>782359.62575466675</v>
      </c>
      <c r="AY38" s="483">
        <f t="shared" si="14"/>
        <v>820145.63840000005</v>
      </c>
      <c r="AZ38" s="483">
        <f t="shared" si="14"/>
        <v>858752.0096613334</v>
      </c>
      <c r="BA38" s="483">
        <f t="shared" si="14"/>
        <v>898491.28318400006</v>
      </c>
      <c r="BB38" s="483">
        <f t="shared" si="14"/>
        <v>938816.02689600002</v>
      </c>
      <c r="BC38" s="483">
        <f t="shared" si="14"/>
        <v>979696.0949893333</v>
      </c>
      <c r="BD38" s="483">
        <f t="shared" si="14"/>
        <v>1021166.4380719999</v>
      </c>
      <c r="BE38" s="483">
        <f t="shared" si="14"/>
        <v>1063325.5719386665</v>
      </c>
      <c r="BF38" s="483">
        <f t="shared" si="14"/>
        <v>1106198.4348799998</v>
      </c>
      <c r="BG38" s="483">
        <f t="shared" si="14"/>
        <v>1149460.5793733331</v>
      </c>
      <c r="BH38" s="483">
        <f t="shared" si="14"/>
        <v>1193643.7800613332</v>
      </c>
      <c r="BI38" s="483">
        <f t="shared" si="14"/>
        <v>1238490.7103653331</v>
      </c>
      <c r="BJ38" s="483">
        <f t="shared" si="14"/>
        <v>1284344.4956906664</v>
      </c>
      <c r="BK38" s="483">
        <f t="shared" si="14"/>
        <v>1331527.8610773331</v>
      </c>
      <c r="BL38" s="483">
        <f t="shared" si="14"/>
        <v>1379593.8074453331</v>
      </c>
      <c r="BM38" s="483">
        <f t="shared" si="14"/>
        <v>1428441.738269333</v>
      </c>
      <c r="BN38" s="483">
        <f t="shared" si="14"/>
        <v>1477500.0500479997</v>
      </c>
      <c r="BO38" s="483">
        <f t="shared" si="14"/>
        <v>1526829.7802853331</v>
      </c>
      <c r="BP38" s="483">
        <f t="shared" ref="BP38:CU38" si="15">BO38+BP36</f>
        <v>1576769.0179413331</v>
      </c>
      <c r="BQ38" s="483">
        <f t="shared" si="15"/>
        <v>1628159.4566159998</v>
      </c>
      <c r="BR38" s="483">
        <f t="shared" si="15"/>
        <v>1679716.4540053331</v>
      </c>
      <c r="BS38" s="483">
        <f t="shared" si="15"/>
        <v>1731285.8329359998</v>
      </c>
      <c r="BT38" s="483">
        <f t="shared" si="15"/>
        <v>1782956.8784719999</v>
      </c>
      <c r="BU38" s="483">
        <f t="shared" si="15"/>
        <v>1834840.585952</v>
      </c>
      <c r="BV38" s="483">
        <f t="shared" si="15"/>
        <v>1887096.9284640001</v>
      </c>
      <c r="BW38" s="483">
        <f t="shared" si="15"/>
        <v>1939672.3234826669</v>
      </c>
      <c r="BX38" s="483">
        <f t="shared" si="15"/>
        <v>1992430.863338667</v>
      </c>
      <c r="BY38" s="483">
        <f t="shared" si="15"/>
        <v>2045149.8222320003</v>
      </c>
      <c r="BZ38" s="483">
        <f t="shared" si="15"/>
        <v>2098005.382850667</v>
      </c>
      <c r="CA38" s="483">
        <f t="shared" si="15"/>
        <v>2151350.9633440003</v>
      </c>
      <c r="CB38" s="483">
        <f t="shared" si="15"/>
        <v>2205855.9147386667</v>
      </c>
      <c r="CC38" s="483">
        <f t="shared" si="15"/>
        <v>2260644.7596773333</v>
      </c>
      <c r="CD38" s="483">
        <f t="shared" si="15"/>
        <v>2315770.2354746666</v>
      </c>
      <c r="CE38" s="483">
        <f t="shared" si="15"/>
        <v>2371567.0716319997</v>
      </c>
      <c r="CF38" s="483">
        <f t="shared" si="15"/>
        <v>2427849.5897333329</v>
      </c>
      <c r="CG38" s="483">
        <f t="shared" si="15"/>
        <v>2484602.8398106662</v>
      </c>
      <c r="CH38" s="483">
        <f t="shared" si="15"/>
        <v>2541731.0860186662</v>
      </c>
      <c r="CI38" s="483">
        <f t="shared" si="15"/>
        <v>2599154.0671946662</v>
      </c>
      <c r="CJ38" s="483">
        <f t="shared" si="15"/>
        <v>2656790.2980373329</v>
      </c>
      <c r="CK38" s="483">
        <f t="shared" si="15"/>
        <v>2714592.5967013328</v>
      </c>
      <c r="CL38" s="483">
        <f t="shared" si="15"/>
        <v>2772710.2455066661</v>
      </c>
      <c r="CM38" s="483">
        <f t="shared" si="15"/>
        <v>2831515.4421546659</v>
      </c>
      <c r="CN38" s="483">
        <f t="shared" si="15"/>
        <v>2891007.5150879994</v>
      </c>
      <c r="CO38" s="483">
        <f t="shared" si="15"/>
        <v>2951049.542026666</v>
      </c>
      <c r="CP38" s="483">
        <f t="shared" si="15"/>
        <v>3012083.4741653325</v>
      </c>
      <c r="CQ38" s="483">
        <f t="shared" si="15"/>
        <v>3073619.8463226659</v>
      </c>
      <c r="CR38" s="483">
        <f t="shared" si="15"/>
        <v>3135364.0507199992</v>
      </c>
      <c r="CS38" s="483">
        <f t="shared" si="15"/>
        <v>3197289.0298799993</v>
      </c>
      <c r="CT38" s="483">
        <f t="shared" si="15"/>
        <v>3259214.0090399995</v>
      </c>
      <c r="CU38" s="483">
        <f t="shared" si="15"/>
        <v>3321138.9881999996</v>
      </c>
      <c r="CV38" s="440"/>
    </row>
    <row r="39" spans="1:102">
      <c r="B39" s="479"/>
      <c r="C39" s="479"/>
      <c r="D39" s="480"/>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c r="AH39" s="480"/>
      <c r="AI39" s="480"/>
      <c r="AJ39" s="480"/>
      <c r="AK39" s="480"/>
      <c r="AL39" s="480"/>
      <c r="AM39" s="479"/>
      <c r="AN39" s="479"/>
      <c r="AO39" s="479"/>
      <c r="AP39" s="484"/>
      <c r="AQ39" s="479"/>
      <c r="AR39" s="479"/>
      <c r="AS39" s="479"/>
      <c r="AT39" s="479"/>
      <c r="AU39" s="479"/>
      <c r="AV39" s="479"/>
      <c r="AW39" s="479"/>
      <c r="AX39" s="479"/>
      <c r="AY39" s="479"/>
      <c r="AZ39" s="479"/>
      <c r="BA39" s="479"/>
      <c r="CV39" s="440"/>
    </row>
    <row r="40" spans="1:102" ht="13.5" thickBot="1">
      <c r="B40" s="438" t="s">
        <v>1374</v>
      </c>
      <c r="C40" s="458" t="s">
        <v>1375</v>
      </c>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485"/>
      <c r="AD40" s="485"/>
      <c r="AE40" s="480"/>
      <c r="AF40" s="480"/>
      <c r="AG40" s="480"/>
      <c r="AH40" s="480"/>
      <c r="AI40" s="480"/>
      <c r="AJ40" s="480"/>
      <c r="AK40" s="480"/>
      <c r="AL40" s="480"/>
      <c r="AM40" s="479"/>
      <c r="AN40" s="479"/>
      <c r="AO40" s="479"/>
      <c r="AP40" s="484"/>
      <c r="AQ40" s="479"/>
      <c r="AR40" s="479"/>
      <c r="AS40" s="479"/>
      <c r="AT40" s="479"/>
      <c r="AU40" s="479"/>
      <c r="AV40" s="479"/>
      <c r="AW40" s="479"/>
      <c r="AX40" s="479"/>
      <c r="AY40" s="479"/>
      <c r="AZ40" s="479"/>
      <c r="BA40" s="479"/>
      <c r="CV40" s="440"/>
    </row>
    <row r="41" spans="1:102" outlineLevel="1">
      <c r="A41" s="441" t="str">
        <f>A9</f>
        <v>Assets 1</v>
      </c>
      <c r="B41" s="471" t="str">
        <f>B9</f>
        <v>FERC Plant Account 36400</v>
      </c>
      <c r="C41" s="486" t="s">
        <v>1376</v>
      </c>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487">
        <f>SUM($AD9:$AK9)*$AB$80/12</f>
        <v>9136.163968750001</v>
      </c>
      <c r="AE41" s="487">
        <f t="shared" ref="AE41:AK41" si="16">SUM($AA9:$AK9)*$AB$80/12</f>
        <v>9136.163968750001</v>
      </c>
      <c r="AF41" s="487">
        <f t="shared" si="16"/>
        <v>9136.163968750001</v>
      </c>
      <c r="AG41" s="487">
        <f t="shared" si="16"/>
        <v>9136.163968750001</v>
      </c>
      <c r="AH41" s="487">
        <f t="shared" si="16"/>
        <v>9136.163968750001</v>
      </c>
      <c r="AI41" s="487">
        <f t="shared" si="16"/>
        <v>9136.163968750001</v>
      </c>
      <c r="AJ41" s="487">
        <f t="shared" si="16"/>
        <v>9136.163968750001</v>
      </c>
      <c r="AK41" s="487">
        <f t="shared" si="16"/>
        <v>9136.163968750001</v>
      </c>
      <c r="AL41" s="487">
        <f t="shared" ref="AL41:AW41" si="17">SUM($AA9:$AK9)*$AC$80/12+SUM($AL9:$AW9)*$AB$80/12</f>
        <v>17587.72471744167</v>
      </c>
      <c r="AM41" s="487">
        <f t="shared" si="17"/>
        <v>17587.72471744167</v>
      </c>
      <c r="AN41" s="487">
        <f t="shared" si="17"/>
        <v>17587.72471744167</v>
      </c>
      <c r="AO41" s="487">
        <f t="shared" si="17"/>
        <v>17587.72471744167</v>
      </c>
      <c r="AP41" s="487">
        <f t="shared" si="17"/>
        <v>17587.72471744167</v>
      </c>
      <c r="AQ41" s="487">
        <f t="shared" si="17"/>
        <v>17587.72471744167</v>
      </c>
      <c r="AR41" s="487">
        <f t="shared" si="17"/>
        <v>17587.72471744167</v>
      </c>
      <c r="AS41" s="487">
        <f t="shared" si="17"/>
        <v>17587.72471744167</v>
      </c>
      <c r="AT41" s="487">
        <f t="shared" si="17"/>
        <v>17587.72471744167</v>
      </c>
      <c r="AU41" s="487">
        <f t="shared" si="17"/>
        <v>17587.72471744167</v>
      </c>
      <c r="AV41" s="487">
        <f t="shared" si="17"/>
        <v>17587.72471744167</v>
      </c>
      <c r="AW41" s="487">
        <f t="shared" si="17"/>
        <v>17587.72471744167</v>
      </c>
      <c r="AX41" s="487">
        <f t="shared" ref="AX41:BI41" si="18">SUM($AA9:$AK9)*$AD$80/12+SUM($AL9:$AW9)*$AC$80/12+SUM($AX9:$BI9)*$AB$80/12</f>
        <v>16267.244485158333</v>
      </c>
      <c r="AY41" s="487">
        <f t="shared" si="18"/>
        <v>16267.244485158333</v>
      </c>
      <c r="AZ41" s="487">
        <f t="shared" si="18"/>
        <v>16267.244485158333</v>
      </c>
      <c r="BA41" s="487">
        <f t="shared" si="18"/>
        <v>16267.244485158333</v>
      </c>
      <c r="BB41" s="487">
        <f t="shared" si="18"/>
        <v>16267.244485158333</v>
      </c>
      <c r="BC41" s="487">
        <f t="shared" si="18"/>
        <v>16267.244485158333</v>
      </c>
      <c r="BD41" s="487">
        <f t="shared" si="18"/>
        <v>16267.244485158333</v>
      </c>
      <c r="BE41" s="487">
        <f t="shared" si="18"/>
        <v>16267.244485158333</v>
      </c>
      <c r="BF41" s="487">
        <f t="shared" si="18"/>
        <v>16267.244485158333</v>
      </c>
      <c r="BG41" s="487">
        <f t="shared" si="18"/>
        <v>16267.244485158333</v>
      </c>
      <c r="BH41" s="487">
        <f t="shared" si="18"/>
        <v>16267.244485158333</v>
      </c>
      <c r="BI41" s="487">
        <f t="shared" si="18"/>
        <v>16267.244485158333</v>
      </c>
      <c r="BJ41" s="487">
        <f t="shared" ref="BJ41:BU41" si="19">SUM($AA9:$AK9)*$AE$80/12+SUM($AL9:$AW9)*$AD$80/12+SUM($AX9:$BI9)*$AC$80/12+SUM($BJ9:$BT9)*$AB$80/12</f>
        <v>15049.089289325</v>
      </c>
      <c r="BK41" s="487">
        <f t="shared" si="19"/>
        <v>15049.089289325</v>
      </c>
      <c r="BL41" s="487">
        <f t="shared" si="19"/>
        <v>15049.089289325</v>
      </c>
      <c r="BM41" s="487">
        <f t="shared" si="19"/>
        <v>15049.089289325</v>
      </c>
      <c r="BN41" s="487">
        <f t="shared" si="19"/>
        <v>15049.089289325</v>
      </c>
      <c r="BO41" s="487">
        <f t="shared" si="19"/>
        <v>15049.089289325</v>
      </c>
      <c r="BP41" s="487">
        <f t="shared" si="19"/>
        <v>15049.089289325</v>
      </c>
      <c r="BQ41" s="487">
        <f t="shared" si="19"/>
        <v>15049.089289325</v>
      </c>
      <c r="BR41" s="487">
        <f t="shared" si="19"/>
        <v>15049.089289325</v>
      </c>
      <c r="BS41" s="487">
        <f t="shared" si="19"/>
        <v>15049.089289325</v>
      </c>
      <c r="BT41" s="487">
        <f t="shared" si="19"/>
        <v>15049.089289325</v>
      </c>
      <c r="BU41" s="487">
        <f t="shared" si="19"/>
        <v>15049.089289325</v>
      </c>
      <c r="BV41" s="487">
        <f t="shared" ref="BV41:CG41" si="20">SUM($AA9:$AK9)*$AF$80/12+SUM($AL9:$AW9)*$AE$80/12+SUM($AX9:$BI9)*$AD$80/12+SUM($BJ9:$BT9)*$AC$80/12+SUM($BV9:$CG9)*$AB$80/12</f>
        <v>13918.641267591667</v>
      </c>
      <c r="BW41" s="487">
        <f t="shared" si="20"/>
        <v>13918.641267591667</v>
      </c>
      <c r="BX41" s="487">
        <f t="shared" si="20"/>
        <v>13918.641267591667</v>
      </c>
      <c r="BY41" s="487">
        <f t="shared" si="20"/>
        <v>13918.641267591667</v>
      </c>
      <c r="BZ41" s="487">
        <f t="shared" si="20"/>
        <v>13918.641267591667</v>
      </c>
      <c r="CA41" s="487">
        <f t="shared" si="20"/>
        <v>13918.641267591667</v>
      </c>
      <c r="CB41" s="487">
        <f t="shared" si="20"/>
        <v>13918.641267591667</v>
      </c>
      <c r="CC41" s="487">
        <f t="shared" si="20"/>
        <v>13918.641267591667</v>
      </c>
      <c r="CD41" s="487">
        <f t="shared" si="20"/>
        <v>13918.641267591667</v>
      </c>
      <c r="CE41" s="487">
        <f t="shared" si="20"/>
        <v>13918.641267591667</v>
      </c>
      <c r="CF41" s="487">
        <f t="shared" si="20"/>
        <v>13918.641267591667</v>
      </c>
      <c r="CG41" s="487">
        <f t="shared" si="20"/>
        <v>13918.641267591667</v>
      </c>
      <c r="CH41" s="487">
        <f t="shared" ref="CH41:CS41" si="21">SUM($AA9:$AK9)*$AG$80/12+SUM($AL9:$AW9)*$AF$80/12+SUM($AX9:$BI9)*$AE$80/12+SUM($BJ9:$BT9)*$AD$80/12+SUM($BV9:$CG9)*$AC$80/12+SUM($CH9:$CS9)*$AB$80/12</f>
        <v>12875.900419958334</v>
      </c>
      <c r="CI41" s="487">
        <f t="shared" si="21"/>
        <v>12875.900419958334</v>
      </c>
      <c r="CJ41" s="487">
        <f t="shared" si="21"/>
        <v>12875.900419958334</v>
      </c>
      <c r="CK41" s="487">
        <f t="shared" si="21"/>
        <v>12875.900419958334</v>
      </c>
      <c r="CL41" s="487">
        <f t="shared" si="21"/>
        <v>12875.900419958334</v>
      </c>
      <c r="CM41" s="487">
        <f t="shared" si="21"/>
        <v>12875.900419958334</v>
      </c>
      <c r="CN41" s="487">
        <f t="shared" si="21"/>
        <v>12875.900419958334</v>
      </c>
      <c r="CO41" s="487">
        <f t="shared" si="21"/>
        <v>12875.900419958334</v>
      </c>
      <c r="CP41" s="487">
        <f t="shared" si="21"/>
        <v>12875.900419958334</v>
      </c>
      <c r="CQ41" s="487">
        <f t="shared" si="21"/>
        <v>12875.900419958334</v>
      </c>
      <c r="CR41" s="487">
        <f t="shared" si="21"/>
        <v>12875.900419958334</v>
      </c>
      <c r="CS41" s="487">
        <f t="shared" si="21"/>
        <v>12875.900419958334</v>
      </c>
      <c r="CT41" s="487">
        <f>SUM($AA9:$AK9)*$AH$80/12+SUM($AL9:$AW9)*$AG$80/12+SUM($AX9:$BI9)*$AF$80/12+SUM($BJ9:$BT9)*$AE$80/12+SUM($BV9:$CG9)*$AD$80/12+SUM($CH9:$CS9)*$AC$80/12+SUM($CT9:$CU9)*$AB$80/12</f>
        <v>11908.685194466669</v>
      </c>
      <c r="CU41" s="487">
        <f>SUM($AA9:$AK9)*$AH$80/12+SUM($AL9:$AW9)*$AG$80/12+SUM($AX9:$BI9)*$AF$80/12+SUM($BJ9:$BT9)*$AE$80/12+SUM($BV9:$CG9)*$AD$80/12+SUM($CH9:$CS9)*$AC$80/12+SUM($CT9:$CU9)*$AB$80/12</f>
        <v>11908.685194466669</v>
      </c>
      <c r="CV41" s="452">
        <f>SUM(D41:CU41)</f>
        <v>1005289.8842926328</v>
      </c>
      <c r="CW41" s="488"/>
      <c r="CX41" s="488"/>
    </row>
    <row r="42" spans="1:102" outlineLevel="1">
      <c r="A42" s="489" t="str">
        <f>A10</f>
        <v>Assets 2</v>
      </c>
      <c r="B42" s="474" t="str">
        <f>B10</f>
        <v>FERC Plant Account 36500</v>
      </c>
      <c r="C42" s="486" t="s">
        <v>1376</v>
      </c>
      <c r="D42" s="490">
        <f>SUM($D10:$M10)*$AB$80/12</f>
        <v>9458.9982812500002</v>
      </c>
      <c r="E42" s="490">
        <f t="shared" ref="E42:M42" si="22">SUM($D10:$M10)*$AB$80/12</f>
        <v>9458.9982812500002</v>
      </c>
      <c r="F42" s="490">
        <f t="shared" si="22"/>
        <v>9458.9982812500002</v>
      </c>
      <c r="G42" s="490">
        <f t="shared" si="22"/>
        <v>9458.9982812500002</v>
      </c>
      <c r="H42" s="490">
        <f t="shared" si="22"/>
        <v>9458.9982812500002</v>
      </c>
      <c r="I42" s="490">
        <f t="shared" si="22"/>
        <v>9458.9982812500002</v>
      </c>
      <c r="J42" s="490">
        <f t="shared" si="22"/>
        <v>9458.9982812500002</v>
      </c>
      <c r="K42" s="490">
        <f t="shared" si="22"/>
        <v>9458.9982812500002</v>
      </c>
      <c r="L42" s="490">
        <f t="shared" si="22"/>
        <v>9458.9982812500002</v>
      </c>
      <c r="M42" s="490">
        <f t="shared" si="22"/>
        <v>9458.9982812500002</v>
      </c>
      <c r="N42" s="490">
        <f>SUM($D10:$M10)*$AC$80/12+SUM($N10:$Y10)*$AB$80/12</f>
        <v>18775.654603791671</v>
      </c>
      <c r="O42" s="490">
        <f t="shared" ref="O42:X42" si="23">SUM($D10:$M10)*$AC$80/12+SUM($N10:$Y10)*$AB$80/12</f>
        <v>18775.654603791671</v>
      </c>
      <c r="P42" s="490">
        <f t="shared" si="23"/>
        <v>18775.654603791671</v>
      </c>
      <c r="Q42" s="490">
        <f t="shared" si="23"/>
        <v>18775.654603791671</v>
      </c>
      <c r="R42" s="490">
        <f t="shared" si="23"/>
        <v>18775.654603791671</v>
      </c>
      <c r="S42" s="490">
        <f t="shared" si="23"/>
        <v>18775.654603791671</v>
      </c>
      <c r="T42" s="490">
        <f t="shared" si="23"/>
        <v>18775.654603791671</v>
      </c>
      <c r="U42" s="490">
        <f t="shared" si="23"/>
        <v>18775.654603791671</v>
      </c>
      <c r="V42" s="490">
        <f t="shared" si="23"/>
        <v>18775.654603791671</v>
      </c>
      <c r="W42" s="490">
        <f t="shared" si="23"/>
        <v>18775.654603791671</v>
      </c>
      <c r="X42" s="490">
        <f t="shared" si="23"/>
        <v>18775.654603791671</v>
      </c>
      <c r="Y42" s="490">
        <f>SUM($D10:$M10)*$AC$80/12+SUM($N10:$Y10)*$AB$80/12</f>
        <v>18775.654603791671</v>
      </c>
      <c r="Z42" s="490">
        <f>SUM($D10:$M10)*$AD$80/12+SUM($N10:$Y10)*$AC$80/12+SUM($Z10:$AK10)*$AB$80/12</f>
        <v>30570.054204758333</v>
      </c>
      <c r="AA42" s="490">
        <f t="shared" ref="AA42:AI42" si="24">SUM($D10:$M10)*$AD$80/12+SUM($N10:$Y10)*$AC$80/12+SUM($Z10:$AK10)*$AB$80/12</f>
        <v>30570.054204758333</v>
      </c>
      <c r="AB42" s="490">
        <f t="shared" si="24"/>
        <v>30570.054204758333</v>
      </c>
      <c r="AC42" s="490">
        <f t="shared" si="24"/>
        <v>30570.054204758333</v>
      </c>
      <c r="AD42" s="490">
        <f t="shared" si="24"/>
        <v>30570.054204758333</v>
      </c>
      <c r="AE42" s="490">
        <f t="shared" si="24"/>
        <v>30570.054204758333</v>
      </c>
      <c r="AF42" s="490">
        <f t="shared" si="24"/>
        <v>30570.054204758333</v>
      </c>
      <c r="AG42" s="490">
        <f t="shared" si="24"/>
        <v>30570.054204758333</v>
      </c>
      <c r="AH42" s="490">
        <f t="shared" si="24"/>
        <v>30570.054204758333</v>
      </c>
      <c r="AI42" s="490">
        <f t="shared" si="24"/>
        <v>30570.054204758333</v>
      </c>
      <c r="AJ42" s="490">
        <f>SUM($D10:$M10)*$AD$80/12+SUM($N10:$Y10)*$AC$80/12+SUM($Z10:$AK10)*$AB$80/12</f>
        <v>30570.054204758333</v>
      </c>
      <c r="AK42" s="490">
        <f>SUM($D10:$M10)*$AD$80/12+SUM($N10:$Y10)*$AC$80/12+SUM($Z10:$AK10)*$AB$80/12</f>
        <v>30570.054204758333</v>
      </c>
      <c r="AL42" s="490">
        <f>SUM($D10:$M10)*$AE$80/12+SUM($N10:$Y10)*$AD$80/12+SUM($Z10:$AK10)*$AC$80/12+SUM($AL10:$AW10)*$AB$80/12</f>
        <v>48473.299114041671</v>
      </c>
      <c r="AM42" s="490">
        <f t="shared" ref="AM42:AV42" si="25">SUM($D10:$M10)*$AE$80/12+SUM($N10:$Y10)*$AD$80/12+SUM($Z10:$AK10)*$AC$80/12+SUM($AL10:$AW10)*$AB$80/12</f>
        <v>48473.299114041671</v>
      </c>
      <c r="AN42" s="490">
        <f t="shared" si="25"/>
        <v>48473.299114041671</v>
      </c>
      <c r="AO42" s="490">
        <f t="shared" si="25"/>
        <v>48473.299114041671</v>
      </c>
      <c r="AP42" s="490">
        <f t="shared" si="25"/>
        <v>48473.299114041671</v>
      </c>
      <c r="AQ42" s="490">
        <f t="shared" si="25"/>
        <v>48473.299114041671</v>
      </c>
      <c r="AR42" s="490">
        <f t="shared" si="25"/>
        <v>48473.299114041671</v>
      </c>
      <c r="AS42" s="490">
        <f t="shared" si="25"/>
        <v>48473.299114041671</v>
      </c>
      <c r="AT42" s="490">
        <f t="shared" si="25"/>
        <v>48473.299114041671</v>
      </c>
      <c r="AU42" s="490">
        <f t="shared" si="25"/>
        <v>48473.299114041671</v>
      </c>
      <c r="AV42" s="490">
        <f t="shared" si="25"/>
        <v>48473.299114041671</v>
      </c>
      <c r="AW42" s="490">
        <f>SUM($D10:$M10)*$AE$80/12+SUM($N10:$Y10)*$AD$80/12+SUM($Z10:$AK10)*$AC$80/12+SUM($AL10:$AW10)*$AB$80/12</f>
        <v>48473.299114041671</v>
      </c>
      <c r="AX42" s="490">
        <f>SUM($D10:$M10)*$AF$80/12+SUM($N10:$Y10)*$AE$80/12+SUM($Z10:$AK10)*$AD$80/12+SUM($AL10:$AW10)*$AC$80/12+SUM($AX10:$BI10)*$AB$80/12</f>
        <v>61885.420750633333</v>
      </c>
      <c r="AY42" s="490">
        <f t="shared" ref="AY42:BH42" si="26">SUM($D10:$M10)*$AF$80/12+SUM($N10:$Y10)*$AE$80/12+SUM($Z10:$AK10)*$AD$80/12+SUM($AL10:$AW10)*$AC$80/12+SUM($AX10:$BI10)*$AB$80/12</f>
        <v>61885.420750633333</v>
      </c>
      <c r="AZ42" s="490">
        <f t="shared" si="26"/>
        <v>61885.420750633333</v>
      </c>
      <c r="BA42" s="490">
        <f t="shared" si="26"/>
        <v>61885.420750633333</v>
      </c>
      <c r="BB42" s="490">
        <f t="shared" si="26"/>
        <v>61885.420750633333</v>
      </c>
      <c r="BC42" s="490">
        <f t="shared" si="26"/>
        <v>61885.420750633333</v>
      </c>
      <c r="BD42" s="490">
        <f t="shared" si="26"/>
        <v>61885.420750633333</v>
      </c>
      <c r="BE42" s="490">
        <f t="shared" si="26"/>
        <v>61885.420750633333</v>
      </c>
      <c r="BF42" s="490">
        <f t="shared" si="26"/>
        <v>61885.420750633333</v>
      </c>
      <c r="BG42" s="490">
        <f t="shared" si="26"/>
        <v>61885.420750633333</v>
      </c>
      <c r="BH42" s="490">
        <f t="shared" si="26"/>
        <v>61885.420750633333</v>
      </c>
      <c r="BI42" s="490">
        <f>SUM($D10:$M10)*$AF$80/12+SUM($N10:$Y10)*$AE$80/12+SUM($Z10:$AK10)*$AD$80/12+SUM($AL10:$AW10)*$AC$80/12+SUM($AX10:$BI10)*$AB$80/12</f>
        <v>61885.420750633333</v>
      </c>
      <c r="BJ42" s="490">
        <f>SUM($D10:$M10)*$AG$80/12+SUM($N10:$Y10)*$AF$80/12+SUM($Z10:$AK10)*$AE$80/12+SUM($AL10:$AW10)*$AD$80/12+SUM($AX10:$BI10)*$AC$80/12+SUM($BJ10:$BU10)*$AB$80/12</f>
        <v>73563.105434950005</v>
      </c>
      <c r="BK42" s="490">
        <f t="shared" ref="BK42:BT42" si="27">SUM($D10:$M10)*$AG$80/12+SUM($N10:$Y10)*$AF$80/12+SUM($Z10:$AK10)*$AE$80/12+SUM($AL10:$AW10)*$AD$80/12+SUM($AX10:$BI10)*$AC$80/12+SUM($BJ10:$BU10)*$AB$80/12</f>
        <v>73563.105434950005</v>
      </c>
      <c r="BL42" s="490">
        <f t="shared" si="27"/>
        <v>73563.105434950005</v>
      </c>
      <c r="BM42" s="490">
        <f t="shared" si="27"/>
        <v>73563.105434950005</v>
      </c>
      <c r="BN42" s="490">
        <f t="shared" si="27"/>
        <v>73563.105434950005</v>
      </c>
      <c r="BO42" s="490">
        <f t="shared" si="27"/>
        <v>73563.105434950005</v>
      </c>
      <c r="BP42" s="490">
        <f t="shared" si="27"/>
        <v>73563.105434950005</v>
      </c>
      <c r="BQ42" s="490">
        <f t="shared" si="27"/>
        <v>73563.105434950005</v>
      </c>
      <c r="BR42" s="490">
        <f t="shared" si="27"/>
        <v>73563.105434950005</v>
      </c>
      <c r="BS42" s="490">
        <f t="shared" si="27"/>
        <v>73563.105434950005</v>
      </c>
      <c r="BT42" s="490">
        <f t="shared" si="27"/>
        <v>73563.105434950005</v>
      </c>
      <c r="BU42" s="490">
        <f>SUM($D10:$M10)*$AG$80/12+SUM($N10:$Y10)*$AF$80/12+SUM($Z10:$AK10)*$AE$80/12+SUM($AL10:$AW10)*$AD$80/12+SUM($AX10:$BI10)*$AC$80/12+SUM($BJ10:$BU10)*$AB$80/12</f>
        <v>73563.105434950005</v>
      </c>
      <c r="BV42" s="490">
        <f>SUM($D10:$M10)*$AH$80/12+SUM($N10:$Y10)*$AG$80/12+SUM($Z10:$AK10)*$AF$80/12+SUM($AL10:$AW10)*$AE$80/12+SUM($AX10:$BI10)*$AD$80/12+SUM($BJ10:$BU10)*$AC$80/12+SUM($BV10:$CG10)*$AB$80/12</f>
        <v>80053.629276000007</v>
      </c>
      <c r="BW42" s="490">
        <f t="shared" ref="BW42:CF42" si="28">SUM($D10:$M10)*$AH$80/12+SUM($N10:$Y10)*$AG$80/12+SUM($Z10:$AK10)*$AF$80/12+SUM($AL10:$AW10)*$AE$80/12+SUM($AX10:$BI10)*$AD$80/12+SUM($BJ10:$BU10)*$AC$80/12+SUM($BV10:$CG10)*$AB$80/12</f>
        <v>80053.629276000007</v>
      </c>
      <c r="BX42" s="490">
        <f t="shared" si="28"/>
        <v>80053.629276000007</v>
      </c>
      <c r="BY42" s="490">
        <f t="shared" si="28"/>
        <v>80053.629276000007</v>
      </c>
      <c r="BZ42" s="490">
        <f t="shared" si="28"/>
        <v>80053.629276000007</v>
      </c>
      <c r="CA42" s="490">
        <f t="shared" si="28"/>
        <v>80053.629276000007</v>
      </c>
      <c r="CB42" s="490">
        <f t="shared" si="28"/>
        <v>80053.629276000007</v>
      </c>
      <c r="CC42" s="490">
        <f t="shared" si="28"/>
        <v>80053.629276000007</v>
      </c>
      <c r="CD42" s="490">
        <f t="shared" si="28"/>
        <v>80053.629276000007</v>
      </c>
      <c r="CE42" s="490">
        <f t="shared" si="28"/>
        <v>80053.629276000007</v>
      </c>
      <c r="CF42" s="490">
        <f t="shared" si="28"/>
        <v>80053.629276000007</v>
      </c>
      <c r="CG42" s="490">
        <f>SUM($D10:$M10)*$AH$80/12+SUM($N10:$Y10)*$AG$80/12+SUM($Z10:$AK10)*$AF$80/12+SUM($AL10:$AW10)*$AE$80/12+SUM($AX10:$BI10)*$AD$80/12+SUM($BJ10:$BU10)*$AC$80/12+SUM($BV10:$CG10)*$AB$80/12</f>
        <v>80053.629276000007</v>
      </c>
      <c r="CH42" s="490">
        <f>SUM($D10:$M10)*$AI$80/12+SUM($N10:$Y10)*$AH$80/12+SUM($Z10:$AK10)*$AG$80/12+SUM($AL10:$AW10)*$AF$80/12+SUM($AX10:$BI10)*$AE$80/12+SUM($BJ10:$BU10)*$AD$80/12+SUM($BV10:$CG10)*$AC$80/12+SUM($CH10:$CS10)*$AB$80/12</f>
        <v>84352.82268841668</v>
      </c>
      <c r="CI42" s="490">
        <f t="shared" ref="CI42:CR42" si="29">SUM($D10:$M10)*$AI$80/12+SUM($N10:$Y10)*$AH$80/12+SUM($Z10:$AK10)*$AG$80/12+SUM($AL10:$AW10)*$AF$80/12+SUM($AX10:$BI10)*$AE$80/12+SUM($BJ10:$BU10)*$AD$80/12+SUM($BV10:$CG10)*$AC$80/12+SUM($CH10:$CS10)*$AB$80/12</f>
        <v>84352.82268841668</v>
      </c>
      <c r="CJ42" s="490">
        <f t="shared" si="29"/>
        <v>84352.82268841668</v>
      </c>
      <c r="CK42" s="490">
        <f t="shared" si="29"/>
        <v>84352.82268841668</v>
      </c>
      <c r="CL42" s="490">
        <f t="shared" si="29"/>
        <v>84352.82268841668</v>
      </c>
      <c r="CM42" s="490">
        <f t="shared" si="29"/>
        <v>84352.82268841668</v>
      </c>
      <c r="CN42" s="490">
        <f t="shared" si="29"/>
        <v>84352.82268841668</v>
      </c>
      <c r="CO42" s="490">
        <f t="shared" si="29"/>
        <v>84352.82268841668</v>
      </c>
      <c r="CP42" s="490">
        <f t="shared" si="29"/>
        <v>84352.82268841668</v>
      </c>
      <c r="CQ42" s="490">
        <f t="shared" si="29"/>
        <v>84352.82268841668</v>
      </c>
      <c r="CR42" s="490">
        <f t="shared" si="29"/>
        <v>84352.82268841668</v>
      </c>
      <c r="CS42" s="490">
        <f>SUM($D10:$M10)*$AI$80/12+SUM($N10:$Y10)*$AH$80/12+SUM($Z10:$AK10)*$AG$80/12+SUM($AL10:$AW10)*$AF$80/12+SUM($AX10:$BI10)*$AE$80/12+SUM($BJ10:$BU10)*$AD$80/12+SUM($BV10:$CG10)*$AC$80/12+SUM($CH10:$CS10)*$AB$80/12</f>
        <v>84352.82268841668</v>
      </c>
      <c r="CT42" s="490">
        <f>SUM($D10:$M10)*$AJ$80/12+SUM($N10:$Y10)*$AI$80/12+SUM($Z10:$AK10)*$AH$80/12+SUM($AL10:$AW10)*$AG$80/12+SUM($AX10:$BI10)*$AF$80/12+SUM($BJ10:$BU10)*$AE$80/12+SUM($BV10:$CG10)*$AD$80/12+SUM($CH10:$CS10)*$AC$80/12+SUM($CT10:$CU10)*$AB$80/12</f>
        <v>83838.704893974995</v>
      </c>
      <c r="CU42" s="490">
        <f>SUM($D10:$M10)*$AJ$80/12+SUM($N10:$Y10)*$AI$80/12+SUM($Z10:$AK10)*$AH$80/12+SUM($AL10:$AW10)*$AG$80/12+SUM($AX10:$BI10)*$AF$80/12+SUM($BJ10:$BU10)*$AE$80/12+SUM($BV10:$CG10)*$AD$80/12+SUM($CH10:$CS10)*$AC$80/12+SUM($CT10:$CU10)*$AB$80/12</f>
        <v>83838.704893974995</v>
      </c>
      <c r="CV42" s="452">
        <f>SUM(D42:CU42)</f>
        <v>5034355.2254715487</v>
      </c>
      <c r="CW42" s="488"/>
      <c r="CX42" s="488"/>
    </row>
    <row r="43" spans="1:102" ht="13.5" outlineLevel="1" thickBot="1">
      <c r="A43" s="456"/>
      <c r="B43" s="457"/>
      <c r="C43" s="491"/>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c r="BB43" s="470"/>
      <c r="BC43" s="470"/>
      <c r="BD43" s="470"/>
      <c r="BE43" s="470"/>
      <c r="BF43" s="470"/>
      <c r="BG43" s="470"/>
      <c r="BH43" s="470"/>
      <c r="BI43" s="470"/>
      <c r="BJ43" s="470"/>
      <c r="BK43" s="470"/>
      <c r="BL43" s="470"/>
      <c r="BM43" s="470"/>
      <c r="BN43" s="470"/>
      <c r="BO43" s="470"/>
      <c r="BP43" s="470"/>
      <c r="BQ43" s="470"/>
      <c r="BR43" s="470"/>
      <c r="BS43" s="470"/>
      <c r="BT43" s="470"/>
      <c r="BU43" s="470"/>
      <c r="BV43" s="470"/>
      <c r="BW43" s="470"/>
      <c r="BX43" s="470"/>
      <c r="BY43" s="470"/>
      <c r="BZ43" s="470"/>
      <c r="CA43" s="470"/>
      <c r="CB43" s="470"/>
      <c r="CC43" s="470"/>
      <c r="CD43" s="470"/>
      <c r="CE43" s="470"/>
      <c r="CF43" s="470"/>
      <c r="CG43" s="470"/>
      <c r="CH43" s="470"/>
      <c r="CI43" s="470"/>
      <c r="CJ43" s="470"/>
      <c r="CK43" s="470"/>
      <c r="CL43" s="470"/>
      <c r="CM43" s="470"/>
      <c r="CN43" s="470"/>
      <c r="CO43" s="470"/>
      <c r="CP43" s="470"/>
      <c r="CQ43" s="470"/>
      <c r="CR43" s="470"/>
      <c r="CS43" s="470"/>
      <c r="CT43" s="470"/>
      <c r="CU43" s="470"/>
      <c r="CV43" s="440"/>
    </row>
    <row r="44" spans="1:102" outlineLevel="1">
      <c r="B44" s="474"/>
      <c r="C44" s="474"/>
      <c r="D44" s="445"/>
      <c r="E44" s="445"/>
      <c r="F44" s="445"/>
      <c r="G44" s="445"/>
      <c r="H44" s="445"/>
      <c r="I44" s="445"/>
      <c r="J44" s="445"/>
      <c r="K44" s="445"/>
      <c r="L44" s="445"/>
      <c r="M44" s="445"/>
      <c r="N44" s="445"/>
      <c r="O44" s="445"/>
      <c r="P44" s="445"/>
      <c r="Q44" s="445"/>
      <c r="R44" s="445"/>
      <c r="S44" s="445"/>
      <c r="T44" s="445"/>
      <c r="U44" s="445"/>
      <c r="V44" s="445"/>
      <c r="W44" s="445"/>
      <c r="X44" s="445"/>
      <c r="Y44" s="445"/>
      <c r="Z44" s="445"/>
      <c r="AA44" s="445"/>
      <c r="AB44" s="445"/>
      <c r="AC44" s="445"/>
      <c r="AD44" s="445"/>
      <c r="AE44" s="449"/>
      <c r="AF44" s="493"/>
      <c r="AG44" s="493"/>
      <c r="AH44" s="493"/>
      <c r="AI44" s="493"/>
      <c r="AJ44" s="493"/>
      <c r="AK44" s="493"/>
      <c r="AL44" s="493"/>
      <c r="AM44" s="494"/>
      <c r="AN44" s="494"/>
      <c r="AO44" s="494"/>
      <c r="AP44" s="494"/>
      <c r="AQ44" s="494"/>
      <c r="AR44" s="494"/>
      <c r="AS44" s="494"/>
      <c r="AT44" s="494"/>
      <c r="AU44" s="494"/>
      <c r="AV44" s="494"/>
      <c r="AW44" s="494"/>
      <c r="AX44" s="494"/>
      <c r="AY44" s="494"/>
      <c r="AZ44" s="494"/>
      <c r="BA44" s="494"/>
      <c r="CV44" s="440"/>
    </row>
    <row r="45" spans="1:102" ht="18" customHeight="1" outlineLevel="1">
      <c r="B45" s="474" t="s">
        <v>1377</v>
      </c>
      <c r="C45" s="474"/>
      <c r="D45" s="495">
        <f t="shared" ref="D45:BO45" si="30">SUM(D41:D44)</f>
        <v>9458.9982812500002</v>
      </c>
      <c r="E45" s="495">
        <f t="shared" si="30"/>
        <v>9458.9982812500002</v>
      </c>
      <c r="F45" s="495">
        <f t="shared" si="30"/>
        <v>9458.9982812500002</v>
      </c>
      <c r="G45" s="495">
        <f t="shared" si="30"/>
        <v>9458.9982812500002</v>
      </c>
      <c r="H45" s="495">
        <f t="shared" si="30"/>
        <v>9458.9982812500002</v>
      </c>
      <c r="I45" s="495">
        <f t="shared" si="30"/>
        <v>9458.9982812500002</v>
      </c>
      <c r="J45" s="495">
        <f t="shared" si="30"/>
        <v>9458.9982812500002</v>
      </c>
      <c r="K45" s="495">
        <f t="shared" si="30"/>
        <v>9458.9982812500002</v>
      </c>
      <c r="L45" s="495">
        <f t="shared" si="30"/>
        <v>9458.9982812500002</v>
      </c>
      <c r="M45" s="495">
        <f t="shared" si="30"/>
        <v>9458.9982812500002</v>
      </c>
      <c r="N45" s="495">
        <f t="shared" si="30"/>
        <v>18775.654603791671</v>
      </c>
      <c r="O45" s="495">
        <f t="shared" si="30"/>
        <v>18775.654603791671</v>
      </c>
      <c r="P45" s="495">
        <f t="shared" si="30"/>
        <v>18775.654603791671</v>
      </c>
      <c r="Q45" s="495">
        <f t="shared" si="30"/>
        <v>18775.654603791671</v>
      </c>
      <c r="R45" s="495">
        <f t="shared" si="30"/>
        <v>18775.654603791671</v>
      </c>
      <c r="S45" s="495">
        <f t="shared" si="30"/>
        <v>18775.654603791671</v>
      </c>
      <c r="T45" s="495">
        <f t="shared" si="30"/>
        <v>18775.654603791671</v>
      </c>
      <c r="U45" s="495">
        <f t="shared" si="30"/>
        <v>18775.654603791671</v>
      </c>
      <c r="V45" s="495">
        <f t="shared" si="30"/>
        <v>18775.654603791671</v>
      </c>
      <c r="W45" s="495">
        <f t="shared" si="30"/>
        <v>18775.654603791671</v>
      </c>
      <c r="X45" s="495">
        <f t="shared" si="30"/>
        <v>18775.654603791671</v>
      </c>
      <c r="Y45" s="495">
        <f t="shared" si="30"/>
        <v>18775.654603791671</v>
      </c>
      <c r="Z45" s="495">
        <f t="shared" si="30"/>
        <v>30570.054204758333</v>
      </c>
      <c r="AA45" s="495">
        <f t="shared" si="30"/>
        <v>30570.054204758333</v>
      </c>
      <c r="AB45" s="495">
        <f t="shared" si="30"/>
        <v>30570.054204758333</v>
      </c>
      <c r="AC45" s="495">
        <f t="shared" si="30"/>
        <v>30570.054204758333</v>
      </c>
      <c r="AD45" s="495">
        <f t="shared" si="30"/>
        <v>39706.218173508336</v>
      </c>
      <c r="AE45" s="495">
        <f t="shared" si="30"/>
        <v>39706.218173508336</v>
      </c>
      <c r="AF45" s="495">
        <f t="shared" si="30"/>
        <v>39706.218173508336</v>
      </c>
      <c r="AG45" s="495">
        <f t="shared" si="30"/>
        <v>39706.218173508336</v>
      </c>
      <c r="AH45" s="495">
        <f t="shared" si="30"/>
        <v>39706.218173508336</v>
      </c>
      <c r="AI45" s="495">
        <f t="shared" si="30"/>
        <v>39706.218173508336</v>
      </c>
      <c r="AJ45" s="495">
        <f t="shared" si="30"/>
        <v>39706.218173508336</v>
      </c>
      <c r="AK45" s="495">
        <f t="shared" si="30"/>
        <v>39706.218173508336</v>
      </c>
      <c r="AL45" s="495">
        <f t="shared" si="30"/>
        <v>66061.02383148334</v>
      </c>
      <c r="AM45" s="495">
        <f t="shared" si="30"/>
        <v>66061.02383148334</v>
      </c>
      <c r="AN45" s="495">
        <f t="shared" si="30"/>
        <v>66061.02383148334</v>
      </c>
      <c r="AO45" s="495">
        <f t="shared" si="30"/>
        <v>66061.02383148334</v>
      </c>
      <c r="AP45" s="495">
        <f t="shared" si="30"/>
        <v>66061.02383148334</v>
      </c>
      <c r="AQ45" s="495">
        <f t="shared" si="30"/>
        <v>66061.02383148334</v>
      </c>
      <c r="AR45" s="495">
        <f t="shared" si="30"/>
        <v>66061.02383148334</v>
      </c>
      <c r="AS45" s="495">
        <f t="shared" si="30"/>
        <v>66061.02383148334</v>
      </c>
      <c r="AT45" s="495">
        <f t="shared" si="30"/>
        <v>66061.02383148334</v>
      </c>
      <c r="AU45" s="495">
        <f t="shared" si="30"/>
        <v>66061.02383148334</v>
      </c>
      <c r="AV45" s="495">
        <f t="shared" si="30"/>
        <v>66061.02383148334</v>
      </c>
      <c r="AW45" s="495">
        <f t="shared" si="30"/>
        <v>66061.02383148334</v>
      </c>
      <c r="AX45" s="495">
        <f t="shared" si="30"/>
        <v>78152.665235791661</v>
      </c>
      <c r="AY45" s="495">
        <f t="shared" si="30"/>
        <v>78152.665235791661</v>
      </c>
      <c r="AZ45" s="495">
        <f t="shared" si="30"/>
        <v>78152.665235791661</v>
      </c>
      <c r="BA45" s="495">
        <f t="shared" si="30"/>
        <v>78152.665235791661</v>
      </c>
      <c r="BB45" s="495">
        <f t="shared" si="30"/>
        <v>78152.665235791661</v>
      </c>
      <c r="BC45" s="495">
        <f t="shared" si="30"/>
        <v>78152.665235791661</v>
      </c>
      <c r="BD45" s="495">
        <f t="shared" si="30"/>
        <v>78152.665235791661</v>
      </c>
      <c r="BE45" s="495">
        <f t="shared" si="30"/>
        <v>78152.665235791661</v>
      </c>
      <c r="BF45" s="495">
        <f t="shared" si="30"/>
        <v>78152.665235791661</v>
      </c>
      <c r="BG45" s="495">
        <f t="shared" si="30"/>
        <v>78152.665235791661</v>
      </c>
      <c r="BH45" s="495">
        <f t="shared" si="30"/>
        <v>78152.665235791661</v>
      </c>
      <c r="BI45" s="495">
        <f t="shared" si="30"/>
        <v>78152.665235791661</v>
      </c>
      <c r="BJ45" s="495">
        <f t="shared" si="30"/>
        <v>88612.194724275003</v>
      </c>
      <c r="BK45" s="495">
        <f t="shared" si="30"/>
        <v>88612.194724275003</v>
      </c>
      <c r="BL45" s="495">
        <f t="shared" si="30"/>
        <v>88612.194724275003</v>
      </c>
      <c r="BM45" s="495">
        <f t="shared" si="30"/>
        <v>88612.194724275003</v>
      </c>
      <c r="BN45" s="495">
        <f t="shared" si="30"/>
        <v>88612.194724275003</v>
      </c>
      <c r="BO45" s="495">
        <f t="shared" si="30"/>
        <v>88612.194724275003</v>
      </c>
      <c r="BP45" s="495">
        <f t="shared" ref="BP45:CU45" si="31">SUM(BP41:BP44)</f>
        <v>88612.194724275003</v>
      </c>
      <c r="BQ45" s="495">
        <f t="shared" si="31"/>
        <v>88612.194724275003</v>
      </c>
      <c r="BR45" s="495">
        <f t="shared" si="31"/>
        <v>88612.194724275003</v>
      </c>
      <c r="BS45" s="495">
        <f t="shared" si="31"/>
        <v>88612.194724275003</v>
      </c>
      <c r="BT45" s="495">
        <f t="shared" si="31"/>
        <v>88612.194724275003</v>
      </c>
      <c r="BU45" s="495">
        <f t="shared" si="31"/>
        <v>88612.194724275003</v>
      </c>
      <c r="BV45" s="495">
        <f t="shared" si="31"/>
        <v>93972.270543591672</v>
      </c>
      <c r="BW45" s="495">
        <f t="shared" si="31"/>
        <v>93972.270543591672</v>
      </c>
      <c r="BX45" s="495">
        <f t="shared" si="31"/>
        <v>93972.270543591672</v>
      </c>
      <c r="BY45" s="495">
        <f t="shared" si="31"/>
        <v>93972.270543591672</v>
      </c>
      <c r="BZ45" s="495">
        <f t="shared" si="31"/>
        <v>93972.270543591672</v>
      </c>
      <c r="CA45" s="495">
        <f t="shared" si="31"/>
        <v>93972.270543591672</v>
      </c>
      <c r="CB45" s="495">
        <f t="shared" si="31"/>
        <v>93972.270543591672</v>
      </c>
      <c r="CC45" s="495">
        <f t="shared" si="31"/>
        <v>93972.270543591672</v>
      </c>
      <c r="CD45" s="495">
        <f t="shared" si="31"/>
        <v>93972.270543591672</v>
      </c>
      <c r="CE45" s="495">
        <f t="shared" si="31"/>
        <v>93972.270543591672</v>
      </c>
      <c r="CF45" s="495">
        <f t="shared" si="31"/>
        <v>93972.270543591672</v>
      </c>
      <c r="CG45" s="495">
        <f t="shared" si="31"/>
        <v>93972.270543591672</v>
      </c>
      <c r="CH45" s="495">
        <f t="shared" si="31"/>
        <v>97228.723108375008</v>
      </c>
      <c r="CI45" s="495">
        <f t="shared" si="31"/>
        <v>97228.723108375008</v>
      </c>
      <c r="CJ45" s="495">
        <f t="shared" si="31"/>
        <v>97228.723108375008</v>
      </c>
      <c r="CK45" s="495">
        <f t="shared" si="31"/>
        <v>97228.723108375008</v>
      </c>
      <c r="CL45" s="495">
        <f t="shared" si="31"/>
        <v>97228.723108375008</v>
      </c>
      <c r="CM45" s="495">
        <f t="shared" si="31"/>
        <v>97228.723108375008</v>
      </c>
      <c r="CN45" s="495">
        <f t="shared" si="31"/>
        <v>97228.723108375008</v>
      </c>
      <c r="CO45" s="495">
        <f t="shared" si="31"/>
        <v>97228.723108375008</v>
      </c>
      <c r="CP45" s="495">
        <f t="shared" si="31"/>
        <v>97228.723108375008</v>
      </c>
      <c r="CQ45" s="495">
        <f t="shared" si="31"/>
        <v>97228.723108375008</v>
      </c>
      <c r="CR45" s="495">
        <f t="shared" si="31"/>
        <v>97228.723108375008</v>
      </c>
      <c r="CS45" s="495">
        <f t="shared" si="31"/>
        <v>97228.723108375008</v>
      </c>
      <c r="CT45" s="495">
        <f t="shared" si="31"/>
        <v>95747.390088441665</v>
      </c>
      <c r="CU45" s="495">
        <f t="shared" si="31"/>
        <v>95747.390088441665</v>
      </c>
      <c r="CV45" s="452">
        <f>SUM(D45:CU45)</f>
        <v>6039645.1097641885</v>
      </c>
    </row>
    <row r="46" spans="1:102" ht="18" customHeight="1" outlineLevel="1">
      <c r="B46" s="474"/>
      <c r="C46" s="474"/>
      <c r="D46" s="474"/>
      <c r="E46" s="474"/>
      <c r="F46" s="474"/>
      <c r="G46" s="474"/>
      <c r="H46" s="474"/>
      <c r="I46" s="474"/>
      <c r="J46" s="474"/>
      <c r="K46" s="474"/>
      <c r="L46" s="474"/>
      <c r="M46" s="474"/>
      <c r="N46" s="474"/>
      <c r="O46" s="474"/>
      <c r="P46" s="474"/>
      <c r="Q46" s="474"/>
      <c r="R46" s="474"/>
      <c r="S46" s="474"/>
      <c r="T46" s="474"/>
      <c r="U46" s="474"/>
      <c r="V46" s="474"/>
      <c r="W46" s="474"/>
      <c r="X46" s="474"/>
      <c r="Y46" s="474"/>
      <c r="Z46" s="474"/>
      <c r="AA46" s="474"/>
      <c r="AB46" s="474"/>
      <c r="AC46" s="474"/>
      <c r="AD46" s="474"/>
      <c r="AE46" s="496"/>
      <c r="AF46" s="496"/>
      <c r="AG46" s="496"/>
      <c r="AH46" s="496"/>
      <c r="AI46" s="496"/>
      <c r="AJ46" s="496"/>
      <c r="AK46" s="496"/>
      <c r="AL46" s="496"/>
      <c r="AM46" s="496"/>
      <c r="AN46" s="496"/>
      <c r="AO46" s="496"/>
      <c r="AP46" s="496"/>
      <c r="AQ46" s="496"/>
      <c r="AR46" s="496"/>
      <c r="AS46" s="496"/>
      <c r="AT46" s="496"/>
      <c r="AU46" s="496"/>
      <c r="AV46" s="496"/>
      <c r="AW46" s="496"/>
      <c r="AX46" s="496"/>
      <c r="AY46" s="496"/>
      <c r="AZ46" s="496"/>
      <c r="BA46" s="496"/>
      <c r="BB46" s="496"/>
      <c r="BC46" s="496"/>
      <c r="BD46" s="496"/>
      <c r="BE46" s="496"/>
      <c r="BF46" s="496"/>
      <c r="BG46" s="496"/>
      <c r="CV46" s="440"/>
    </row>
    <row r="47" spans="1:102" ht="18" customHeight="1" outlineLevel="1">
      <c r="B47" s="497" t="s">
        <v>1378</v>
      </c>
      <c r="C47" s="497"/>
      <c r="D47" s="499"/>
      <c r="E47" s="499"/>
      <c r="F47" s="499"/>
      <c r="G47" s="499"/>
      <c r="H47" s="499"/>
      <c r="I47" s="499"/>
      <c r="J47" s="499"/>
      <c r="K47" s="499"/>
      <c r="L47" s="499"/>
      <c r="M47" s="499"/>
      <c r="N47" s="499"/>
      <c r="O47" s="499"/>
      <c r="P47" s="499"/>
      <c r="Q47" s="499"/>
      <c r="R47" s="499"/>
      <c r="S47" s="499"/>
      <c r="T47" s="499"/>
      <c r="U47" s="499"/>
      <c r="V47" s="499"/>
      <c r="W47" s="499"/>
      <c r="X47" s="499"/>
      <c r="Y47" s="499"/>
      <c r="Z47" s="499"/>
      <c r="AA47" s="499"/>
      <c r="AB47" s="499"/>
      <c r="AC47" s="499"/>
      <c r="AD47" s="500"/>
      <c r="AE47" s="501"/>
      <c r="AF47" s="502"/>
      <c r="AG47" s="502"/>
      <c r="AH47" s="502"/>
      <c r="AI47" s="502"/>
      <c r="AJ47" s="502"/>
      <c r="AK47" s="502"/>
      <c r="AL47" s="502"/>
      <c r="AM47" s="502"/>
      <c r="AN47" s="502"/>
      <c r="AO47" s="502"/>
      <c r="AP47" s="502"/>
      <c r="AQ47" s="502"/>
      <c r="AR47" s="502"/>
      <c r="AS47" s="502"/>
      <c r="AT47" s="502"/>
      <c r="AU47" s="502"/>
      <c r="AV47" s="502"/>
      <c r="AW47" s="502"/>
      <c r="AX47" s="502"/>
      <c r="AY47" s="502"/>
      <c r="AZ47" s="502"/>
      <c r="BA47" s="502"/>
      <c r="BB47" s="502"/>
      <c r="BC47" s="502"/>
      <c r="BD47" s="502"/>
      <c r="BE47" s="502"/>
      <c r="BF47" s="502"/>
      <c r="BG47" s="502"/>
      <c r="CV47" s="440"/>
    </row>
    <row r="48" spans="1:102">
      <c r="B48" s="482" t="s">
        <v>1379</v>
      </c>
      <c r="C48" s="482"/>
      <c r="D48" s="483">
        <f t="shared" ref="D48:AA48" si="32">+C48+D45+D47</f>
        <v>9458.9982812500002</v>
      </c>
      <c r="E48" s="483">
        <f t="shared" si="32"/>
        <v>18917.9965625</v>
      </c>
      <c r="F48" s="483">
        <f t="shared" si="32"/>
        <v>28376.994843749999</v>
      </c>
      <c r="G48" s="483">
        <f t="shared" si="32"/>
        <v>37835.993125000001</v>
      </c>
      <c r="H48" s="483">
        <f t="shared" si="32"/>
        <v>47294.991406250003</v>
      </c>
      <c r="I48" s="483">
        <f t="shared" si="32"/>
        <v>56753.989687500005</v>
      </c>
      <c r="J48" s="483">
        <f t="shared" si="32"/>
        <v>66212.987968750007</v>
      </c>
      <c r="K48" s="483">
        <f t="shared" si="32"/>
        <v>75671.986250000002</v>
      </c>
      <c r="L48" s="483">
        <f t="shared" si="32"/>
        <v>85130.984531249997</v>
      </c>
      <c r="M48" s="483">
        <f t="shared" si="32"/>
        <v>94589.982812499991</v>
      </c>
      <c r="N48" s="483">
        <f t="shared" si="32"/>
        <v>113365.63741629166</v>
      </c>
      <c r="O48" s="483">
        <f t="shared" si="32"/>
        <v>132141.29202008335</v>
      </c>
      <c r="P48" s="483">
        <f t="shared" si="32"/>
        <v>150916.946623875</v>
      </c>
      <c r="Q48" s="483">
        <f t="shared" si="32"/>
        <v>169692.60122766666</v>
      </c>
      <c r="R48" s="483">
        <f t="shared" si="32"/>
        <v>188468.25583145831</v>
      </c>
      <c r="S48" s="483">
        <f t="shared" si="32"/>
        <v>207243.91043524997</v>
      </c>
      <c r="T48" s="483">
        <f t="shared" si="32"/>
        <v>226019.56503904163</v>
      </c>
      <c r="U48" s="483">
        <f t="shared" si="32"/>
        <v>244795.21964283328</v>
      </c>
      <c r="V48" s="483">
        <f t="shared" si="32"/>
        <v>263570.87424662494</v>
      </c>
      <c r="W48" s="483">
        <f t="shared" si="32"/>
        <v>282346.52885041659</v>
      </c>
      <c r="X48" s="483">
        <f t="shared" si="32"/>
        <v>301122.18345420825</v>
      </c>
      <c r="Y48" s="483">
        <f t="shared" si="32"/>
        <v>319897.83805799991</v>
      </c>
      <c r="Z48" s="483">
        <f t="shared" si="32"/>
        <v>350467.89226275822</v>
      </c>
      <c r="AA48" s="483">
        <f t="shared" si="32"/>
        <v>381037.94646751654</v>
      </c>
      <c r="AB48" s="483">
        <f>+AA48+AB45+AB47</f>
        <v>411608.00067227485</v>
      </c>
      <c r="AC48" s="483">
        <f>+AB48+AC45+AC47</f>
        <v>442178.05487703317</v>
      </c>
      <c r="AD48" s="483">
        <f>+AD45+AD47+AC48</f>
        <v>481884.27305054152</v>
      </c>
      <c r="AE48" s="483">
        <f t="shared" ref="AE48:BF48" si="33">+AE45+AE47+AD48</f>
        <v>521590.49122404988</v>
      </c>
      <c r="AF48" s="483">
        <f t="shared" si="33"/>
        <v>561296.70939755824</v>
      </c>
      <c r="AG48" s="483">
        <f t="shared" si="33"/>
        <v>601002.92757106654</v>
      </c>
      <c r="AH48" s="483">
        <f t="shared" si="33"/>
        <v>640709.14574457484</v>
      </c>
      <c r="AI48" s="483">
        <f t="shared" si="33"/>
        <v>680415.36391808314</v>
      </c>
      <c r="AJ48" s="483">
        <f>+AJ45+AJ47+AI48</f>
        <v>720121.58209159144</v>
      </c>
      <c r="AK48" s="483">
        <f t="shared" si="33"/>
        <v>759827.80026509974</v>
      </c>
      <c r="AL48" s="483">
        <f t="shared" si="33"/>
        <v>825888.82409658306</v>
      </c>
      <c r="AM48" s="483">
        <f t="shared" si="33"/>
        <v>891949.84792806639</v>
      </c>
      <c r="AN48" s="483">
        <f t="shared" si="33"/>
        <v>958010.87175954971</v>
      </c>
      <c r="AO48" s="483">
        <f t="shared" si="33"/>
        <v>1024071.895591033</v>
      </c>
      <c r="AP48" s="483">
        <f t="shared" si="33"/>
        <v>1090132.9194225164</v>
      </c>
      <c r="AQ48" s="483">
        <f t="shared" si="33"/>
        <v>1156193.9432539998</v>
      </c>
      <c r="AR48" s="483">
        <f t="shared" si="33"/>
        <v>1222254.9670854833</v>
      </c>
      <c r="AS48" s="483">
        <f t="shared" si="33"/>
        <v>1288315.9909169667</v>
      </c>
      <c r="AT48" s="483">
        <f t="shared" si="33"/>
        <v>1354377.0147484501</v>
      </c>
      <c r="AU48" s="483">
        <f t="shared" si="33"/>
        <v>1420438.0385799336</v>
      </c>
      <c r="AV48" s="483">
        <f t="shared" si="33"/>
        <v>1486499.062411417</v>
      </c>
      <c r="AW48" s="483">
        <f t="shared" si="33"/>
        <v>1552560.0862429005</v>
      </c>
      <c r="AX48" s="483">
        <f t="shared" si="33"/>
        <v>1630712.7514786921</v>
      </c>
      <c r="AY48" s="483">
        <f t="shared" si="33"/>
        <v>1708865.4167144836</v>
      </c>
      <c r="AZ48" s="483">
        <f t="shared" si="33"/>
        <v>1787018.0819502752</v>
      </c>
      <c r="BA48" s="483">
        <f t="shared" si="33"/>
        <v>1865170.7471860668</v>
      </c>
      <c r="BB48" s="483">
        <f t="shared" si="33"/>
        <v>1943323.4124218584</v>
      </c>
      <c r="BC48" s="483">
        <f t="shared" si="33"/>
        <v>2021476.07765765</v>
      </c>
      <c r="BD48" s="483">
        <f t="shared" si="33"/>
        <v>2099628.7428934416</v>
      </c>
      <c r="BE48" s="483">
        <f t="shared" si="33"/>
        <v>2177781.4081292334</v>
      </c>
      <c r="BF48" s="483">
        <f t="shared" si="33"/>
        <v>2255934.0733650252</v>
      </c>
      <c r="BG48" s="483">
        <f>+BG45+BG47+BF48</f>
        <v>2334086.738600817</v>
      </c>
      <c r="BH48" s="483">
        <f t="shared" ref="BH48:BJ48" si="34">+BH45+BH47+BG48</f>
        <v>2412239.4038366089</v>
      </c>
      <c r="BI48" s="483">
        <f t="shared" si="34"/>
        <v>2490392.0690724007</v>
      </c>
      <c r="BJ48" s="483">
        <f t="shared" si="34"/>
        <v>2579004.2637966755</v>
      </c>
      <c r="BK48" s="483">
        <f>+BK45+BK47+BJ48</f>
        <v>2667616.4585209503</v>
      </c>
      <c r="BL48" s="483">
        <f>+BL45+BL47+BK48</f>
        <v>2756228.6532452251</v>
      </c>
      <c r="BM48" s="483">
        <f>+BM45+BM47+BL48</f>
        <v>2844840.8479694999</v>
      </c>
      <c r="BN48" s="483">
        <f>+BN45+BN47+BM48</f>
        <v>2933453.0426937747</v>
      </c>
      <c r="BO48" s="483">
        <f>+BO45+BO47+BN48</f>
        <v>3022065.2374180495</v>
      </c>
      <c r="BP48" s="483">
        <f t="shared" ref="BP48:BW48" si="35">+BP45+BP47+BO48</f>
        <v>3110677.4321423243</v>
      </c>
      <c r="BQ48" s="483">
        <f t="shared" si="35"/>
        <v>3199289.6268665991</v>
      </c>
      <c r="BR48" s="483">
        <f t="shared" si="35"/>
        <v>3287901.8215908739</v>
      </c>
      <c r="BS48" s="483">
        <f t="shared" si="35"/>
        <v>3376514.0163151487</v>
      </c>
      <c r="BT48" s="483">
        <f t="shared" si="35"/>
        <v>3465126.2110394235</v>
      </c>
      <c r="BU48" s="483">
        <f t="shared" si="35"/>
        <v>3553738.4057636983</v>
      </c>
      <c r="BV48" s="483">
        <f t="shared" si="35"/>
        <v>3647710.6763072899</v>
      </c>
      <c r="BW48" s="483">
        <f t="shared" si="35"/>
        <v>3741682.9468508814</v>
      </c>
      <c r="BX48" s="483">
        <f>+BX45+BX47+BW48</f>
        <v>3835655.217394473</v>
      </c>
      <c r="BY48" s="483">
        <f t="shared" ref="BY48:CU48" si="36">+BY45+BY47+BX48</f>
        <v>3929627.4879380646</v>
      </c>
      <c r="BZ48" s="483">
        <f t="shared" si="36"/>
        <v>4023599.7584816562</v>
      </c>
      <c r="CA48" s="483">
        <f t="shared" si="36"/>
        <v>4117572.0290252478</v>
      </c>
      <c r="CB48" s="483">
        <f t="shared" si="36"/>
        <v>4211544.2995688394</v>
      </c>
      <c r="CC48" s="483">
        <f t="shared" si="36"/>
        <v>4305516.5701124314</v>
      </c>
      <c r="CD48" s="483">
        <f t="shared" si="36"/>
        <v>4399488.8406560235</v>
      </c>
      <c r="CE48" s="483">
        <f t="shared" si="36"/>
        <v>4493461.1111996155</v>
      </c>
      <c r="CF48" s="483">
        <f t="shared" si="36"/>
        <v>4587433.3817432076</v>
      </c>
      <c r="CG48" s="483">
        <f t="shared" si="36"/>
        <v>4681405.6522867996</v>
      </c>
      <c r="CH48" s="483">
        <f t="shared" si="36"/>
        <v>4778634.3753951751</v>
      </c>
      <c r="CI48" s="483">
        <f t="shared" si="36"/>
        <v>4875863.0985035505</v>
      </c>
      <c r="CJ48" s="483">
        <f t="shared" si="36"/>
        <v>4973091.821611926</v>
      </c>
      <c r="CK48" s="483">
        <f t="shared" si="36"/>
        <v>5070320.5447203014</v>
      </c>
      <c r="CL48" s="483">
        <f t="shared" si="36"/>
        <v>5167549.2678286768</v>
      </c>
      <c r="CM48" s="483">
        <f t="shared" si="36"/>
        <v>5264777.9909370523</v>
      </c>
      <c r="CN48" s="483">
        <f t="shared" si="36"/>
        <v>5362006.7140454277</v>
      </c>
      <c r="CO48" s="483">
        <f t="shared" si="36"/>
        <v>5459235.4371538032</v>
      </c>
      <c r="CP48" s="483">
        <f t="shared" si="36"/>
        <v>5556464.1602621786</v>
      </c>
      <c r="CQ48" s="483">
        <f t="shared" si="36"/>
        <v>5653692.8833705541</v>
      </c>
      <c r="CR48" s="483">
        <f t="shared" si="36"/>
        <v>5750921.6064789295</v>
      </c>
      <c r="CS48" s="483">
        <f t="shared" si="36"/>
        <v>5848150.329587305</v>
      </c>
      <c r="CT48" s="483">
        <f t="shared" si="36"/>
        <v>5943897.7196757467</v>
      </c>
      <c r="CU48" s="483">
        <f t="shared" si="36"/>
        <v>6039645.1097641885</v>
      </c>
      <c r="CV48" s="483"/>
      <c r="CW48" s="448"/>
    </row>
    <row r="49" spans="1:100">
      <c r="B49" s="503"/>
      <c r="C49" s="503"/>
      <c r="D49" s="503"/>
      <c r="E49" s="503"/>
      <c r="F49" s="503"/>
      <c r="G49" s="503"/>
      <c r="H49" s="503"/>
      <c r="I49" s="503"/>
      <c r="J49" s="503"/>
      <c r="K49" s="503"/>
      <c r="L49" s="503"/>
      <c r="M49" s="503"/>
      <c r="N49" s="503"/>
      <c r="O49" s="503"/>
      <c r="P49" s="503"/>
      <c r="Q49" s="503"/>
      <c r="R49" s="503"/>
      <c r="S49" s="503"/>
      <c r="T49" s="503"/>
      <c r="U49" s="503"/>
      <c r="V49" s="503"/>
      <c r="W49" s="503"/>
      <c r="X49" s="503"/>
      <c r="Y49" s="503"/>
      <c r="Z49" s="503"/>
      <c r="AA49" s="503"/>
      <c r="AB49" s="503"/>
      <c r="AC49" s="503"/>
      <c r="AD49" s="503"/>
      <c r="AE49" s="455"/>
      <c r="AF49" s="455"/>
      <c r="AG49" s="455"/>
      <c r="AH49" s="455"/>
      <c r="AI49" s="455"/>
      <c r="AJ49" s="455"/>
      <c r="AK49" s="455"/>
      <c r="AL49" s="455"/>
      <c r="AM49" s="455"/>
      <c r="AN49" s="455"/>
      <c r="AO49" s="455"/>
      <c r="AP49" s="504"/>
      <c r="AQ49" s="455"/>
      <c r="AR49" s="455"/>
      <c r="AS49" s="455"/>
      <c r="AT49" s="455"/>
      <c r="AU49" s="455"/>
      <c r="AV49" s="455"/>
      <c r="AW49" s="455"/>
      <c r="AX49" s="455"/>
      <c r="AY49" s="455"/>
      <c r="AZ49" s="455"/>
      <c r="BA49" s="455"/>
      <c r="BB49" s="455"/>
      <c r="BC49" s="455"/>
      <c r="BD49" s="455"/>
      <c r="BE49" s="455"/>
      <c r="BF49" s="455"/>
      <c r="BG49" s="455"/>
    </row>
    <row r="50" spans="1:100">
      <c r="B50" s="505"/>
      <c r="C50" s="505"/>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7"/>
      <c r="AF50" s="507"/>
      <c r="AG50" s="507"/>
      <c r="AH50" s="507"/>
      <c r="AI50" s="507"/>
      <c r="AJ50" s="507"/>
      <c r="AK50" s="507"/>
      <c r="AL50" s="507"/>
      <c r="AM50" s="507"/>
      <c r="AN50" s="507"/>
      <c r="AO50" s="507"/>
      <c r="AP50" s="507"/>
      <c r="AQ50" s="507"/>
      <c r="AR50" s="507"/>
      <c r="AS50" s="507"/>
      <c r="AT50" s="507"/>
      <c r="AU50" s="507"/>
      <c r="AV50" s="507"/>
      <c r="AW50" s="507"/>
      <c r="AX50" s="507"/>
      <c r="AY50" s="507"/>
      <c r="AZ50" s="507"/>
      <c r="BA50" s="507"/>
      <c r="BB50" s="507"/>
      <c r="BC50" s="507"/>
      <c r="BD50" s="507"/>
      <c r="BE50" s="507"/>
      <c r="BF50" s="507"/>
      <c r="BG50" s="507"/>
    </row>
    <row r="51" spans="1:100">
      <c r="B51" s="503"/>
      <c r="C51" s="503"/>
      <c r="D51" s="503"/>
      <c r="E51" s="503"/>
      <c r="F51" s="503"/>
      <c r="G51" s="503"/>
      <c r="H51" s="503"/>
      <c r="I51" s="503"/>
      <c r="J51" s="503"/>
      <c r="K51" s="503"/>
      <c r="L51" s="503"/>
      <c r="M51" s="503"/>
      <c r="N51" s="503"/>
      <c r="O51" s="503"/>
      <c r="P51" s="503"/>
      <c r="Q51" s="503"/>
      <c r="R51" s="503"/>
      <c r="S51" s="503"/>
      <c r="T51" s="503"/>
      <c r="U51" s="503"/>
      <c r="V51" s="503"/>
      <c r="W51" s="503"/>
      <c r="X51" s="503"/>
      <c r="Y51" s="503"/>
      <c r="Z51" s="503"/>
      <c r="AA51" s="503"/>
      <c r="AB51" s="503"/>
      <c r="AC51" s="503"/>
      <c r="AD51" s="503"/>
      <c r="AE51" s="479"/>
      <c r="AF51" s="479"/>
      <c r="AG51" s="479"/>
      <c r="AH51" s="479"/>
      <c r="AI51" s="479"/>
      <c r="AJ51" s="479"/>
      <c r="AK51" s="479"/>
      <c r="AL51" s="479"/>
      <c r="AM51" s="479"/>
      <c r="AN51" s="479"/>
      <c r="AO51" s="479"/>
      <c r="AP51" s="508"/>
      <c r="AQ51" s="479"/>
      <c r="AR51" s="479"/>
      <c r="AS51" s="479"/>
      <c r="AT51" s="479"/>
      <c r="AU51" s="479"/>
      <c r="AV51" s="479"/>
      <c r="AW51" s="479"/>
      <c r="AX51" s="479"/>
      <c r="AY51" s="479"/>
      <c r="AZ51" s="479"/>
      <c r="BA51" s="479"/>
      <c r="BB51" s="479"/>
      <c r="BC51" s="479"/>
      <c r="BD51" s="479"/>
      <c r="BE51" s="479"/>
      <c r="BF51" s="479"/>
      <c r="BG51" s="479"/>
    </row>
    <row r="52" spans="1:100">
      <c r="B52" s="509"/>
      <c r="C52" s="509"/>
      <c r="D52" s="509"/>
      <c r="E52" s="509"/>
      <c r="F52" s="509"/>
      <c r="G52" s="509"/>
      <c r="H52" s="509"/>
      <c r="I52" s="509"/>
      <c r="J52" s="509"/>
      <c r="K52" s="509"/>
      <c r="L52" s="509"/>
      <c r="M52" s="509"/>
      <c r="N52" s="509"/>
      <c r="O52" s="509"/>
      <c r="P52" s="509"/>
      <c r="Q52" s="509"/>
      <c r="R52" s="509"/>
      <c r="S52" s="509"/>
      <c r="T52" s="509"/>
      <c r="U52" s="509"/>
      <c r="V52" s="509"/>
      <c r="W52" s="509"/>
      <c r="X52" s="509"/>
      <c r="Y52" s="509"/>
      <c r="Z52" s="509"/>
      <c r="AA52" s="509"/>
      <c r="AB52" s="509"/>
      <c r="AC52" s="509"/>
      <c r="AD52" s="509"/>
      <c r="AE52" s="509"/>
      <c r="AF52" s="509"/>
      <c r="AG52" s="509"/>
      <c r="AH52" s="509"/>
      <c r="AI52" s="509"/>
      <c r="AJ52" s="509"/>
      <c r="AK52" s="509"/>
      <c r="AL52" s="509"/>
      <c r="AM52" s="509"/>
      <c r="AN52" s="509"/>
      <c r="AO52" s="509"/>
      <c r="AP52" s="509"/>
      <c r="AQ52" s="509"/>
      <c r="AR52" s="509"/>
      <c r="AS52" s="509"/>
      <c r="AT52" s="509"/>
      <c r="AU52" s="509"/>
      <c r="AV52" s="509"/>
      <c r="AW52" s="509"/>
      <c r="AX52" s="509"/>
      <c r="AY52" s="509"/>
      <c r="AZ52" s="509"/>
      <c r="BA52" s="509"/>
      <c r="BB52" s="509"/>
      <c r="BC52" s="509"/>
      <c r="BD52" s="509"/>
      <c r="BE52" s="509"/>
      <c r="BF52" s="509"/>
      <c r="BG52" s="509"/>
    </row>
    <row r="53" spans="1:100">
      <c r="B53" s="509"/>
      <c r="C53" s="509"/>
      <c r="D53" s="510"/>
      <c r="E53" s="510"/>
      <c r="F53" s="510"/>
      <c r="G53" s="510"/>
      <c r="H53" s="510"/>
      <c r="I53" s="510"/>
      <c r="J53" s="510"/>
      <c r="K53" s="510"/>
      <c r="L53" s="510"/>
      <c r="M53" s="510"/>
      <c r="N53" s="510"/>
      <c r="O53" s="510"/>
      <c r="P53" s="510"/>
      <c r="Q53" s="510"/>
      <c r="R53" s="510"/>
      <c r="S53" s="510"/>
      <c r="T53" s="510"/>
      <c r="U53" s="510"/>
      <c r="V53" s="510"/>
      <c r="W53" s="510"/>
      <c r="X53" s="510"/>
      <c r="Y53" s="510"/>
      <c r="Z53" s="510"/>
      <c r="AA53" s="510"/>
      <c r="AB53" s="510"/>
      <c r="AC53" s="510"/>
      <c r="AD53" s="510"/>
      <c r="AE53" s="510"/>
      <c r="AF53" s="510"/>
      <c r="AG53" s="510"/>
      <c r="AH53" s="509"/>
      <c r="AI53" s="509"/>
      <c r="AJ53" s="509"/>
      <c r="AK53" s="509"/>
      <c r="AL53" s="509"/>
      <c r="AM53" s="509"/>
      <c r="AN53" s="509"/>
      <c r="AO53" s="509"/>
      <c r="AP53" s="509"/>
      <c r="AQ53" s="509"/>
      <c r="AR53" s="509"/>
      <c r="AS53" s="509"/>
      <c r="AT53" s="509"/>
      <c r="AU53" s="509"/>
      <c r="AV53" s="509"/>
      <c r="AW53" s="509"/>
      <c r="AX53" s="509"/>
      <c r="AY53" s="509"/>
      <c r="AZ53" s="509"/>
      <c r="BA53" s="509"/>
      <c r="BB53" s="509"/>
      <c r="BC53" s="509"/>
      <c r="BD53" s="509"/>
      <c r="BE53" s="509"/>
      <c r="BF53" s="509"/>
      <c r="BG53" s="509"/>
    </row>
    <row r="54" spans="1:100">
      <c r="B54" s="509"/>
      <c r="C54" s="509"/>
      <c r="D54" s="509"/>
      <c r="E54" s="509"/>
      <c r="F54" s="509"/>
      <c r="G54" s="509"/>
      <c r="H54" s="509"/>
      <c r="I54" s="509"/>
      <c r="J54" s="509"/>
      <c r="K54" s="509"/>
      <c r="L54" s="509"/>
      <c r="M54" s="509"/>
      <c r="N54" s="509"/>
      <c r="O54" s="509"/>
      <c r="P54" s="509"/>
      <c r="Q54" s="509"/>
      <c r="R54" s="509"/>
      <c r="S54" s="509"/>
      <c r="T54" s="509"/>
      <c r="U54" s="509"/>
      <c r="V54" s="509"/>
      <c r="W54" s="509"/>
      <c r="X54" s="509"/>
      <c r="Y54" s="509"/>
      <c r="Z54" s="509"/>
      <c r="AA54" s="509"/>
      <c r="AB54" s="509"/>
      <c r="AC54" s="509"/>
      <c r="AD54" s="509"/>
      <c r="AE54" s="509"/>
      <c r="AF54" s="509"/>
      <c r="AG54" s="509"/>
      <c r="AH54" s="509"/>
      <c r="AI54" s="509"/>
      <c r="AJ54" s="509"/>
      <c r="AK54" s="509"/>
      <c r="AL54" s="509"/>
      <c r="AM54" s="509"/>
      <c r="AN54" s="509"/>
      <c r="AO54" s="509"/>
      <c r="AP54" s="509"/>
      <c r="AQ54" s="509"/>
      <c r="AR54" s="509"/>
      <c r="AS54" s="509"/>
      <c r="AT54" s="509"/>
      <c r="AU54" s="509"/>
      <c r="AV54" s="509"/>
      <c r="AW54" s="509"/>
      <c r="AX54" s="509"/>
      <c r="AY54" s="509"/>
      <c r="AZ54" s="509"/>
      <c r="BA54" s="509"/>
      <c r="BB54" s="509"/>
      <c r="BC54" s="509"/>
      <c r="BD54" s="509"/>
      <c r="BE54" s="509"/>
      <c r="BF54" s="509"/>
      <c r="BG54" s="509"/>
    </row>
    <row r="56" spans="1:100">
      <c r="C56" s="431" t="s">
        <v>812</v>
      </c>
      <c r="D56" s="511">
        <f t="shared" ref="D56:BO56" si="37">+D8</f>
        <v>43160</v>
      </c>
      <c r="E56" s="511">
        <f t="shared" si="37"/>
        <v>43191</v>
      </c>
      <c r="F56" s="511">
        <f t="shared" si="37"/>
        <v>43221</v>
      </c>
      <c r="G56" s="511">
        <f t="shared" si="37"/>
        <v>43252</v>
      </c>
      <c r="H56" s="511">
        <f t="shared" si="37"/>
        <v>43282</v>
      </c>
      <c r="I56" s="511">
        <f t="shared" si="37"/>
        <v>43313</v>
      </c>
      <c r="J56" s="511">
        <f t="shared" si="37"/>
        <v>43344</v>
      </c>
      <c r="K56" s="511">
        <f t="shared" si="37"/>
        <v>43374</v>
      </c>
      <c r="L56" s="511">
        <f t="shared" si="37"/>
        <v>43405</v>
      </c>
      <c r="M56" s="511">
        <f t="shared" si="37"/>
        <v>43435</v>
      </c>
      <c r="N56" s="511">
        <f t="shared" si="37"/>
        <v>43466</v>
      </c>
      <c r="O56" s="511">
        <f t="shared" si="37"/>
        <v>43497</v>
      </c>
      <c r="P56" s="511">
        <f t="shared" si="37"/>
        <v>43525</v>
      </c>
      <c r="Q56" s="511">
        <f t="shared" si="37"/>
        <v>43556</v>
      </c>
      <c r="R56" s="511">
        <f t="shared" si="37"/>
        <v>43586</v>
      </c>
      <c r="S56" s="511">
        <f t="shared" si="37"/>
        <v>43617</v>
      </c>
      <c r="T56" s="511">
        <f t="shared" si="37"/>
        <v>43677</v>
      </c>
      <c r="U56" s="511">
        <f t="shared" si="37"/>
        <v>43678</v>
      </c>
      <c r="V56" s="511">
        <f t="shared" si="37"/>
        <v>43709</v>
      </c>
      <c r="W56" s="511">
        <f t="shared" si="37"/>
        <v>43739</v>
      </c>
      <c r="X56" s="511">
        <f t="shared" si="37"/>
        <v>43770</v>
      </c>
      <c r="Y56" s="511">
        <f t="shared" si="37"/>
        <v>43800</v>
      </c>
      <c r="Z56" s="511">
        <f t="shared" si="37"/>
        <v>43831</v>
      </c>
      <c r="AA56" s="511">
        <f t="shared" si="37"/>
        <v>43862</v>
      </c>
      <c r="AB56" s="511">
        <f t="shared" si="37"/>
        <v>43892</v>
      </c>
      <c r="AC56" s="511">
        <f t="shared" si="37"/>
        <v>43924</v>
      </c>
      <c r="AD56" s="511">
        <f t="shared" si="37"/>
        <v>43955</v>
      </c>
      <c r="AE56" s="511">
        <f t="shared" si="37"/>
        <v>43983</v>
      </c>
      <c r="AF56" s="511">
        <f t="shared" si="37"/>
        <v>44014</v>
      </c>
      <c r="AG56" s="511">
        <f t="shared" si="37"/>
        <v>44046</v>
      </c>
      <c r="AH56" s="511">
        <f t="shared" si="37"/>
        <v>44078</v>
      </c>
      <c r="AI56" s="511">
        <f t="shared" si="37"/>
        <v>44105</v>
      </c>
      <c r="AJ56" s="511">
        <f t="shared" si="37"/>
        <v>44137</v>
      </c>
      <c r="AK56" s="511">
        <f t="shared" si="37"/>
        <v>44166</v>
      </c>
      <c r="AL56" s="511">
        <f t="shared" si="37"/>
        <v>44197</v>
      </c>
      <c r="AM56" s="511">
        <f t="shared" si="37"/>
        <v>44228</v>
      </c>
      <c r="AN56" s="511">
        <f t="shared" si="37"/>
        <v>44256</v>
      </c>
      <c r="AO56" s="511">
        <f t="shared" si="37"/>
        <v>44287</v>
      </c>
      <c r="AP56" s="511">
        <f t="shared" si="37"/>
        <v>44317</v>
      </c>
      <c r="AQ56" s="511">
        <f t="shared" si="37"/>
        <v>44348</v>
      </c>
      <c r="AR56" s="511">
        <f t="shared" si="37"/>
        <v>44378</v>
      </c>
      <c r="AS56" s="511">
        <f t="shared" si="37"/>
        <v>44409</v>
      </c>
      <c r="AT56" s="511">
        <f t="shared" si="37"/>
        <v>44440</v>
      </c>
      <c r="AU56" s="511">
        <f t="shared" si="37"/>
        <v>44470</v>
      </c>
      <c r="AV56" s="511">
        <f t="shared" si="37"/>
        <v>44501</v>
      </c>
      <c r="AW56" s="511">
        <f t="shared" si="37"/>
        <v>44531</v>
      </c>
      <c r="AX56" s="511">
        <f t="shared" si="37"/>
        <v>44562</v>
      </c>
      <c r="AY56" s="511">
        <f t="shared" si="37"/>
        <v>44593</v>
      </c>
      <c r="AZ56" s="511">
        <f t="shared" si="37"/>
        <v>44621</v>
      </c>
      <c r="BA56" s="511">
        <f t="shared" si="37"/>
        <v>44652</v>
      </c>
      <c r="BB56" s="511">
        <f t="shared" si="37"/>
        <v>44682</v>
      </c>
      <c r="BC56" s="511">
        <f t="shared" si="37"/>
        <v>44713</v>
      </c>
      <c r="BD56" s="511">
        <f t="shared" si="37"/>
        <v>44743</v>
      </c>
      <c r="BE56" s="511">
        <f t="shared" si="37"/>
        <v>44774</v>
      </c>
      <c r="BF56" s="511">
        <f t="shared" si="37"/>
        <v>44805</v>
      </c>
      <c r="BG56" s="511">
        <f t="shared" si="37"/>
        <v>44835</v>
      </c>
      <c r="BH56" s="511">
        <f t="shared" si="37"/>
        <v>44866</v>
      </c>
      <c r="BI56" s="511">
        <f t="shared" si="37"/>
        <v>44896</v>
      </c>
      <c r="BJ56" s="511">
        <f t="shared" si="37"/>
        <v>44927</v>
      </c>
      <c r="BK56" s="511">
        <f t="shared" si="37"/>
        <v>44958</v>
      </c>
      <c r="BL56" s="511">
        <f t="shared" si="37"/>
        <v>44986</v>
      </c>
      <c r="BM56" s="511">
        <f t="shared" si="37"/>
        <v>45017</v>
      </c>
      <c r="BN56" s="511">
        <f t="shared" si="37"/>
        <v>45047</v>
      </c>
      <c r="BO56" s="511">
        <f t="shared" si="37"/>
        <v>45078</v>
      </c>
      <c r="BP56" s="511">
        <f t="shared" ref="BP56:CU56" si="38">+BP8</f>
        <v>45108</v>
      </c>
      <c r="BQ56" s="511">
        <f t="shared" si="38"/>
        <v>45139</v>
      </c>
      <c r="BR56" s="511">
        <f t="shared" si="38"/>
        <v>45170</v>
      </c>
      <c r="BS56" s="511">
        <f t="shared" si="38"/>
        <v>45200</v>
      </c>
      <c r="BT56" s="511">
        <f t="shared" si="38"/>
        <v>45231</v>
      </c>
      <c r="BU56" s="511">
        <f t="shared" si="38"/>
        <v>45261</v>
      </c>
      <c r="BV56" s="511">
        <f t="shared" si="38"/>
        <v>45292</v>
      </c>
      <c r="BW56" s="511">
        <f t="shared" si="38"/>
        <v>45323</v>
      </c>
      <c r="BX56" s="511">
        <f t="shared" si="38"/>
        <v>45352</v>
      </c>
      <c r="BY56" s="511">
        <f t="shared" si="38"/>
        <v>45383</v>
      </c>
      <c r="BZ56" s="511">
        <f t="shared" si="38"/>
        <v>45413</v>
      </c>
      <c r="CA56" s="511">
        <f t="shared" si="38"/>
        <v>45444</v>
      </c>
      <c r="CB56" s="511">
        <f t="shared" si="38"/>
        <v>45474</v>
      </c>
      <c r="CC56" s="511">
        <f t="shared" si="38"/>
        <v>45505</v>
      </c>
      <c r="CD56" s="511">
        <f t="shared" si="38"/>
        <v>45536</v>
      </c>
      <c r="CE56" s="511">
        <f t="shared" si="38"/>
        <v>45566</v>
      </c>
      <c r="CF56" s="511">
        <f t="shared" si="38"/>
        <v>45597</v>
      </c>
      <c r="CG56" s="511">
        <f t="shared" si="38"/>
        <v>45627</v>
      </c>
      <c r="CH56" s="511">
        <f t="shared" si="38"/>
        <v>45658</v>
      </c>
      <c r="CI56" s="511">
        <f t="shared" si="38"/>
        <v>45689</v>
      </c>
      <c r="CJ56" s="511">
        <f t="shared" si="38"/>
        <v>45717</v>
      </c>
      <c r="CK56" s="511">
        <f t="shared" si="38"/>
        <v>45748</v>
      </c>
      <c r="CL56" s="511">
        <f t="shared" si="38"/>
        <v>45778</v>
      </c>
      <c r="CM56" s="511">
        <f t="shared" si="38"/>
        <v>45809</v>
      </c>
      <c r="CN56" s="511">
        <f t="shared" si="38"/>
        <v>45839</v>
      </c>
      <c r="CO56" s="511">
        <f t="shared" si="38"/>
        <v>45870</v>
      </c>
      <c r="CP56" s="511">
        <f t="shared" si="38"/>
        <v>45901</v>
      </c>
      <c r="CQ56" s="511">
        <f t="shared" si="38"/>
        <v>45931</v>
      </c>
      <c r="CR56" s="511">
        <f t="shared" si="38"/>
        <v>45962</v>
      </c>
      <c r="CS56" s="511">
        <f t="shared" si="38"/>
        <v>45992</v>
      </c>
      <c r="CT56" s="511">
        <f t="shared" si="38"/>
        <v>46023</v>
      </c>
      <c r="CU56" s="511">
        <f t="shared" si="38"/>
        <v>46054</v>
      </c>
    </row>
    <row r="57" spans="1:100">
      <c r="B57" s="431" t="s">
        <v>1380</v>
      </c>
      <c r="C57" s="431" t="s">
        <v>1380</v>
      </c>
      <c r="D57" s="448">
        <f t="shared" ref="D57:BO57" si="39">+D38</f>
        <v>0</v>
      </c>
      <c r="E57" s="448">
        <f t="shared" si="39"/>
        <v>2353.8196586666668</v>
      </c>
      <c r="F57" s="448">
        <f t="shared" si="39"/>
        <v>5175.9270933333337</v>
      </c>
      <c r="G57" s="448">
        <f t="shared" si="39"/>
        <v>8882.5720133333343</v>
      </c>
      <c r="H57" s="448">
        <f t="shared" si="39"/>
        <v>13135.985749333335</v>
      </c>
      <c r="I57" s="448">
        <f t="shared" si="39"/>
        <v>18135.36671466667</v>
      </c>
      <c r="J57" s="448">
        <f t="shared" si="39"/>
        <v>23342.666424000003</v>
      </c>
      <c r="K57" s="448">
        <f t="shared" si="39"/>
        <v>29047.557117333337</v>
      </c>
      <c r="L57" s="448">
        <f t="shared" si="39"/>
        <v>35444.771912000004</v>
      </c>
      <c r="M57" s="448">
        <f t="shared" si="39"/>
        <v>42384.742840000006</v>
      </c>
      <c r="N57" s="448">
        <f t="shared" si="39"/>
        <v>51263.589226666678</v>
      </c>
      <c r="O57" s="448">
        <f t="shared" si="39"/>
        <v>60403.224493333342</v>
      </c>
      <c r="P57" s="448">
        <f t="shared" si="39"/>
        <v>69778.024829333342</v>
      </c>
      <c r="Q57" s="448">
        <f t="shared" si="39"/>
        <v>79179.644778666669</v>
      </c>
      <c r="R57" s="448">
        <f t="shared" si="39"/>
        <v>88590.201069333329</v>
      </c>
      <c r="S57" s="448">
        <f t="shared" si="39"/>
        <v>98000.757359999989</v>
      </c>
      <c r="T57" s="448">
        <f t="shared" si="39"/>
        <v>107411.31365066665</v>
      </c>
      <c r="U57" s="448">
        <f t="shared" si="39"/>
        <v>116821.86994133331</v>
      </c>
      <c r="V57" s="448">
        <f t="shared" si="39"/>
        <v>126232.42623199997</v>
      </c>
      <c r="W57" s="448">
        <f t="shared" si="39"/>
        <v>135642.98252266663</v>
      </c>
      <c r="X57" s="448">
        <f t="shared" si="39"/>
        <v>145053.53881333329</v>
      </c>
      <c r="Y57" s="448">
        <f t="shared" si="39"/>
        <v>154464.09510399995</v>
      </c>
      <c r="Z57" s="448">
        <f t="shared" si="39"/>
        <v>163874.65139466661</v>
      </c>
      <c r="AA57" s="448">
        <f t="shared" si="39"/>
        <v>173285.20768533327</v>
      </c>
      <c r="AB57" s="448">
        <f t="shared" si="39"/>
        <v>182695.76397599993</v>
      </c>
      <c r="AC57" s="448">
        <f t="shared" si="39"/>
        <v>192106.32026666659</v>
      </c>
      <c r="AD57" s="448">
        <f t="shared" si="39"/>
        <v>201516.87655733325</v>
      </c>
      <c r="AE57" s="448">
        <f t="shared" si="39"/>
        <v>219503.24542666657</v>
      </c>
      <c r="AF57" s="448">
        <f t="shared" si="39"/>
        <v>237489.6142959999</v>
      </c>
      <c r="AG57" s="448">
        <f t="shared" si="39"/>
        <v>255475.98316533322</v>
      </c>
      <c r="AH57" s="448">
        <f t="shared" si="39"/>
        <v>273469.42653066653</v>
      </c>
      <c r="AI57" s="448">
        <f t="shared" si="39"/>
        <v>291455.79539999989</v>
      </c>
      <c r="AJ57" s="448">
        <f t="shared" si="39"/>
        <v>320175.27253066655</v>
      </c>
      <c r="AK57" s="448">
        <f t="shared" si="39"/>
        <v>349385.41275733325</v>
      </c>
      <c r="AL57" s="448">
        <f t="shared" si="39"/>
        <v>379234.21354133327</v>
      </c>
      <c r="AM57" s="448">
        <f t="shared" si="39"/>
        <v>409482.51443733327</v>
      </c>
      <c r="AN57" s="448">
        <f t="shared" si="39"/>
        <v>440341.53166666662</v>
      </c>
      <c r="AO57" s="448">
        <f t="shared" si="39"/>
        <v>471692.07544799993</v>
      </c>
      <c r="AP57" s="448">
        <f t="shared" si="39"/>
        <v>503673.67347733327</v>
      </c>
      <c r="AQ57" s="448">
        <f t="shared" si="39"/>
        <v>536240.42425066663</v>
      </c>
      <c r="AR57" s="448">
        <f t="shared" si="39"/>
        <v>569725.73911733332</v>
      </c>
      <c r="AS57" s="448">
        <f t="shared" si="39"/>
        <v>603647.11011733336</v>
      </c>
      <c r="AT57" s="448">
        <f t="shared" si="39"/>
        <v>638408.61714666674</v>
      </c>
      <c r="AU57" s="448">
        <f t="shared" si="39"/>
        <v>673599.39577333338</v>
      </c>
      <c r="AV57" s="448">
        <f t="shared" si="39"/>
        <v>709255.67034666671</v>
      </c>
      <c r="AW57" s="448">
        <f t="shared" si="39"/>
        <v>745418.49010933342</v>
      </c>
      <c r="AX57" s="448">
        <f t="shared" si="39"/>
        <v>782359.62575466675</v>
      </c>
      <c r="AY57" s="448">
        <f t="shared" si="39"/>
        <v>820145.63840000005</v>
      </c>
      <c r="AZ57" s="448">
        <f t="shared" si="39"/>
        <v>858752.0096613334</v>
      </c>
      <c r="BA57" s="448">
        <f t="shared" si="39"/>
        <v>898491.28318400006</v>
      </c>
      <c r="BB57" s="448">
        <f t="shared" si="39"/>
        <v>938816.02689600002</v>
      </c>
      <c r="BC57" s="448">
        <f t="shared" si="39"/>
        <v>979696.0949893333</v>
      </c>
      <c r="BD57" s="448">
        <f t="shared" si="39"/>
        <v>1021166.4380719999</v>
      </c>
      <c r="BE57" s="448">
        <f t="shared" si="39"/>
        <v>1063325.5719386665</v>
      </c>
      <c r="BF57" s="448">
        <f t="shared" si="39"/>
        <v>1106198.4348799998</v>
      </c>
      <c r="BG57" s="448">
        <f t="shared" si="39"/>
        <v>1149460.5793733331</v>
      </c>
      <c r="BH57" s="448">
        <f t="shared" si="39"/>
        <v>1193643.7800613332</v>
      </c>
      <c r="BI57" s="448">
        <f t="shared" si="39"/>
        <v>1238490.7103653331</v>
      </c>
      <c r="BJ57" s="448">
        <f t="shared" si="39"/>
        <v>1284344.4956906664</v>
      </c>
      <c r="BK57" s="448">
        <f t="shared" si="39"/>
        <v>1331527.8610773331</v>
      </c>
      <c r="BL57" s="448">
        <f t="shared" si="39"/>
        <v>1379593.8074453331</v>
      </c>
      <c r="BM57" s="448">
        <f t="shared" si="39"/>
        <v>1428441.738269333</v>
      </c>
      <c r="BN57" s="448">
        <f t="shared" si="39"/>
        <v>1477500.0500479997</v>
      </c>
      <c r="BO57" s="448">
        <f t="shared" si="39"/>
        <v>1526829.7802853331</v>
      </c>
      <c r="BP57" s="448">
        <f t="shared" ref="BP57:CU57" si="40">+BP38</f>
        <v>1576769.0179413331</v>
      </c>
      <c r="BQ57" s="448">
        <f t="shared" si="40"/>
        <v>1628159.4566159998</v>
      </c>
      <c r="BR57" s="448">
        <f t="shared" si="40"/>
        <v>1679716.4540053331</v>
      </c>
      <c r="BS57" s="448">
        <f t="shared" si="40"/>
        <v>1731285.8329359998</v>
      </c>
      <c r="BT57" s="448">
        <f t="shared" si="40"/>
        <v>1782956.8784719999</v>
      </c>
      <c r="BU57" s="448">
        <f t="shared" si="40"/>
        <v>1834840.585952</v>
      </c>
      <c r="BV57" s="448">
        <f t="shared" si="40"/>
        <v>1887096.9284640001</v>
      </c>
      <c r="BW57" s="448">
        <f t="shared" si="40"/>
        <v>1939672.3234826669</v>
      </c>
      <c r="BX57" s="448">
        <f t="shared" si="40"/>
        <v>1992430.863338667</v>
      </c>
      <c r="BY57" s="448">
        <f t="shared" si="40"/>
        <v>2045149.8222320003</v>
      </c>
      <c r="BZ57" s="448">
        <f t="shared" si="40"/>
        <v>2098005.382850667</v>
      </c>
      <c r="CA57" s="448">
        <f t="shared" si="40"/>
        <v>2151350.9633440003</v>
      </c>
      <c r="CB57" s="448">
        <f t="shared" si="40"/>
        <v>2205855.9147386667</v>
      </c>
      <c r="CC57" s="448">
        <f t="shared" si="40"/>
        <v>2260644.7596773333</v>
      </c>
      <c r="CD57" s="448">
        <f t="shared" si="40"/>
        <v>2315770.2354746666</v>
      </c>
      <c r="CE57" s="448">
        <f t="shared" si="40"/>
        <v>2371567.0716319997</v>
      </c>
      <c r="CF57" s="448">
        <f t="shared" si="40"/>
        <v>2427849.5897333329</v>
      </c>
      <c r="CG57" s="448">
        <f t="shared" si="40"/>
        <v>2484602.8398106662</v>
      </c>
      <c r="CH57" s="448">
        <f t="shared" si="40"/>
        <v>2541731.0860186662</v>
      </c>
      <c r="CI57" s="448">
        <f t="shared" si="40"/>
        <v>2599154.0671946662</v>
      </c>
      <c r="CJ57" s="448">
        <f t="shared" si="40"/>
        <v>2656790.2980373329</v>
      </c>
      <c r="CK57" s="448">
        <f t="shared" si="40"/>
        <v>2714592.5967013328</v>
      </c>
      <c r="CL57" s="448">
        <f t="shared" si="40"/>
        <v>2772710.2455066661</v>
      </c>
      <c r="CM57" s="448">
        <f t="shared" si="40"/>
        <v>2831515.4421546659</v>
      </c>
      <c r="CN57" s="448">
        <f t="shared" si="40"/>
        <v>2891007.5150879994</v>
      </c>
      <c r="CO57" s="448">
        <f t="shared" si="40"/>
        <v>2951049.542026666</v>
      </c>
      <c r="CP57" s="448">
        <f t="shared" si="40"/>
        <v>3012083.4741653325</v>
      </c>
      <c r="CQ57" s="448">
        <f t="shared" si="40"/>
        <v>3073619.8463226659</v>
      </c>
      <c r="CR57" s="448">
        <f t="shared" si="40"/>
        <v>3135364.0507199992</v>
      </c>
      <c r="CS57" s="448">
        <f t="shared" si="40"/>
        <v>3197289.0298799993</v>
      </c>
      <c r="CT57" s="448">
        <f t="shared" si="40"/>
        <v>3259214.0090399995</v>
      </c>
      <c r="CU57" s="448">
        <f t="shared" si="40"/>
        <v>3321138.9881999996</v>
      </c>
    </row>
    <row r="58" spans="1:100">
      <c r="B58" s="431" t="s">
        <v>1381</v>
      </c>
      <c r="C58" s="431" t="s">
        <v>1381</v>
      </c>
      <c r="D58" s="448">
        <f t="shared" ref="D58:BO58" si="41">+D48</f>
        <v>9458.9982812500002</v>
      </c>
      <c r="E58" s="448">
        <f t="shared" si="41"/>
        <v>18917.9965625</v>
      </c>
      <c r="F58" s="448">
        <f t="shared" si="41"/>
        <v>28376.994843749999</v>
      </c>
      <c r="G58" s="448">
        <f t="shared" si="41"/>
        <v>37835.993125000001</v>
      </c>
      <c r="H58" s="448">
        <f t="shared" si="41"/>
        <v>47294.991406250003</v>
      </c>
      <c r="I58" s="448">
        <f t="shared" si="41"/>
        <v>56753.989687500005</v>
      </c>
      <c r="J58" s="448">
        <f t="shared" si="41"/>
        <v>66212.987968750007</v>
      </c>
      <c r="K58" s="448">
        <f t="shared" si="41"/>
        <v>75671.986250000002</v>
      </c>
      <c r="L58" s="448">
        <f t="shared" si="41"/>
        <v>85130.984531249997</v>
      </c>
      <c r="M58" s="448">
        <f t="shared" si="41"/>
        <v>94589.982812499991</v>
      </c>
      <c r="N58" s="448">
        <f t="shared" si="41"/>
        <v>113365.63741629166</v>
      </c>
      <c r="O58" s="448">
        <f t="shared" si="41"/>
        <v>132141.29202008335</v>
      </c>
      <c r="P58" s="448">
        <f t="shared" si="41"/>
        <v>150916.946623875</v>
      </c>
      <c r="Q58" s="448">
        <f t="shared" si="41"/>
        <v>169692.60122766666</v>
      </c>
      <c r="R58" s="448">
        <f t="shared" si="41"/>
        <v>188468.25583145831</v>
      </c>
      <c r="S58" s="448">
        <f t="shared" si="41"/>
        <v>207243.91043524997</v>
      </c>
      <c r="T58" s="448">
        <f t="shared" si="41"/>
        <v>226019.56503904163</v>
      </c>
      <c r="U58" s="448">
        <f t="shared" si="41"/>
        <v>244795.21964283328</v>
      </c>
      <c r="V58" s="448">
        <f t="shared" si="41"/>
        <v>263570.87424662494</v>
      </c>
      <c r="W58" s="448">
        <f t="shared" si="41"/>
        <v>282346.52885041659</v>
      </c>
      <c r="X58" s="448">
        <f t="shared" si="41"/>
        <v>301122.18345420825</v>
      </c>
      <c r="Y58" s="448">
        <f t="shared" si="41"/>
        <v>319897.83805799991</v>
      </c>
      <c r="Z58" s="448">
        <f t="shared" si="41"/>
        <v>350467.89226275822</v>
      </c>
      <c r="AA58" s="448">
        <f t="shared" si="41"/>
        <v>381037.94646751654</v>
      </c>
      <c r="AB58" s="448">
        <f t="shared" si="41"/>
        <v>411608.00067227485</v>
      </c>
      <c r="AC58" s="448">
        <f t="shared" si="41"/>
        <v>442178.05487703317</v>
      </c>
      <c r="AD58" s="448">
        <f t="shared" si="41"/>
        <v>481884.27305054152</v>
      </c>
      <c r="AE58" s="448">
        <f t="shared" si="41"/>
        <v>521590.49122404988</v>
      </c>
      <c r="AF58" s="448">
        <f t="shared" si="41"/>
        <v>561296.70939755824</v>
      </c>
      <c r="AG58" s="448">
        <f t="shared" si="41"/>
        <v>601002.92757106654</v>
      </c>
      <c r="AH58" s="448">
        <f t="shared" si="41"/>
        <v>640709.14574457484</v>
      </c>
      <c r="AI58" s="448">
        <f t="shared" si="41"/>
        <v>680415.36391808314</v>
      </c>
      <c r="AJ58" s="448">
        <f t="shared" si="41"/>
        <v>720121.58209159144</v>
      </c>
      <c r="AK58" s="448">
        <f t="shared" si="41"/>
        <v>759827.80026509974</v>
      </c>
      <c r="AL58" s="448">
        <f t="shared" si="41"/>
        <v>825888.82409658306</v>
      </c>
      <c r="AM58" s="448">
        <f t="shared" si="41"/>
        <v>891949.84792806639</v>
      </c>
      <c r="AN58" s="448">
        <f t="shared" si="41"/>
        <v>958010.87175954971</v>
      </c>
      <c r="AO58" s="448">
        <f t="shared" si="41"/>
        <v>1024071.895591033</v>
      </c>
      <c r="AP58" s="448">
        <f t="shared" si="41"/>
        <v>1090132.9194225164</v>
      </c>
      <c r="AQ58" s="448">
        <f t="shared" si="41"/>
        <v>1156193.9432539998</v>
      </c>
      <c r="AR58" s="448">
        <f t="shared" si="41"/>
        <v>1222254.9670854833</v>
      </c>
      <c r="AS58" s="448">
        <f t="shared" si="41"/>
        <v>1288315.9909169667</v>
      </c>
      <c r="AT58" s="448">
        <f t="shared" si="41"/>
        <v>1354377.0147484501</v>
      </c>
      <c r="AU58" s="448">
        <f t="shared" si="41"/>
        <v>1420438.0385799336</v>
      </c>
      <c r="AV58" s="448">
        <f t="shared" si="41"/>
        <v>1486499.062411417</v>
      </c>
      <c r="AW58" s="448">
        <f t="shared" si="41"/>
        <v>1552560.0862429005</v>
      </c>
      <c r="AX58" s="448">
        <f t="shared" si="41"/>
        <v>1630712.7514786921</v>
      </c>
      <c r="AY58" s="448">
        <f t="shared" si="41"/>
        <v>1708865.4167144836</v>
      </c>
      <c r="AZ58" s="448">
        <f t="shared" si="41"/>
        <v>1787018.0819502752</v>
      </c>
      <c r="BA58" s="448">
        <f t="shared" si="41"/>
        <v>1865170.7471860668</v>
      </c>
      <c r="BB58" s="448">
        <f t="shared" si="41"/>
        <v>1943323.4124218584</v>
      </c>
      <c r="BC58" s="448">
        <f t="shared" si="41"/>
        <v>2021476.07765765</v>
      </c>
      <c r="BD58" s="448">
        <f t="shared" si="41"/>
        <v>2099628.7428934416</v>
      </c>
      <c r="BE58" s="448">
        <f t="shared" si="41"/>
        <v>2177781.4081292334</v>
      </c>
      <c r="BF58" s="448">
        <f t="shared" si="41"/>
        <v>2255934.0733650252</v>
      </c>
      <c r="BG58" s="448">
        <f t="shared" si="41"/>
        <v>2334086.738600817</v>
      </c>
      <c r="BH58" s="448">
        <f t="shared" si="41"/>
        <v>2412239.4038366089</v>
      </c>
      <c r="BI58" s="448">
        <f t="shared" si="41"/>
        <v>2490392.0690724007</v>
      </c>
      <c r="BJ58" s="448">
        <f t="shared" si="41"/>
        <v>2579004.2637966755</v>
      </c>
      <c r="BK58" s="448">
        <f t="shared" si="41"/>
        <v>2667616.4585209503</v>
      </c>
      <c r="BL58" s="448">
        <f t="shared" si="41"/>
        <v>2756228.6532452251</v>
      </c>
      <c r="BM58" s="448">
        <f t="shared" si="41"/>
        <v>2844840.8479694999</v>
      </c>
      <c r="BN58" s="448">
        <f t="shared" si="41"/>
        <v>2933453.0426937747</v>
      </c>
      <c r="BO58" s="448">
        <f t="shared" si="41"/>
        <v>3022065.2374180495</v>
      </c>
      <c r="BP58" s="448">
        <f t="shared" ref="BP58:CU58" si="42">+BP48</f>
        <v>3110677.4321423243</v>
      </c>
      <c r="BQ58" s="448">
        <f t="shared" si="42"/>
        <v>3199289.6268665991</v>
      </c>
      <c r="BR58" s="448">
        <f t="shared" si="42"/>
        <v>3287901.8215908739</v>
      </c>
      <c r="BS58" s="448">
        <f t="shared" si="42"/>
        <v>3376514.0163151487</v>
      </c>
      <c r="BT58" s="448">
        <f t="shared" si="42"/>
        <v>3465126.2110394235</v>
      </c>
      <c r="BU58" s="448">
        <f t="shared" si="42"/>
        <v>3553738.4057636983</v>
      </c>
      <c r="BV58" s="448">
        <f t="shared" si="42"/>
        <v>3647710.6763072899</v>
      </c>
      <c r="BW58" s="448">
        <f t="shared" si="42"/>
        <v>3741682.9468508814</v>
      </c>
      <c r="BX58" s="448">
        <f t="shared" si="42"/>
        <v>3835655.217394473</v>
      </c>
      <c r="BY58" s="448">
        <f t="shared" si="42"/>
        <v>3929627.4879380646</v>
      </c>
      <c r="BZ58" s="448">
        <f t="shared" si="42"/>
        <v>4023599.7584816562</v>
      </c>
      <c r="CA58" s="448">
        <f t="shared" si="42"/>
        <v>4117572.0290252478</v>
      </c>
      <c r="CB58" s="448">
        <f t="shared" si="42"/>
        <v>4211544.2995688394</v>
      </c>
      <c r="CC58" s="448">
        <f t="shared" si="42"/>
        <v>4305516.5701124314</v>
      </c>
      <c r="CD58" s="448">
        <f t="shared" si="42"/>
        <v>4399488.8406560235</v>
      </c>
      <c r="CE58" s="448">
        <f t="shared" si="42"/>
        <v>4493461.1111996155</v>
      </c>
      <c r="CF58" s="448">
        <f t="shared" si="42"/>
        <v>4587433.3817432076</v>
      </c>
      <c r="CG58" s="448">
        <f t="shared" si="42"/>
        <v>4681405.6522867996</v>
      </c>
      <c r="CH58" s="448">
        <f t="shared" si="42"/>
        <v>4778634.3753951751</v>
      </c>
      <c r="CI58" s="448">
        <f t="shared" si="42"/>
        <v>4875863.0985035505</v>
      </c>
      <c r="CJ58" s="448">
        <f t="shared" si="42"/>
        <v>4973091.821611926</v>
      </c>
      <c r="CK58" s="448">
        <f t="shared" si="42"/>
        <v>5070320.5447203014</v>
      </c>
      <c r="CL58" s="448">
        <f t="shared" si="42"/>
        <v>5167549.2678286768</v>
      </c>
      <c r="CM58" s="448">
        <f t="shared" si="42"/>
        <v>5264777.9909370523</v>
      </c>
      <c r="CN58" s="448">
        <f t="shared" si="42"/>
        <v>5362006.7140454277</v>
      </c>
      <c r="CO58" s="448">
        <f t="shared" si="42"/>
        <v>5459235.4371538032</v>
      </c>
      <c r="CP58" s="448">
        <f t="shared" si="42"/>
        <v>5556464.1602621786</v>
      </c>
      <c r="CQ58" s="448">
        <f t="shared" si="42"/>
        <v>5653692.8833705541</v>
      </c>
      <c r="CR58" s="448">
        <f t="shared" si="42"/>
        <v>5750921.6064789295</v>
      </c>
      <c r="CS58" s="448">
        <f t="shared" si="42"/>
        <v>5848150.329587305</v>
      </c>
      <c r="CT58" s="448">
        <f t="shared" si="42"/>
        <v>5943897.7196757467</v>
      </c>
      <c r="CU58" s="448">
        <f t="shared" si="42"/>
        <v>6039645.1097641885</v>
      </c>
    </row>
    <row r="59" spans="1:10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430"/>
      <c r="BA59" s="430"/>
      <c r="BB59" s="430"/>
      <c r="BC59" s="430"/>
      <c r="BD59" s="430"/>
      <c r="BE59" s="430"/>
      <c r="BF59" s="430"/>
      <c r="BG59" s="430"/>
    </row>
    <row r="60" spans="1:10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c r="AJ60" s="430"/>
      <c r="AK60" s="430"/>
      <c r="AL60" s="430"/>
      <c r="AM60" s="430"/>
      <c r="AN60" s="430"/>
      <c r="AO60" s="430"/>
      <c r="AP60" s="430"/>
      <c r="AQ60" s="430"/>
      <c r="AR60" s="430"/>
      <c r="AS60" s="430"/>
      <c r="AT60" s="430"/>
      <c r="AU60" s="430"/>
      <c r="AV60" s="430"/>
      <c r="AW60" s="430"/>
      <c r="AX60" s="430"/>
      <c r="AY60" s="430"/>
      <c r="AZ60" s="430"/>
      <c r="BA60" s="430"/>
      <c r="BB60" s="430"/>
      <c r="BC60" s="430"/>
      <c r="BD60" s="430"/>
      <c r="BE60" s="430"/>
      <c r="BF60" s="430"/>
      <c r="BG60" s="430"/>
    </row>
    <row r="61" spans="1:100">
      <c r="A61" s="512"/>
      <c r="B61" s="512" t="s">
        <v>1382</v>
      </c>
      <c r="C61" s="513" t="s">
        <v>1383</v>
      </c>
      <c r="D61" s="429">
        <f t="shared" ref="D61:AL61" si="43">-(D58-D57)*0.21</f>
        <v>-1986.3896390625</v>
      </c>
      <c r="E61" s="429">
        <f t="shared" si="43"/>
        <v>-3478.477149805</v>
      </c>
      <c r="F61" s="429">
        <f t="shared" si="43"/>
        <v>-4872.2242275874996</v>
      </c>
      <c r="G61" s="429">
        <f t="shared" si="43"/>
        <v>-6080.2184334499998</v>
      </c>
      <c r="H61" s="429">
        <f t="shared" si="43"/>
        <v>-7173.3911879525003</v>
      </c>
      <c r="I61" s="429">
        <f t="shared" si="43"/>
        <v>-8109.9108242949997</v>
      </c>
      <c r="J61" s="429">
        <f t="shared" si="43"/>
        <v>-9002.7675243975009</v>
      </c>
      <c r="K61" s="429">
        <f t="shared" si="43"/>
        <v>-9791.1301178599988</v>
      </c>
      <c r="L61" s="429">
        <f t="shared" si="43"/>
        <v>-10434.104650042498</v>
      </c>
      <c r="M61" s="429">
        <f t="shared" si="43"/>
        <v>-10963.100394224997</v>
      </c>
      <c r="N61" s="429">
        <f t="shared" si="43"/>
        <v>-13041.430119821247</v>
      </c>
      <c r="O61" s="429">
        <f t="shared" si="43"/>
        <v>-15064.994180617501</v>
      </c>
      <c r="P61" s="429">
        <f t="shared" si="43"/>
        <v>-17039.173576853747</v>
      </c>
      <c r="Q61" s="429">
        <f t="shared" si="43"/>
        <v>-19007.720854289997</v>
      </c>
      <c r="R61" s="429">
        <f t="shared" si="43"/>
        <v>-20974.391500046248</v>
      </c>
      <c r="S61" s="429">
        <f t="shared" si="43"/>
        <v>-22941.062145802494</v>
      </c>
      <c r="T61" s="429">
        <f t="shared" si="43"/>
        <v>-24907.732791558745</v>
      </c>
      <c r="U61" s="429">
        <f t="shared" si="43"/>
        <v>-26874.403437314995</v>
      </c>
      <c r="V61" s="429">
        <f t="shared" si="43"/>
        <v>-28841.074083071242</v>
      </c>
      <c r="W61" s="429">
        <f t="shared" si="43"/>
        <v>-30807.744728827493</v>
      </c>
      <c r="X61" s="429">
        <f t="shared" si="43"/>
        <v>-32774.415374583739</v>
      </c>
      <c r="Y61" s="429">
        <f t="shared" si="43"/>
        <v>-34741.086020339993</v>
      </c>
      <c r="Z61" s="429">
        <f t="shared" si="43"/>
        <v>-39184.580582299241</v>
      </c>
      <c r="AA61" s="429">
        <f t="shared" si="43"/>
        <v>-43628.075144258488</v>
      </c>
      <c r="AB61" s="429">
        <f t="shared" si="43"/>
        <v>-48071.569706217735</v>
      </c>
      <c r="AC61" s="429">
        <f t="shared" si="43"/>
        <v>-52515.064268176982</v>
      </c>
      <c r="AD61" s="429">
        <f t="shared" si="43"/>
        <v>-58877.153263573731</v>
      </c>
      <c r="AE61" s="429">
        <f t="shared" si="43"/>
        <v>-63438.321617450492</v>
      </c>
      <c r="AF61" s="429">
        <f t="shared" si="43"/>
        <v>-67999.489971327261</v>
      </c>
      <c r="AG61" s="429">
        <f t="shared" si="43"/>
        <v>-72560.658325204</v>
      </c>
      <c r="AH61" s="429">
        <f t="shared" si="43"/>
        <v>-77120.341034920741</v>
      </c>
      <c r="AI61" s="429">
        <f t="shared" si="43"/>
        <v>-81681.50938879748</v>
      </c>
      <c r="AJ61" s="429">
        <f t="shared" si="43"/>
        <v>-83988.72500779423</v>
      </c>
      <c r="AK61" s="429">
        <f t="shared" si="43"/>
        <v>-86192.901376630965</v>
      </c>
      <c r="AL61" s="429">
        <f t="shared" si="43"/>
        <v>-93797.468216602458</v>
      </c>
      <c r="AM61" s="429">
        <f>-(AM58-AM57)*0.21</f>
        <v>-101318.14003305395</v>
      </c>
      <c r="AN61" s="429">
        <f t="shared" ref="AN61:CU61" si="44">-(AN58-AN57)*0.21</f>
        <v>-108710.56141950545</v>
      </c>
      <c r="AO61" s="429">
        <f t="shared" si="44"/>
        <v>-115999.76223003694</v>
      </c>
      <c r="AP61" s="429">
        <f t="shared" si="44"/>
        <v>-123156.44164848844</v>
      </c>
      <c r="AQ61" s="429">
        <f t="shared" si="44"/>
        <v>-130190.23899069996</v>
      </c>
      <c r="AR61" s="429">
        <f t="shared" si="44"/>
        <v>-137031.13787331147</v>
      </c>
      <c r="AS61" s="429">
        <f t="shared" si="44"/>
        <v>-143780.46496792301</v>
      </c>
      <c r="AT61" s="429">
        <f t="shared" si="44"/>
        <v>-150353.36349637451</v>
      </c>
      <c r="AU61" s="429">
        <f t="shared" si="44"/>
        <v>-156836.11498938603</v>
      </c>
      <c r="AV61" s="429">
        <f t="shared" si="44"/>
        <v>-163221.11233359756</v>
      </c>
      <c r="AW61" s="429">
        <f t="shared" si="44"/>
        <v>-169499.73518804906</v>
      </c>
      <c r="AX61" s="429">
        <f t="shared" si="44"/>
        <v>-178154.15640204531</v>
      </c>
      <c r="AY61" s="429">
        <f t="shared" si="44"/>
        <v>-186631.15344604154</v>
      </c>
      <c r="AZ61" s="429">
        <f t="shared" si="44"/>
        <v>-194935.87518067777</v>
      </c>
      <c r="BA61" s="429">
        <f t="shared" si="44"/>
        <v>-203002.68744043401</v>
      </c>
      <c r="BB61" s="429">
        <f t="shared" si="44"/>
        <v>-210946.55096043026</v>
      </c>
      <c r="BC61" s="429">
        <f t="shared" si="44"/>
        <v>-218773.79636034649</v>
      </c>
      <c r="BD61" s="429">
        <f t="shared" si="44"/>
        <v>-226477.08401250275</v>
      </c>
      <c r="BE61" s="429">
        <f t="shared" si="44"/>
        <v>-234035.72560001904</v>
      </c>
      <c r="BF61" s="429">
        <f t="shared" si="44"/>
        <v>-241444.48408185533</v>
      </c>
      <c r="BG61" s="429">
        <f t="shared" si="44"/>
        <v>-248771.4934377716</v>
      </c>
      <c r="BH61" s="429">
        <f t="shared" si="44"/>
        <v>-255905.08099280787</v>
      </c>
      <c r="BI61" s="429">
        <f t="shared" si="44"/>
        <v>-262899.2853284842</v>
      </c>
      <c r="BJ61" s="429">
        <f t="shared" si="44"/>
        <v>-271878.55130226188</v>
      </c>
      <c r="BK61" s="429">
        <f t="shared" si="44"/>
        <v>-280578.60546315962</v>
      </c>
      <c r="BL61" s="429">
        <f t="shared" si="44"/>
        <v>-289093.31761797733</v>
      </c>
      <c r="BM61" s="429">
        <f t="shared" si="44"/>
        <v>-297443.81303703506</v>
      </c>
      <c r="BN61" s="429">
        <f t="shared" si="44"/>
        <v>-305750.12845561275</v>
      </c>
      <c r="BO61" s="429">
        <f t="shared" si="44"/>
        <v>-313999.44599787041</v>
      </c>
      <c r="BP61" s="429">
        <f t="shared" si="44"/>
        <v>-322120.76698220812</v>
      </c>
      <c r="BQ61" s="429">
        <f t="shared" si="44"/>
        <v>-329937.33575262583</v>
      </c>
      <c r="BR61" s="429">
        <f>-(BR58-BR57)*0.21</f>
        <v>-337718.92719296354</v>
      </c>
      <c r="BS61" s="429">
        <f t="shared" si="44"/>
        <v>-345497.91850962123</v>
      </c>
      <c r="BT61" s="429">
        <f t="shared" si="44"/>
        <v>-353255.55983915896</v>
      </c>
      <c r="BU61" s="429">
        <f t="shared" si="44"/>
        <v>-360968.54216045665</v>
      </c>
      <c r="BV61" s="429">
        <f t="shared" si="44"/>
        <v>-369728.88704709086</v>
      </c>
      <c r="BW61" s="429">
        <f t="shared" si="44"/>
        <v>-378422.23090732505</v>
      </c>
      <c r="BX61" s="429">
        <f t="shared" si="44"/>
        <v>-387077.11435171927</v>
      </c>
      <c r="BY61" s="429">
        <f t="shared" si="44"/>
        <v>-395740.30979827349</v>
      </c>
      <c r="BZ61" s="429">
        <f t="shared" si="44"/>
        <v>-404374.81888250774</v>
      </c>
      <c r="CA61" s="429">
        <f t="shared" si="44"/>
        <v>-412906.42379306199</v>
      </c>
      <c r="CB61" s="429">
        <f t="shared" si="44"/>
        <v>-421194.56081433623</v>
      </c>
      <c r="CC61" s="429">
        <f t="shared" si="44"/>
        <v>-429423.08019137057</v>
      </c>
      <c r="CD61" s="429">
        <f t="shared" si="44"/>
        <v>-437580.9070880849</v>
      </c>
      <c r="CE61" s="429">
        <f t="shared" si="44"/>
        <v>-445597.74830919929</v>
      </c>
      <c r="CF61" s="429">
        <f t="shared" si="44"/>
        <v>-453512.59632207366</v>
      </c>
      <c r="CG61" s="429">
        <f t="shared" si="44"/>
        <v>-461328.59061998798</v>
      </c>
      <c r="CH61" s="429">
        <f t="shared" si="44"/>
        <v>-469749.69076906686</v>
      </c>
      <c r="CI61" s="429">
        <f t="shared" si="44"/>
        <v>-478108.89657486568</v>
      </c>
      <c r="CJ61" s="429">
        <f t="shared" si="44"/>
        <v>-486423.31995066453</v>
      </c>
      <c r="CK61" s="429">
        <f t="shared" si="44"/>
        <v>-494702.86908398336</v>
      </c>
      <c r="CL61" s="429">
        <f t="shared" si="44"/>
        <v>-502916.19468762225</v>
      </c>
      <c r="CM61" s="429">
        <f t="shared" si="44"/>
        <v>-510985.13524430111</v>
      </c>
      <c r="CN61" s="429">
        <f t="shared" si="44"/>
        <v>-518909.83178105991</v>
      </c>
      <c r="CO61" s="429">
        <f t="shared" si="44"/>
        <v>-526719.03797669883</v>
      </c>
      <c r="CP61" s="429">
        <f t="shared" si="44"/>
        <v>-534319.94408033765</v>
      </c>
      <c r="CQ61" s="429">
        <f t="shared" si="44"/>
        <v>-541815.33778005652</v>
      </c>
      <c r="CR61" s="429">
        <f t="shared" si="44"/>
        <v>-549267.08670937538</v>
      </c>
      <c r="CS61" s="429">
        <f t="shared" si="44"/>
        <v>-556680.87293853413</v>
      </c>
      <c r="CT61" s="429">
        <f t="shared" si="44"/>
        <v>-563783.57923350693</v>
      </c>
      <c r="CU61" s="429">
        <f t="shared" si="44"/>
        <v>-570886.28552847961</v>
      </c>
      <c r="CV61" s="512"/>
    </row>
    <row r="62" spans="1:100">
      <c r="D62" s="448"/>
      <c r="E62" s="448"/>
      <c r="F62" s="448"/>
      <c r="G62" s="448"/>
      <c r="H62" s="448"/>
      <c r="I62" s="448"/>
      <c r="J62" s="448"/>
      <c r="K62" s="448"/>
      <c r="L62" s="448"/>
      <c r="M62" s="448"/>
      <c r="N62" s="448"/>
      <c r="O62" s="448"/>
      <c r="P62" s="448"/>
      <c r="Q62" s="448"/>
      <c r="R62" s="448"/>
      <c r="S62" s="448"/>
      <c r="T62" s="448"/>
      <c r="U62" s="448"/>
      <c r="V62" s="448"/>
      <c r="W62" s="448"/>
      <c r="X62" s="448"/>
      <c r="Y62" s="448"/>
      <c r="Z62" s="448"/>
      <c r="AA62" s="448"/>
      <c r="AB62" s="448"/>
      <c r="AC62" s="448"/>
    </row>
    <row r="63" spans="1:100">
      <c r="AE63" s="448"/>
      <c r="AF63" s="448"/>
      <c r="AG63" s="448"/>
      <c r="AH63" s="448"/>
      <c r="AI63" s="448"/>
    </row>
    <row r="64" spans="1:100">
      <c r="B64" s="595" t="s">
        <v>1384</v>
      </c>
      <c r="C64" s="426" t="s">
        <v>826</v>
      </c>
      <c r="D64" s="448">
        <f t="shared" ref="D64:BO64" si="45">D31-D38</f>
        <v>802438.52</v>
      </c>
      <c r="E64" s="448">
        <f t="shared" si="45"/>
        <v>959728.26034133346</v>
      </c>
      <c r="F64" s="448">
        <f t="shared" si="45"/>
        <v>1258453.0229066669</v>
      </c>
      <c r="G64" s="448">
        <f t="shared" si="45"/>
        <v>1441144.8379866667</v>
      </c>
      <c r="H64" s="448">
        <f t="shared" si="45"/>
        <v>1691198.4342506668</v>
      </c>
      <c r="I64" s="448">
        <f t="shared" si="45"/>
        <v>1757080.4432853335</v>
      </c>
      <c r="J64" s="448">
        <f t="shared" si="45"/>
        <v>1921506.4335760002</v>
      </c>
      <c r="K64" s="448">
        <f t="shared" si="45"/>
        <v>2151821.122882667</v>
      </c>
      <c r="L64" s="448">
        <f t="shared" si="45"/>
        <v>2330454.408088</v>
      </c>
      <c r="M64" s="448">
        <f t="shared" si="45"/>
        <v>2984494.7071600002</v>
      </c>
      <c r="N64" s="448">
        <f t="shared" si="45"/>
        <v>3064521.1607733332</v>
      </c>
      <c r="O64" s="448">
        <f t="shared" si="45"/>
        <v>3135551.435506667</v>
      </c>
      <c r="P64" s="448">
        <f t="shared" si="45"/>
        <v>3135319.6851706668</v>
      </c>
      <c r="Q64" s="448">
        <f t="shared" si="45"/>
        <v>3128964.5452213334</v>
      </c>
      <c r="R64" s="448">
        <f t="shared" si="45"/>
        <v>3119553.9889306668</v>
      </c>
      <c r="S64" s="448">
        <f t="shared" si="45"/>
        <v>3110143.4326399998</v>
      </c>
      <c r="T64" s="448">
        <f t="shared" si="45"/>
        <v>3100732.8763493332</v>
      </c>
      <c r="U64" s="448">
        <f t="shared" si="45"/>
        <v>3091322.3200586666</v>
      </c>
      <c r="V64" s="448">
        <f t="shared" si="45"/>
        <v>3081911.7637680001</v>
      </c>
      <c r="W64" s="448">
        <f t="shared" si="45"/>
        <v>3072501.2074773335</v>
      </c>
      <c r="X64" s="448">
        <f t="shared" si="45"/>
        <v>3063090.6511866665</v>
      </c>
      <c r="Y64" s="448">
        <f t="shared" si="45"/>
        <v>3053680.0948959999</v>
      </c>
      <c r="Z64" s="448">
        <f t="shared" si="45"/>
        <v>3044269.5386053333</v>
      </c>
      <c r="AA64" s="448">
        <f t="shared" si="45"/>
        <v>3034858.9823146667</v>
      </c>
      <c r="AB64" s="448">
        <f t="shared" si="45"/>
        <v>3025448.4260240002</v>
      </c>
      <c r="AC64" s="448">
        <f t="shared" si="45"/>
        <v>3016037.8697333336</v>
      </c>
      <c r="AD64" s="448">
        <f t="shared" si="45"/>
        <v>5930199.7834426668</v>
      </c>
      <c r="AE64" s="448">
        <f t="shared" si="45"/>
        <v>5912213.4145733332</v>
      </c>
      <c r="AF64" s="448">
        <f t="shared" si="45"/>
        <v>5894227.0457040006</v>
      </c>
      <c r="AG64" s="448">
        <f t="shared" si="45"/>
        <v>5878652.4368346669</v>
      </c>
      <c r="AH64" s="448">
        <f t="shared" si="45"/>
        <v>5858247.2334693335</v>
      </c>
      <c r="AI64" s="448">
        <f t="shared" si="45"/>
        <v>9499275.0446000006</v>
      </c>
      <c r="AJ64" s="448">
        <f t="shared" si="45"/>
        <v>9637827.077469334</v>
      </c>
      <c r="AK64" s="448">
        <f t="shared" si="45"/>
        <v>9826342.1272426657</v>
      </c>
      <c r="AL64" s="448">
        <f t="shared" si="45"/>
        <v>9932686.5464586671</v>
      </c>
      <c r="AM64" s="448">
        <f t="shared" si="45"/>
        <v>10110636.995562667</v>
      </c>
      <c r="AN64" s="448">
        <f t="shared" si="45"/>
        <v>10247343.848333333</v>
      </c>
      <c r="AO64" s="448">
        <f t="shared" si="45"/>
        <v>10431125.434551999</v>
      </c>
      <c r="AP64" s="448">
        <f t="shared" si="45"/>
        <v>10598627.726522667</v>
      </c>
      <c r="AQ64" s="448">
        <f t="shared" si="45"/>
        <v>10879207.825749334</v>
      </c>
      <c r="AR64" s="448">
        <f t="shared" si="45"/>
        <v>10994378.010882666</v>
      </c>
      <c r="AS64" s="448">
        <f t="shared" si="45"/>
        <v>11246866.649882667</v>
      </c>
      <c r="AT64" s="448">
        <f t="shared" si="45"/>
        <v>11358447.732853333</v>
      </c>
      <c r="AU64" s="448">
        <f t="shared" si="45"/>
        <v>11481948.754226668</v>
      </c>
      <c r="AV64" s="448">
        <f t="shared" si="45"/>
        <v>11618978.339653334</v>
      </c>
      <c r="AW64" s="448">
        <f t="shared" si="45"/>
        <v>11848150.479890667</v>
      </c>
      <c r="AX64" s="448">
        <f t="shared" si="45"/>
        <v>12099235.594245333</v>
      </c>
      <c r="AY64" s="448">
        <f t="shared" si="45"/>
        <v>12341117.291600002</v>
      </c>
      <c r="AZ64" s="448">
        <f t="shared" si="45"/>
        <v>12688727.600338668</v>
      </c>
      <c r="BA64" s="448">
        <f t="shared" si="45"/>
        <v>12848580.436816001</v>
      </c>
      <c r="BB64" s="448">
        <f t="shared" si="45"/>
        <v>12997570.823104002</v>
      </c>
      <c r="BC64" s="448">
        <f t="shared" si="45"/>
        <v>13157920.865010668</v>
      </c>
      <c r="BD64" s="448">
        <f t="shared" si="45"/>
        <v>13351265.561928</v>
      </c>
      <c r="BE64" s="448">
        <f t="shared" si="45"/>
        <v>13552423.158061333</v>
      </c>
      <c r="BF64" s="448">
        <f t="shared" si="45"/>
        <v>13642259.91512</v>
      </c>
      <c r="BG64" s="448">
        <f t="shared" si="45"/>
        <v>13912994.200626666</v>
      </c>
      <c r="BH64" s="448">
        <f t="shared" si="45"/>
        <v>14095082.459938668</v>
      </c>
      <c r="BI64" s="448">
        <f t="shared" si="45"/>
        <v>14393481.559634667</v>
      </c>
      <c r="BJ64" s="448">
        <f t="shared" si="45"/>
        <v>14800893.704309333</v>
      </c>
      <c r="BK64" s="448">
        <f t="shared" si="45"/>
        <v>15054590.218922667</v>
      </c>
      <c r="BL64" s="448">
        <f t="shared" si="45"/>
        <v>15273109.882554667</v>
      </c>
      <c r="BM64" s="448">
        <f t="shared" si="45"/>
        <v>15295982.731730666</v>
      </c>
      <c r="BN64" s="448">
        <f t="shared" si="45"/>
        <v>15339453.439951999</v>
      </c>
      <c r="BO64" s="448">
        <f t="shared" si="45"/>
        <v>15497910.329714667</v>
      </c>
      <c r="BP64" s="448">
        <f t="shared" ref="BP64:CU64" si="46">BP31-BP38</f>
        <v>15942698.712058667</v>
      </c>
      <c r="BQ64" s="448">
        <f t="shared" si="46"/>
        <v>15948089.653384</v>
      </c>
      <c r="BR64" s="448">
        <f t="shared" si="46"/>
        <v>15900753.635994667</v>
      </c>
      <c r="BS64" s="448">
        <f t="shared" si="46"/>
        <v>15883843.327064</v>
      </c>
      <c r="BT64" s="448">
        <f t="shared" si="46"/>
        <v>15904670.671528</v>
      </c>
      <c r="BU64" s="448">
        <f t="shared" si="46"/>
        <v>15979821.634048002</v>
      </c>
      <c r="BV64" s="448">
        <f t="shared" si="46"/>
        <v>16036333.191536002</v>
      </c>
      <c r="BW64" s="448">
        <f t="shared" si="46"/>
        <v>16046193.536517333</v>
      </c>
      <c r="BX64" s="448">
        <f t="shared" si="46"/>
        <v>15979941.48666133</v>
      </c>
      <c r="BY64" s="448">
        <f t="shared" si="46"/>
        <v>15973791.297767997</v>
      </c>
      <c r="BZ64" s="448">
        <f t="shared" si="46"/>
        <v>16087987.96714933</v>
      </c>
      <c r="CA64" s="448">
        <f t="shared" si="46"/>
        <v>16429882.466655996</v>
      </c>
      <c r="CB64" s="448">
        <f t="shared" si="46"/>
        <v>16472159.40526133</v>
      </c>
      <c r="CC64" s="448">
        <f t="shared" si="46"/>
        <v>16532131.080322662</v>
      </c>
      <c r="CD64" s="448">
        <f t="shared" si="46"/>
        <v>16705878.454525331</v>
      </c>
      <c r="CE64" s="448">
        <f t="shared" si="46"/>
        <v>16815655.008368</v>
      </c>
      <c r="CF64" s="448">
        <f t="shared" si="46"/>
        <v>16919849.300266664</v>
      </c>
      <c r="CG64" s="448">
        <f t="shared" si="46"/>
        <v>16990935.640189331</v>
      </c>
      <c r="CH64" s="448">
        <f t="shared" si="46"/>
        <v>17034285.223981328</v>
      </c>
      <c r="CI64" s="448">
        <f t="shared" si="46"/>
        <v>17049560.992805328</v>
      </c>
      <c r="CJ64" s="448">
        <f t="shared" si="46"/>
        <v>17048538.791962665</v>
      </c>
      <c r="CK64" s="448">
        <f t="shared" si="46"/>
        <v>17098242.223298665</v>
      </c>
      <c r="CL64" s="448">
        <f t="shared" si="46"/>
        <v>17274515.884493329</v>
      </c>
      <c r="CM64" s="448">
        <f t="shared" si="46"/>
        <v>17449873.057845332</v>
      </c>
      <c r="CN64" s="448">
        <f t="shared" si="46"/>
        <v>17577865.304911997</v>
      </c>
      <c r="CO64" s="448">
        <f t="shared" si="46"/>
        <v>17855972.777973332</v>
      </c>
      <c r="CP64" s="448">
        <f t="shared" si="46"/>
        <v>17966225.215834666</v>
      </c>
      <c r="CQ64" s="448">
        <f t="shared" si="46"/>
        <v>17975540.743677329</v>
      </c>
      <c r="CR64" s="448">
        <f t="shared" si="46"/>
        <v>17975424.299279999</v>
      </c>
      <c r="CS64" s="448">
        <f t="shared" si="46"/>
        <v>17913499.320119999</v>
      </c>
      <c r="CT64" s="448">
        <f t="shared" si="46"/>
        <v>17851574.34096</v>
      </c>
      <c r="CU64" s="448">
        <f t="shared" si="46"/>
        <v>17789649.3618</v>
      </c>
    </row>
    <row r="65" spans="2:99">
      <c r="B65" s="595"/>
      <c r="C65" s="426" t="s">
        <v>1385</v>
      </c>
      <c r="D65" s="514">
        <f t="shared" ref="D65:BO65" si="47">D31-D48</f>
        <v>792979.52171875001</v>
      </c>
      <c r="E65" s="514">
        <f t="shared" si="47"/>
        <v>943164.08343750006</v>
      </c>
      <c r="F65" s="514">
        <f t="shared" si="47"/>
        <v>1235251.9551562502</v>
      </c>
      <c r="G65" s="514">
        <f t="shared" si="47"/>
        <v>1412191.4168750001</v>
      </c>
      <c r="H65" s="514">
        <f t="shared" si="47"/>
        <v>1657039.4285937501</v>
      </c>
      <c r="I65" s="514">
        <f t="shared" si="47"/>
        <v>1718461.8203125</v>
      </c>
      <c r="J65" s="514">
        <f t="shared" si="47"/>
        <v>1878636.11203125</v>
      </c>
      <c r="K65" s="514">
        <f t="shared" si="47"/>
        <v>2105196.6937500001</v>
      </c>
      <c r="L65" s="514">
        <f t="shared" si="47"/>
        <v>2280768.1954687503</v>
      </c>
      <c r="M65" s="514">
        <f t="shared" si="47"/>
        <v>2932289.4671875001</v>
      </c>
      <c r="N65" s="514">
        <f t="shared" si="47"/>
        <v>3002419.1125837085</v>
      </c>
      <c r="O65" s="514">
        <f t="shared" si="47"/>
        <v>3063813.3679799167</v>
      </c>
      <c r="P65" s="514">
        <f t="shared" si="47"/>
        <v>3054180.7633761251</v>
      </c>
      <c r="Q65" s="514">
        <f t="shared" si="47"/>
        <v>3038451.5887723332</v>
      </c>
      <c r="R65" s="514">
        <f t="shared" si="47"/>
        <v>3019675.9341685418</v>
      </c>
      <c r="S65" s="514">
        <f t="shared" si="47"/>
        <v>3000900.2795647499</v>
      </c>
      <c r="T65" s="514">
        <f t="shared" si="47"/>
        <v>2982124.6249609585</v>
      </c>
      <c r="U65" s="514">
        <f t="shared" si="47"/>
        <v>2963348.9703571666</v>
      </c>
      <c r="V65" s="514">
        <f t="shared" si="47"/>
        <v>2944573.3157533752</v>
      </c>
      <c r="W65" s="514">
        <f t="shared" si="47"/>
        <v>2925797.6611495833</v>
      </c>
      <c r="X65" s="514">
        <f t="shared" si="47"/>
        <v>2907022.0065457919</v>
      </c>
      <c r="Y65" s="514">
        <f t="shared" si="47"/>
        <v>2888246.351942</v>
      </c>
      <c r="Z65" s="514">
        <f t="shared" si="47"/>
        <v>2857676.2977372417</v>
      </c>
      <c r="AA65" s="514">
        <f t="shared" si="47"/>
        <v>2827106.2435324835</v>
      </c>
      <c r="AB65" s="514">
        <f t="shared" si="47"/>
        <v>2796536.1893277252</v>
      </c>
      <c r="AC65" s="514">
        <f t="shared" si="47"/>
        <v>2765966.135122967</v>
      </c>
      <c r="AD65" s="514">
        <f t="shared" si="47"/>
        <v>5649832.3869494591</v>
      </c>
      <c r="AE65" s="514">
        <f t="shared" si="47"/>
        <v>5610126.1687759506</v>
      </c>
      <c r="AF65" s="514">
        <f t="shared" si="47"/>
        <v>5570419.950602442</v>
      </c>
      <c r="AG65" s="514">
        <f t="shared" si="47"/>
        <v>5533125.4924289333</v>
      </c>
      <c r="AH65" s="514">
        <f t="shared" si="47"/>
        <v>5491007.514255425</v>
      </c>
      <c r="AI65" s="514">
        <f t="shared" si="47"/>
        <v>9110315.4760819171</v>
      </c>
      <c r="AJ65" s="514">
        <f t="shared" si="47"/>
        <v>9237880.7679084074</v>
      </c>
      <c r="AK65" s="514">
        <f t="shared" si="47"/>
        <v>9415899.7397348993</v>
      </c>
      <c r="AL65" s="514">
        <f t="shared" si="47"/>
        <v>9486031.9359034169</v>
      </c>
      <c r="AM65" s="514">
        <f t="shared" si="47"/>
        <v>9628169.662071934</v>
      </c>
      <c r="AN65" s="514">
        <f t="shared" si="47"/>
        <v>9729674.5082404502</v>
      </c>
      <c r="AO65" s="514">
        <f t="shared" si="47"/>
        <v>9878745.6144089662</v>
      </c>
      <c r="AP65" s="514">
        <f t="shared" si="47"/>
        <v>10012168.480577484</v>
      </c>
      <c r="AQ65" s="514">
        <f t="shared" si="47"/>
        <v>10259254.306746</v>
      </c>
      <c r="AR65" s="514">
        <f t="shared" si="47"/>
        <v>10341848.782914517</v>
      </c>
      <c r="AS65" s="514">
        <f t="shared" si="47"/>
        <v>10562197.769083032</v>
      </c>
      <c r="AT65" s="514">
        <f t="shared" si="47"/>
        <v>10642479.335251549</v>
      </c>
      <c r="AU65" s="514">
        <f t="shared" si="47"/>
        <v>10735110.111420067</v>
      </c>
      <c r="AV65" s="514">
        <f t="shared" si="47"/>
        <v>10841734.947588583</v>
      </c>
      <c r="AW65" s="514">
        <f t="shared" si="47"/>
        <v>11041008.8837571</v>
      </c>
      <c r="AX65" s="514">
        <f t="shared" si="47"/>
        <v>11250882.468521308</v>
      </c>
      <c r="AY65" s="514">
        <f t="shared" si="47"/>
        <v>11452397.513285518</v>
      </c>
      <c r="AZ65" s="514">
        <f t="shared" si="47"/>
        <v>11760461.528049726</v>
      </c>
      <c r="BA65" s="514">
        <f t="shared" si="47"/>
        <v>11881900.972813934</v>
      </c>
      <c r="BB65" s="514">
        <f t="shared" si="47"/>
        <v>11993063.437578144</v>
      </c>
      <c r="BC65" s="514">
        <f t="shared" si="47"/>
        <v>12116140.882342352</v>
      </c>
      <c r="BD65" s="514">
        <f t="shared" si="47"/>
        <v>12272803.257106557</v>
      </c>
      <c r="BE65" s="514">
        <f t="shared" si="47"/>
        <v>12437967.321870767</v>
      </c>
      <c r="BF65" s="514">
        <f t="shared" si="47"/>
        <v>12492524.276634974</v>
      </c>
      <c r="BG65" s="514">
        <f t="shared" si="47"/>
        <v>12728368.041399183</v>
      </c>
      <c r="BH65" s="514">
        <f t="shared" si="47"/>
        <v>12876486.83616339</v>
      </c>
      <c r="BI65" s="514">
        <f t="shared" si="47"/>
        <v>13141580.200927598</v>
      </c>
      <c r="BJ65" s="514">
        <f t="shared" si="47"/>
        <v>13506233.936203323</v>
      </c>
      <c r="BK65" s="514">
        <f t="shared" si="47"/>
        <v>13718501.621479049</v>
      </c>
      <c r="BL65" s="514">
        <f t="shared" si="47"/>
        <v>13896475.036754774</v>
      </c>
      <c r="BM65" s="514">
        <f t="shared" si="47"/>
        <v>13879583.622030498</v>
      </c>
      <c r="BN65" s="514">
        <f t="shared" si="47"/>
        <v>13883500.447306223</v>
      </c>
      <c r="BO65" s="514">
        <f t="shared" si="47"/>
        <v>14002674.872581949</v>
      </c>
      <c r="BP65" s="514">
        <f t="shared" ref="BP65:CU65" si="48">BP31-BP48</f>
        <v>14408790.297857676</v>
      </c>
      <c r="BQ65" s="514">
        <f t="shared" si="48"/>
        <v>14376959.4831334</v>
      </c>
      <c r="BR65" s="514">
        <f t="shared" si="48"/>
        <v>14292568.268409126</v>
      </c>
      <c r="BS65" s="514">
        <f t="shared" si="48"/>
        <v>14238615.143684851</v>
      </c>
      <c r="BT65" s="514">
        <f t="shared" si="48"/>
        <v>14222501.338960577</v>
      </c>
      <c r="BU65" s="514">
        <f t="shared" si="48"/>
        <v>14260923.814236304</v>
      </c>
      <c r="BV65" s="514">
        <f t="shared" si="48"/>
        <v>14275719.44369271</v>
      </c>
      <c r="BW65" s="514">
        <f t="shared" si="48"/>
        <v>14244182.913149118</v>
      </c>
      <c r="BX65" s="514">
        <f t="shared" si="48"/>
        <v>14136717.132605525</v>
      </c>
      <c r="BY65" s="514">
        <f t="shared" si="48"/>
        <v>14089313.632061932</v>
      </c>
      <c r="BZ65" s="514">
        <f t="shared" si="48"/>
        <v>14162393.591518342</v>
      </c>
      <c r="CA65" s="514">
        <f t="shared" si="48"/>
        <v>14463661.400974749</v>
      </c>
      <c r="CB65" s="514">
        <f t="shared" si="48"/>
        <v>14466471.020431157</v>
      </c>
      <c r="CC65" s="514">
        <f t="shared" si="48"/>
        <v>14487259.269887565</v>
      </c>
      <c r="CD65" s="514">
        <f t="shared" si="48"/>
        <v>14622159.849343974</v>
      </c>
      <c r="CE65" s="514">
        <f t="shared" si="48"/>
        <v>14693760.968800383</v>
      </c>
      <c r="CF65" s="514">
        <f t="shared" si="48"/>
        <v>14760265.508256789</v>
      </c>
      <c r="CG65" s="514">
        <f t="shared" si="48"/>
        <v>14794132.827713197</v>
      </c>
      <c r="CH65" s="514">
        <f t="shared" si="48"/>
        <v>14797381.93460482</v>
      </c>
      <c r="CI65" s="514">
        <f t="shared" si="48"/>
        <v>14772851.961496444</v>
      </c>
      <c r="CJ65" s="514">
        <f t="shared" si="48"/>
        <v>14732237.26838807</v>
      </c>
      <c r="CK65" s="514">
        <f t="shared" si="48"/>
        <v>14742514.275279695</v>
      </c>
      <c r="CL65" s="514">
        <f t="shared" si="48"/>
        <v>14879676.862171318</v>
      </c>
      <c r="CM65" s="514">
        <f t="shared" si="48"/>
        <v>15016610.509062944</v>
      </c>
      <c r="CN65" s="514">
        <f t="shared" si="48"/>
        <v>15106866.105954569</v>
      </c>
      <c r="CO65" s="514">
        <f t="shared" si="48"/>
        <v>15347786.882846193</v>
      </c>
      <c r="CP65" s="514">
        <f t="shared" si="48"/>
        <v>15421844.529737819</v>
      </c>
      <c r="CQ65" s="514">
        <f t="shared" si="48"/>
        <v>15395467.706629442</v>
      </c>
      <c r="CR65" s="514">
        <f t="shared" si="48"/>
        <v>15359866.743521068</v>
      </c>
      <c r="CS65" s="514">
        <f t="shared" si="48"/>
        <v>15262638.020412693</v>
      </c>
      <c r="CT65" s="514">
        <f t="shared" si="48"/>
        <v>15166890.630324252</v>
      </c>
      <c r="CU65" s="514">
        <f t="shared" si="48"/>
        <v>15071143.240235809</v>
      </c>
    </row>
    <row r="66" spans="2:99">
      <c r="B66" s="595"/>
      <c r="C66" s="426"/>
      <c r="D66" s="430">
        <f t="shared" ref="D66:BF66" si="49">+(D65-D64)*0.21</f>
        <v>-1986.3896390625018</v>
      </c>
      <c r="E66" s="430">
        <f t="shared" si="49"/>
        <v>-3478.4771498050145</v>
      </c>
      <c r="F66" s="430">
        <f t="shared" si="49"/>
        <v>-4872.224227587506</v>
      </c>
      <c r="G66" s="430">
        <f t="shared" si="49"/>
        <v>-6080.2184334499852</v>
      </c>
      <c r="H66" s="430">
        <f t="shared" si="49"/>
        <v>-7173.3911879524958</v>
      </c>
      <c r="I66" s="430">
        <f t="shared" si="49"/>
        <v>-8109.910824295026</v>
      </c>
      <c r="J66" s="430">
        <f t="shared" si="49"/>
        <v>-9002.7675243975264</v>
      </c>
      <c r="K66" s="430">
        <f t="shared" si="49"/>
        <v>-9791.1301178600497</v>
      </c>
      <c r="L66" s="430">
        <f t="shared" si="49"/>
        <v>-10434.104650042438</v>
      </c>
      <c r="M66" s="430">
        <f t="shared" si="49"/>
        <v>-10963.100394225026</v>
      </c>
      <c r="N66" s="430">
        <f t="shared" si="49"/>
        <v>-13041.430119821182</v>
      </c>
      <c r="O66" s="430">
        <f t="shared" si="49"/>
        <v>-15064.994180617556</v>
      </c>
      <c r="P66" s="430">
        <f t="shared" si="49"/>
        <v>-17039.173576853744</v>
      </c>
      <c r="Q66" s="430">
        <f t="shared" si="49"/>
        <v>-19007.720854290033</v>
      </c>
      <c r="R66" s="430">
        <f t="shared" si="49"/>
        <v>-20974.391500046251</v>
      </c>
      <c r="S66" s="430">
        <f t="shared" si="49"/>
        <v>-22941.062145802473</v>
      </c>
      <c r="T66" s="430">
        <f t="shared" si="49"/>
        <v>-24907.73279155869</v>
      </c>
      <c r="U66" s="430">
        <f t="shared" si="49"/>
        <v>-26874.403437315006</v>
      </c>
      <c r="V66" s="430">
        <f t="shared" si="49"/>
        <v>-28841.074083071224</v>
      </c>
      <c r="W66" s="430">
        <f t="shared" si="49"/>
        <v>-30807.74472882754</v>
      </c>
      <c r="X66" s="430">
        <f t="shared" si="49"/>
        <v>-32774.415374583659</v>
      </c>
      <c r="Y66" s="430">
        <f t="shared" si="49"/>
        <v>-34741.086020339979</v>
      </c>
      <c r="Z66" s="430">
        <f t="shared" si="49"/>
        <v>-39184.580582299233</v>
      </c>
      <c r="AA66" s="430">
        <f t="shared" si="49"/>
        <v>-43628.075144258488</v>
      </c>
      <c r="AB66" s="430">
        <f t="shared" si="49"/>
        <v>-48071.569706217735</v>
      </c>
      <c r="AC66" s="430">
        <f t="shared" si="49"/>
        <v>-52515.06426817699</v>
      </c>
      <c r="AD66" s="430">
        <f t="shared" si="49"/>
        <v>-58877.153263573608</v>
      </c>
      <c r="AE66" s="430">
        <f t="shared" si="49"/>
        <v>-63438.321617450361</v>
      </c>
      <c r="AF66" s="430">
        <f t="shared" si="49"/>
        <v>-67999.489971327304</v>
      </c>
      <c r="AG66" s="430">
        <f t="shared" si="49"/>
        <v>-72560.658325204058</v>
      </c>
      <c r="AH66" s="430">
        <f t="shared" si="49"/>
        <v>-77120.341034920784</v>
      </c>
      <c r="AI66" s="430">
        <f t="shared" si="49"/>
        <v>-81681.509388797538</v>
      </c>
      <c r="AJ66" s="430">
        <f t="shared" si="49"/>
        <v>-83988.725007794594</v>
      </c>
      <c r="AK66" s="430">
        <f t="shared" si="49"/>
        <v>-86192.901376630965</v>
      </c>
      <c r="AL66" s="430">
        <f t="shared" si="49"/>
        <v>-93797.468216602545</v>
      </c>
      <c r="AM66" s="430">
        <f t="shared" si="49"/>
        <v>-101318.14003305393</v>
      </c>
      <c r="AN66" s="430">
        <f t="shared" si="49"/>
        <v>-108710.56141950532</v>
      </c>
      <c r="AO66" s="430">
        <f t="shared" si="49"/>
        <v>-115999.76223003688</v>
      </c>
      <c r="AP66" s="430">
        <f t="shared" si="49"/>
        <v>-123156.44164848854</v>
      </c>
      <c r="AQ66" s="430">
        <f t="shared" si="49"/>
        <v>-130190.23899070003</v>
      </c>
      <c r="AR66" s="430">
        <f t="shared" si="49"/>
        <v>-137031.13787331127</v>
      </c>
      <c r="AS66" s="430">
        <f t="shared" si="49"/>
        <v>-143780.46496792321</v>
      </c>
      <c r="AT66" s="430">
        <f t="shared" si="49"/>
        <v>-150353.36349637448</v>
      </c>
      <c r="AU66" s="430">
        <f t="shared" si="49"/>
        <v>-156836.11498938614</v>
      </c>
      <c r="AV66" s="430">
        <f t="shared" si="49"/>
        <v>-163221.11233359753</v>
      </c>
      <c r="AW66" s="430">
        <f t="shared" si="49"/>
        <v>-169499.73518804915</v>
      </c>
      <c r="AX66" s="430">
        <f t="shared" si="49"/>
        <v>-178154.15640204525</v>
      </c>
      <c r="AY66" s="430">
        <f t="shared" si="49"/>
        <v>-186631.15344604169</v>
      </c>
      <c r="AZ66" s="430">
        <f t="shared" si="49"/>
        <v>-194935.87518067771</v>
      </c>
      <c r="BA66" s="430">
        <f t="shared" si="49"/>
        <v>-203002.68744043412</v>
      </c>
      <c r="BB66" s="430">
        <f t="shared" si="49"/>
        <v>-210946.55096043018</v>
      </c>
      <c r="BC66" s="430">
        <f t="shared" si="49"/>
        <v>-218773.79636034634</v>
      </c>
      <c r="BD66" s="430">
        <f t="shared" si="49"/>
        <v>-226477.08401250298</v>
      </c>
      <c r="BE66" s="430">
        <f t="shared" si="49"/>
        <v>-234035.72560001895</v>
      </c>
      <c r="BF66" s="430">
        <f t="shared" si="49"/>
        <v>-241444.48408185536</v>
      </c>
      <c r="BG66" s="430">
        <f>+(BG65-BG64)*0.21</f>
        <v>-248771.49343777142</v>
      </c>
      <c r="BH66" s="430">
        <f>+(BH65-BH64)*0.21</f>
        <v>-255905.08099280822</v>
      </c>
      <c r="BI66" s="430">
        <f t="shared" ref="BI66:CU66" si="50">+(BI65-BI64)*0.21</f>
        <v>-262899.28532848437</v>
      </c>
      <c r="BJ66" s="430">
        <f>+(BJ65-BJ64)*0.21</f>
        <v>-271878.55130226206</v>
      </c>
      <c r="BK66" s="430">
        <f t="shared" si="50"/>
        <v>-280578.60546315974</v>
      </c>
      <c r="BL66" s="430">
        <f t="shared" si="50"/>
        <v>-289093.31761797756</v>
      </c>
      <c r="BM66" s="430">
        <f t="shared" si="50"/>
        <v>-297443.81303703517</v>
      </c>
      <c r="BN66" s="430">
        <f t="shared" si="50"/>
        <v>-305750.12845561292</v>
      </c>
      <c r="BO66" s="430">
        <f t="shared" si="50"/>
        <v>-313999.4459978707</v>
      </c>
      <c r="BP66" s="430">
        <f t="shared" si="50"/>
        <v>-322120.76698220818</v>
      </c>
      <c r="BQ66" s="430">
        <f t="shared" si="50"/>
        <v>-329937.33575262601</v>
      </c>
      <c r="BR66" s="430">
        <f t="shared" si="50"/>
        <v>-337718.92719296372</v>
      </c>
      <c r="BS66" s="430">
        <f t="shared" si="50"/>
        <v>-345497.91850962129</v>
      </c>
      <c r="BT66" s="430">
        <f t="shared" si="50"/>
        <v>-353255.55983915896</v>
      </c>
      <c r="BU66" s="430">
        <f t="shared" si="50"/>
        <v>-360968.54216045659</v>
      </c>
      <c r="BV66" s="430">
        <f t="shared" si="50"/>
        <v>-369728.88704709121</v>
      </c>
      <c r="BW66" s="430">
        <f t="shared" si="50"/>
        <v>-378422.23090732511</v>
      </c>
      <c r="BX66" s="430">
        <f t="shared" si="50"/>
        <v>-387077.11435171904</v>
      </c>
      <c r="BY66" s="430">
        <f t="shared" si="50"/>
        <v>-395740.30979827355</v>
      </c>
      <c r="BZ66" s="430">
        <f t="shared" si="50"/>
        <v>-404374.81888250745</v>
      </c>
      <c r="CA66" s="430">
        <f t="shared" si="50"/>
        <v>-412906.42379306187</v>
      </c>
      <c r="CB66" s="430">
        <f t="shared" si="50"/>
        <v>-421194.56081433635</v>
      </c>
      <c r="CC66" s="430">
        <f t="shared" si="50"/>
        <v>-429423.08019137051</v>
      </c>
      <c r="CD66" s="430">
        <f t="shared" si="50"/>
        <v>-437580.9070880849</v>
      </c>
      <c r="CE66" s="430">
        <f t="shared" si="50"/>
        <v>-445597.7483091997</v>
      </c>
      <c r="CF66" s="430">
        <f t="shared" si="50"/>
        <v>-453512.59632207378</v>
      </c>
      <c r="CG66" s="430">
        <f t="shared" si="50"/>
        <v>-461328.5906199881</v>
      </c>
      <c r="CH66" s="430">
        <f t="shared" si="50"/>
        <v>-469749.69076906674</v>
      </c>
      <c r="CI66" s="430">
        <f t="shared" si="50"/>
        <v>-478108.89657486556</v>
      </c>
      <c r="CJ66" s="430">
        <f t="shared" si="50"/>
        <v>-486423.31995066482</v>
      </c>
      <c r="CK66" s="430">
        <f t="shared" si="50"/>
        <v>-494702.86908398365</v>
      </c>
      <c r="CL66" s="430">
        <f t="shared" si="50"/>
        <v>-502916.19468762213</v>
      </c>
      <c r="CM66" s="430">
        <f t="shared" si="50"/>
        <v>-510985.1352443014</v>
      </c>
      <c r="CN66" s="430">
        <f t="shared" si="50"/>
        <v>-518909.83178105991</v>
      </c>
      <c r="CO66" s="430">
        <f t="shared" si="50"/>
        <v>-526719.03797669895</v>
      </c>
      <c r="CP66" s="430">
        <f t="shared" si="50"/>
        <v>-534319.94408033788</v>
      </c>
      <c r="CQ66" s="430">
        <f t="shared" si="50"/>
        <v>-541815.33778005629</v>
      </c>
      <c r="CR66" s="430">
        <f t="shared" si="50"/>
        <v>-549267.08670937549</v>
      </c>
      <c r="CS66" s="430">
        <f t="shared" si="50"/>
        <v>-556680.87293853436</v>
      </c>
      <c r="CT66" s="430">
        <f t="shared" si="50"/>
        <v>-563783.57923350704</v>
      </c>
      <c r="CU66" s="430">
        <f t="shared" si="50"/>
        <v>-570886.28552848008</v>
      </c>
    </row>
    <row r="67" spans="2:99">
      <c r="D67" s="448">
        <f t="shared" ref="D67:BO67" si="51">+D61-D66</f>
        <v>1.8189894035458565E-12</v>
      </c>
      <c r="E67" s="448">
        <f t="shared" si="51"/>
        <v>1.4551915228366852E-11</v>
      </c>
      <c r="F67" s="448">
        <f t="shared" si="51"/>
        <v>0</v>
      </c>
      <c r="G67" s="448">
        <f t="shared" si="51"/>
        <v>-1.4551915228366852E-11</v>
      </c>
      <c r="H67" s="448">
        <f t="shared" si="51"/>
        <v>0</v>
      </c>
      <c r="I67" s="448">
        <f t="shared" si="51"/>
        <v>2.6375346351414919E-11</v>
      </c>
      <c r="J67" s="448">
        <f t="shared" si="51"/>
        <v>2.5465851649641991E-11</v>
      </c>
      <c r="K67" s="448">
        <f t="shared" si="51"/>
        <v>5.0931703299283981E-11</v>
      </c>
      <c r="L67" s="448">
        <f t="shared" si="51"/>
        <v>-6.0026650317013264E-11</v>
      </c>
      <c r="M67" s="448">
        <f t="shared" si="51"/>
        <v>2.9103830456733704E-11</v>
      </c>
      <c r="N67" s="448">
        <f t="shared" si="51"/>
        <v>-6.5483618527650833E-11</v>
      </c>
      <c r="O67" s="448">
        <f t="shared" si="51"/>
        <v>5.4569682106375694E-11</v>
      </c>
      <c r="P67" s="448">
        <f t="shared" si="51"/>
        <v>0</v>
      </c>
      <c r="Q67" s="448">
        <f t="shared" si="51"/>
        <v>3.637978807091713E-11</v>
      </c>
      <c r="R67" s="448">
        <f t="shared" si="51"/>
        <v>0</v>
      </c>
      <c r="S67" s="448">
        <f t="shared" si="51"/>
        <v>0</v>
      </c>
      <c r="T67" s="448">
        <f t="shared" si="51"/>
        <v>-5.4569682106375694E-11</v>
      </c>
      <c r="U67" s="448">
        <f t="shared" si="51"/>
        <v>0</v>
      </c>
      <c r="V67" s="448">
        <f t="shared" si="51"/>
        <v>0</v>
      </c>
      <c r="W67" s="448">
        <f t="shared" si="51"/>
        <v>4.7293724492192268E-11</v>
      </c>
      <c r="X67" s="448">
        <f t="shared" si="51"/>
        <v>-8.0035533756017685E-11</v>
      </c>
      <c r="Y67" s="448">
        <f t="shared" si="51"/>
        <v>0</v>
      </c>
      <c r="Z67" s="448">
        <f t="shared" si="51"/>
        <v>0</v>
      </c>
      <c r="AA67" s="448">
        <f t="shared" si="51"/>
        <v>0</v>
      </c>
      <c r="AB67" s="448">
        <f t="shared" si="51"/>
        <v>0</v>
      </c>
      <c r="AC67" s="448">
        <f t="shared" si="51"/>
        <v>0</v>
      </c>
      <c r="AD67" s="448">
        <f t="shared" si="51"/>
        <v>-1.2369127944111824E-10</v>
      </c>
      <c r="AE67" s="448">
        <f t="shared" si="51"/>
        <v>-1.3096723705530167E-10</v>
      </c>
      <c r="AF67" s="448">
        <f t="shared" si="51"/>
        <v>0</v>
      </c>
      <c r="AG67" s="448">
        <f t="shared" si="51"/>
        <v>0</v>
      </c>
      <c r="AH67" s="448">
        <f>+AH61-AH66</f>
        <v>0</v>
      </c>
      <c r="AI67" s="448">
        <f t="shared" si="51"/>
        <v>0</v>
      </c>
      <c r="AJ67" s="448">
        <f>+AJ61-AJ66</f>
        <v>3.637978807091713E-10</v>
      </c>
      <c r="AK67" s="448">
        <f t="shared" si="51"/>
        <v>0</v>
      </c>
      <c r="AL67" s="448">
        <f t="shared" si="51"/>
        <v>0</v>
      </c>
      <c r="AM67" s="448">
        <f t="shared" si="51"/>
        <v>0</v>
      </c>
      <c r="AN67" s="448">
        <f t="shared" si="51"/>
        <v>-1.3096723705530167E-10</v>
      </c>
      <c r="AO67" s="448">
        <f t="shared" si="51"/>
        <v>0</v>
      </c>
      <c r="AP67" s="448">
        <f t="shared" si="51"/>
        <v>0</v>
      </c>
      <c r="AQ67" s="448">
        <f t="shared" si="51"/>
        <v>0</v>
      </c>
      <c r="AR67" s="448">
        <f t="shared" si="51"/>
        <v>0</v>
      </c>
      <c r="AS67" s="448">
        <f t="shared" si="51"/>
        <v>0</v>
      </c>
      <c r="AT67" s="448">
        <f t="shared" si="51"/>
        <v>0</v>
      </c>
      <c r="AU67" s="448">
        <f t="shared" si="51"/>
        <v>0</v>
      </c>
      <c r="AV67" s="448">
        <f t="shared" si="51"/>
        <v>0</v>
      </c>
      <c r="AW67" s="448">
        <f t="shared" si="51"/>
        <v>0</v>
      </c>
      <c r="AX67" s="448">
        <f t="shared" si="51"/>
        <v>0</v>
      </c>
      <c r="AY67" s="448">
        <f t="shared" si="51"/>
        <v>0</v>
      </c>
      <c r="AZ67" s="448">
        <f t="shared" si="51"/>
        <v>0</v>
      </c>
      <c r="BA67" s="448">
        <f t="shared" si="51"/>
        <v>0</v>
      </c>
      <c r="BB67" s="448">
        <f t="shared" si="51"/>
        <v>0</v>
      </c>
      <c r="BC67" s="448">
        <f t="shared" si="51"/>
        <v>0</v>
      </c>
      <c r="BD67" s="448">
        <f t="shared" si="51"/>
        <v>2.3283064365386963E-10</v>
      </c>
      <c r="BE67" s="448">
        <f t="shared" si="51"/>
        <v>0</v>
      </c>
      <c r="BF67" s="448">
        <f t="shared" si="51"/>
        <v>0</v>
      </c>
      <c r="BG67" s="448">
        <f t="shared" si="51"/>
        <v>0</v>
      </c>
      <c r="BH67" s="448">
        <f t="shared" si="51"/>
        <v>3.4924596548080444E-10</v>
      </c>
      <c r="BI67" s="448">
        <f t="shared" si="51"/>
        <v>0</v>
      </c>
      <c r="BJ67" s="448">
        <f t="shared" si="51"/>
        <v>0</v>
      </c>
      <c r="BK67" s="448">
        <f t="shared" si="51"/>
        <v>0</v>
      </c>
      <c r="BL67" s="448">
        <f t="shared" si="51"/>
        <v>0</v>
      </c>
      <c r="BM67" s="448">
        <f t="shared" si="51"/>
        <v>0</v>
      </c>
      <c r="BN67" s="448">
        <f t="shared" si="51"/>
        <v>0</v>
      </c>
      <c r="BO67" s="448">
        <f t="shared" si="51"/>
        <v>0</v>
      </c>
      <c r="BP67" s="448">
        <f t="shared" ref="BP67:CU67" si="52">+BP61-BP66</f>
        <v>0</v>
      </c>
      <c r="BQ67" s="448">
        <f t="shared" si="52"/>
        <v>0</v>
      </c>
      <c r="BR67" s="448">
        <f>+BR61-BR66</f>
        <v>0</v>
      </c>
      <c r="BS67" s="448">
        <f t="shared" si="52"/>
        <v>0</v>
      </c>
      <c r="BT67" s="448">
        <f t="shared" si="52"/>
        <v>0</v>
      </c>
      <c r="BU67" s="448">
        <f t="shared" si="52"/>
        <v>0</v>
      </c>
      <c r="BV67" s="448">
        <f t="shared" si="52"/>
        <v>0</v>
      </c>
      <c r="BW67" s="448">
        <f t="shared" si="52"/>
        <v>0</v>
      </c>
      <c r="BX67" s="448">
        <f t="shared" si="52"/>
        <v>0</v>
      </c>
      <c r="BY67" s="448">
        <f t="shared" si="52"/>
        <v>0</v>
      </c>
      <c r="BZ67" s="448">
        <f t="shared" si="52"/>
        <v>0</v>
      </c>
      <c r="CA67" s="448">
        <f t="shared" si="52"/>
        <v>0</v>
      </c>
      <c r="CB67" s="448">
        <f t="shared" si="52"/>
        <v>0</v>
      </c>
      <c r="CC67" s="448">
        <f t="shared" si="52"/>
        <v>0</v>
      </c>
      <c r="CD67" s="448">
        <f t="shared" si="52"/>
        <v>0</v>
      </c>
      <c r="CE67" s="448">
        <f t="shared" si="52"/>
        <v>0</v>
      </c>
      <c r="CF67" s="448">
        <f t="shared" si="52"/>
        <v>0</v>
      </c>
      <c r="CG67" s="448">
        <f t="shared" si="52"/>
        <v>0</v>
      </c>
      <c r="CH67" s="448">
        <f t="shared" si="52"/>
        <v>0</v>
      </c>
      <c r="CI67" s="448">
        <f t="shared" si="52"/>
        <v>0</v>
      </c>
      <c r="CJ67" s="448">
        <f t="shared" si="52"/>
        <v>0</v>
      </c>
      <c r="CK67" s="448">
        <f t="shared" si="52"/>
        <v>0</v>
      </c>
      <c r="CL67" s="448">
        <f t="shared" si="52"/>
        <v>0</v>
      </c>
      <c r="CM67" s="448">
        <f t="shared" si="52"/>
        <v>0</v>
      </c>
      <c r="CN67" s="448">
        <f t="shared" si="52"/>
        <v>0</v>
      </c>
      <c r="CO67" s="448">
        <f t="shared" si="52"/>
        <v>0</v>
      </c>
      <c r="CP67" s="448">
        <f t="shared" si="52"/>
        <v>0</v>
      </c>
      <c r="CQ67" s="448">
        <f t="shared" si="52"/>
        <v>0</v>
      </c>
      <c r="CR67" s="448">
        <f t="shared" si="52"/>
        <v>0</v>
      </c>
      <c r="CS67" s="448">
        <f t="shared" si="52"/>
        <v>0</v>
      </c>
      <c r="CT67" s="448">
        <f t="shared" si="52"/>
        <v>0</v>
      </c>
      <c r="CU67" s="448">
        <f t="shared" si="52"/>
        <v>0</v>
      </c>
    </row>
    <row r="68" spans="2:99">
      <c r="D68" s="448"/>
      <c r="E68" s="448"/>
      <c r="F68" s="448"/>
      <c r="G68" s="448"/>
      <c r="H68" s="448"/>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H68" s="448"/>
      <c r="AI68" s="448"/>
      <c r="AJ68" s="448"/>
      <c r="AK68" s="448"/>
      <c r="AL68" s="448"/>
      <c r="AM68" s="448"/>
      <c r="AN68" s="448"/>
      <c r="AO68" s="448"/>
      <c r="AP68" s="448"/>
      <c r="AQ68" s="448"/>
      <c r="AR68" s="448"/>
      <c r="AS68" s="448"/>
      <c r="AT68" s="448"/>
      <c r="AU68" s="448"/>
      <c r="AV68" s="448"/>
      <c r="AW68" s="448"/>
      <c r="AX68" s="448"/>
      <c r="AY68" s="448"/>
      <c r="AZ68" s="448"/>
      <c r="BA68" s="448"/>
      <c r="BB68" s="448"/>
      <c r="BC68" s="448"/>
      <c r="BD68" s="448"/>
      <c r="BE68" s="448"/>
      <c r="BF68" s="448"/>
      <c r="BG68" s="448"/>
      <c r="BH68" s="448"/>
      <c r="BI68" s="448"/>
      <c r="BJ68" s="448"/>
      <c r="BK68" s="448"/>
      <c r="BL68" s="448"/>
      <c r="BM68" s="448"/>
      <c r="BN68" s="448"/>
      <c r="BO68" s="448"/>
      <c r="BP68" s="448"/>
      <c r="BQ68" s="448"/>
      <c r="BR68" s="448"/>
      <c r="BS68" s="448"/>
      <c r="BT68" s="448"/>
      <c r="BU68" s="448"/>
      <c r="BV68" s="448"/>
      <c r="BW68" s="448"/>
      <c r="BX68" s="448"/>
      <c r="BY68" s="448"/>
      <c r="BZ68" s="448"/>
      <c r="CA68" s="448"/>
      <c r="CB68" s="448"/>
      <c r="CC68" s="448"/>
      <c r="CD68" s="448"/>
      <c r="CE68" s="448"/>
      <c r="CF68" s="448"/>
      <c r="CG68" s="448"/>
      <c r="CH68" s="448"/>
      <c r="CI68" s="448"/>
      <c r="CJ68" s="448"/>
      <c r="CK68" s="448"/>
      <c r="CL68" s="448"/>
      <c r="CM68" s="448"/>
      <c r="CN68" s="448"/>
      <c r="CO68" s="448"/>
      <c r="CP68" s="448"/>
      <c r="CQ68" s="448"/>
      <c r="CR68" s="448"/>
      <c r="CS68" s="448"/>
      <c r="CT68" s="448"/>
      <c r="CU68" s="448"/>
    </row>
    <row r="69" spans="2:99">
      <c r="B69" s="431" t="s">
        <v>1386</v>
      </c>
      <c r="D69" s="448">
        <f t="shared" ref="D69:BO69" si="53">+D31-D38+D61</f>
        <v>800452.13036093756</v>
      </c>
      <c r="E69" s="448">
        <f t="shared" si="53"/>
        <v>956249.7831915284</v>
      </c>
      <c r="F69" s="448">
        <f t="shared" si="53"/>
        <v>1253580.7986790794</v>
      </c>
      <c r="G69" s="448">
        <f t="shared" si="53"/>
        <v>1435064.6195532167</v>
      </c>
      <c r="H69" s="448">
        <f t="shared" si="53"/>
        <v>1684025.0430627142</v>
      </c>
      <c r="I69" s="448">
        <f t="shared" si="53"/>
        <v>1748970.5324610386</v>
      </c>
      <c r="J69" s="448">
        <f t="shared" si="53"/>
        <v>1912503.6660516027</v>
      </c>
      <c r="K69" s="448">
        <f t="shared" si="53"/>
        <v>2142029.9927648068</v>
      </c>
      <c r="L69" s="448">
        <f t="shared" si="53"/>
        <v>2320020.3034379575</v>
      </c>
      <c r="M69" s="448">
        <f t="shared" si="53"/>
        <v>2973531.606765775</v>
      </c>
      <c r="N69" s="448">
        <f t="shared" si="53"/>
        <v>3051479.7306535118</v>
      </c>
      <c r="O69" s="448">
        <f t="shared" si="53"/>
        <v>3120486.4413260496</v>
      </c>
      <c r="P69" s="448">
        <f t="shared" si="53"/>
        <v>3118280.5115938131</v>
      </c>
      <c r="Q69" s="448">
        <f t="shared" si="53"/>
        <v>3109956.8243670436</v>
      </c>
      <c r="R69" s="448">
        <f t="shared" si="53"/>
        <v>3098579.5974306203</v>
      </c>
      <c r="S69" s="448">
        <f t="shared" si="53"/>
        <v>3087202.3704941971</v>
      </c>
      <c r="T69" s="448">
        <f t="shared" si="53"/>
        <v>3075825.1435577744</v>
      </c>
      <c r="U69" s="448">
        <f t="shared" si="53"/>
        <v>3064447.9166213516</v>
      </c>
      <c r="V69" s="448">
        <f t="shared" si="53"/>
        <v>3053070.6896849289</v>
      </c>
      <c r="W69" s="448">
        <f t="shared" si="53"/>
        <v>3041693.4627485061</v>
      </c>
      <c r="X69" s="448">
        <f t="shared" si="53"/>
        <v>3030316.2358120829</v>
      </c>
      <c r="Y69" s="448">
        <f t="shared" si="53"/>
        <v>3018939.0088756597</v>
      </c>
      <c r="Z69" s="448">
        <f t="shared" si="53"/>
        <v>3005084.958023034</v>
      </c>
      <c r="AA69" s="448">
        <f t="shared" si="53"/>
        <v>2991230.9071704084</v>
      </c>
      <c r="AB69" s="448">
        <f t="shared" si="53"/>
        <v>2977376.8563177823</v>
      </c>
      <c r="AC69" s="448">
        <f t="shared" si="53"/>
        <v>2963522.8054651567</v>
      </c>
      <c r="AD69" s="448">
        <f t="shared" si="53"/>
        <v>5871322.6301790932</v>
      </c>
      <c r="AE69" s="448">
        <f t="shared" si="53"/>
        <v>5848775.0929558827</v>
      </c>
      <c r="AF69" s="448">
        <f t="shared" si="53"/>
        <v>5826227.555732673</v>
      </c>
      <c r="AG69" s="448">
        <f t="shared" si="53"/>
        <v>5806091.7785094632</v>
      </c>
      <c r="AH69" s="448">
        <f t="shared" si="53"/>
        <v>5781126.8924344126</v>
      </c>
      <c r="AI69" s="448">
        <f t="shared" si="53"/>
        <v>9417593.5352112036</v>
      </c>
      <c r="AJ69" s="448">
        <f t="shared" si="53"/>
        <v>9553838.3524615392</v>
      </c>
      <c r="AK69" s="448">
        <f t="shared" si="53"/>
        <v>9740149.2258660346</v>
      </c>
      <c r="AL69" s="448">
        <f t="shared" si="53"/>
        <v>9838889.0782420654</v>
      </c>
      <c r="AM69" s="448">
        <f t="shared" si="53"/>
        <v>10009318.855529614</v>
      </c>
      <c r="AN69" s="448">
        <f t="shared" si="53"/>
        <v>10138633.286913827</v>
      </c>
      <c r="AO69" s="448">
        <f t="shared" si="53"/>
        <v>10315125.672321962</v>
      </c>
      <c r="AP69" s="448">
        <f t="shared" si="53"/>
        <v>10475471.284874178</v>
      </c>
      <c r="AQ69" s="448">
        <f t="shared" si="53"/>
        <v>10749017.586758634</v>
      </c>
      <c r="AR69" s="448">
        <f t="shared" si="53"/>
        <v>10857346.873009356</v>
      </c>
      <c r="AS69" s="448">
        <f t="shared" si="53"/>
        <v>11103086.184914744</v>
      </c>
      <c r="AT69" s="448">
        <f t="shared" si="53"/>
        <v>11208094.369356958</v>
      </c>
      <c r="AU69" s="448">
        <f t="shared" si="53"/>
        <v>11325112.639237281</v>
      </c>
      <c r="AV69" s="448">
        <f t="shared" si="53"/>
        <v>11455757.227319736</v>
      </c>
      <c r="AW69" s="448">
        <f t="shared" si="53"/>
        <v>11678650.744702619</v>
      </c>
      <c r="AX69" s="448">
        <f t="shared" si="53"/>
        <v>11921081.437843287</v>
      </c>
      <c r="AY69" s="448">
        <f t="shared" si="53"/>
        <v>12154486.138153961</v>
      </c>
      <c r="AZ69" s="448">
        <f t="shared" si="53"/>
        <v>12493791.725157989</v>
      </c>
      <c r="BA69" s="448">
        <f t="shared" si="53"/>
        <v>12645577.749375567</v>
      </c>
      <c r="BB69" s="448">
        <f t="shared" si="53"/>
        <v>12786624.272143571</v>
      </c>
      <c r="BC69" s="448">
        <f t="shared" si="53"/>
        <v>12939147.06865032</v>
      </c>
      <c r="BD69" s="448">
        <f t="shared" si="53"/>
        <v>13124788.477915497</v>
      </c>
      <c r="BE69" s="448">
        <f t="shared" si="53"/>
        <v>13318387.432461314</v>
      </c>
      <c r="BF69" s="448">
        <f t="shared" si="53"/>
        <v>13400815.431038145</v>
      </c>
      <c r="BG69" s="448">
        <f t="shared" si="53"/>
        <v>13664222.707188895</v>
      </c>
      <c r="BH69" s="448">
        <f t="shared" si="53"/>
        <v>13839177.378945859</v>
      </c>
      <c r="BI69" s="448">
        <f t="shared" si="53"/>
        <v>14130582.274306182</v>
      </c>
      <c r="BJ69" s="448">
        <f t="shared" si="53"/>
        <v>14529015.153007071</v>
      </c>
      <c r="BK69" s="448">
        <f t="shared" si="53"/>
        <v>14774011.613459507</v>
      </c>
      <c r="BL69" s="448">
        <f t="shared" si="53"/>
        <v>14984016.56493669</v>
      </c>
      <c r="BM69" s="448">
        <f t="shared" si="53"/>
        <v>14998538.918693632</v>
      </c>
      <c r="BN69" s="448">
        <f t="shared" si="53"/>
        <v>15033703.311496386</v>
      </c>
      <c r="BO69" s="448">
        <f t="shared" si="53"/>
        <v>15183910.883716797</v>
      </c>
      <c r="BP69" s="448">
        <f t="shared" ref="BP69:CU69" si="54">+BP31-BP38+BP61</f>
        <v>15620577.945076458</v>
      </c>
      <c r="BQ69" s="448">
        <f t="shared" si="54"/>
        <v>15618152.317631375</v>
      </c>
      <c r="BR69" s="448">
        <f t="shared" si="54"/>
        <v>15563034.708801704</v>
      </c>
      <c r="BS69" s="448">
        <f t="shared" si="54"/>
        <v>15538345.408554379</v>
      </c>
      <c r="BT69" s="448">
        <f t="shared" si="54"/>
        <v>15551415.111688841</v>
      </c>
      <c r="BU69" s="448">
        <f t="shared" si="54"/>
        <v>15618853.091887545</v>
      </c>
      <c r="BV69" s="448">
        <f t="shared" si="54"/>
        <v>15666604.30448891</v>
      </c>
      <c r="BW69" s="448">
        <f t="shared" si="54"/>
        <v>15667771.305610009</v>
      </c>
      <c r="BX69" s="448">
        <f t="shared" si="54"/>
        <v>15592864.37230961</v>
      </c>
      <c r="BY69" s="448">
        <f t="shared" si="54"/>
        <v>15578050.987969723</v>
      </c>
      <c r="BZ69" s="448">
        <f t="shared" si="54"/>
        <v>15683613.148266822</v>
      </c>
      <c r="CA69" s="448">
        <f t="shared" si="54"/>
        <v>16016976.042862933</v>
      </c>
      <c r="CB69" s="448">
        <f t="shared" si="54"/>
        <v>16050964.844446994</v>
      </c>
      <c r="CC69" s="448">
        <f t="shared" si="54"/>
        <v>16102708.000131292</v>
      </c>
      <c r="CD69" s="448">
        <f t="shared" si="54"/>
        <v>16268297.547437247</v>
      </c>
      <c r="CE69" s="448">
        <f t="shared" si="54"/>
        <v>16370057.260058802</v>
      </c>
      <c r="CF69" s="448">
        <f t="shared" si="54"/>
        <v>16466336.70394459</v>
      </c>
      <c r="CG69" s="448">
        <f t="shared" si="54"/>
        <v>16529607.049569342</v>
      </c>
      <c r="CH69" s="448">
        <f t="shared" si="54"/>
        <v>16564535.533212261</v>
      </c>
      <c r="CI69" s="448">
        <f t="shared" si="54"/>
        <v>16571452.096230462</v>
      </c>
      <c r="CJ69" s="448">
        <f t="shared" si="54"/>
        <v>16562115.472012</v>
      </c>
      <c r="CK69" s="448">
        <f t="shared" si="54"/>
        <v>16603539.354214681</v>
      </c>
      <c r="CL69" s="448">
        <f t="shared" si="54"/>
        <v>16771599.689805707</v>
      </c>
      <c r="CM69" s="448">
        <f t="shared" si="54"/>
        <v>16938887.922601029</v>
      </c>
      <c r="CN69" s="448">
        <f t="shared" si="54"/>
        <v>17058955.473130938</v>
      </c>
      <c r="CO69" s="448">
        <f t="shared" si="54"/>
        <v>17329253.739996634</v>
      </c>
      <c r="CP69" s="448">
        <f t="shared" si="54"/>
        <v>17431905.271754328</v>
      </c>
      <c r="CQ69" s="448">
        <f t="shared" si="54"/>
        <v>17433725.405897275</v>
      </c>
      <c r="CR69" s="448">
        <f t="shared" si="54"/>
        <v>17426157.212570623</v>
      </c>
      <c r="CS69" s="448">
        <f t="shared" si="54"/>
        <v>17356818.447181467</v>
      </c>
      <c r="CT69" s="448">
        <f t="shared" si="54"/>
        <v>17287790.761726491</v>
      </c>
      <c r="CU69" s="448">
        <f t="shared" si="54"/>
        <v>17218763.076271519</v>
      </c>
    </row>
    <row r="70" spans="2:99">
      <c r="AA70" s="448"/>
      <c r="AB70" s="448"/>
      <c r="AC70" s="448"/>
    </row>
    <row r="75" spans="2:99" ht="13.5" thickBot="1">
      <c r="AB75" s="431" t="s">
        <v>1387</v>
      </c>
      <c r="AC75" s="431" t="s">
        <v>1388</v>
      </c>
      <c r="AD75" s="431" t="s">
        <v>1389</v>
      </c>
      <c r="AE75" s="431" t="s">
        <v>1390</v>
      </c>
      <c r="AF75" s="431" t="s">
        <v>1391</v>
      </c>
      <c r="AG75" s="431" t="s">
        <v>1392</v>
      </c>
      <c r="AH75" s="431" t="s">
        <v>1393</v>
      </c>
      <c r="AI75" s="431" t="s">
        <v>1394</v>
      </c>
      <c r="AJ75" s="431" t="s">
        <v>1395</v>
      </c>
      <c r="AK75" s="431" t="s">
        <v>1396</v>
      </c>
      <c r="AL75" s="431" t="s">
        <v>1397</v>
      </c>
      <c r="AM75" s="431" t="s">
        <v>1398</v>
      </c>
      <c r="AN75" s="431" t="s">
        <v>1399</v>
      </c>
      <c r="AO75" s="431" t="s">
        <v>1400</v>
      </c>
      <c r="AP75" s="431" t="s">
        <v>1401</v>
      </c>
      <c r="AQ75" s="431" t="s">
        <v>1402</v>
      </c>
      <c r="AR75" s="431" t="s">
        <v>1403</v>
      </c>
      <c r="AS75" s="431" t="s">
        <v>1404</v>
      </c>
      <c r="AT75" s="431" t="s">
        <v>1405</v>
      </c>
      <c r="AU75" s="431" t="s">
        <v>1406</v>
      </c>
      <c r="AV75" s="431" t="s">
        <v>1407</v>
      </c>
      <c r="AW75" s="431" t="s">
        <v>833</v>
      </c>
    </row>
    <row r="76" spans="2:99">
      <c r="B76" s="431" t="s">
        <v>1408</v>
      </c>
      <c r="C76" s="515" t="s">
        <v>1409</v>
      </c>
      <c r="D76" s="516"/>
      <c r="E76" s="516"/>
      <c r="F76" s="516"/>
      <c r="G76" s="516"/>
      <c r="H76" s="516"/>
      <c r="I76" s="516"/>
      <c r="J76" s="516"/>
      <c r="K76" s="516"/>
      <c r="L76" s="516"/>
      <c r="M76" s="516"/>
      <c r="N76" s="516"/>
      <c r="O76" s="516"/>
      <c r="P76" s="516"/>
      <c r="Q76" s="516"/>
      <c r="R76" s="516"/>
      <c r="S76" s="516"/>
      <c r="T76" s="516"/>
      <c r="U76" s="516"/>
      <c r="V76" s="516"/>
      <c r="W76" s="516"/>
      <c r="X76" s="516"/>
      <c r="Y76" s="516"/>
      <c r="Z76" s="516"/>
      <c r="AA76" s="517"/>
      <c r="AB76" s="517">
        <v>0.2</v>
      </c>
      <c r="AC76" s="517">
        <v>0.32</v>
      </c>
      <c r="AD76" s="517">
        <v>0.192</v>
      </c>
      <c r="AE76" s="517">
        <v>0.1152</v>
      </c>
      <c r="AF76" s="517">
        <v>0.1152</v>
      </c>
      <c r="AG76" s="517">
        <v>5.7599999999999998E-2</v>
      </c>
      <c r="AH76" s="518"/>
      <c r="AI76" s="519"/>
      <c r="AJ76" s="519"/>
      <c r="AK76" s="520"/>
      <c r="AL76" s="520"/>
      <c r="AM76" s="520"/>
      <c r="AN76" s="520"/>
      <c r="AO76" s="520"/>
      <c r="AP76" s="520"/>
      <c r="AQ76" s="520"/>
      <c r="AR76" s="520"/>
      <c r="AS76" s="520"/>
      <c r="AT76" s="520"/>
      <c r="AU76" s="520"/>
      <c r="AV76" s="521"/>
      <c r="AW76" s="522">
        <f>SUM(AB76:AV76)</f>
        <v>0.99999999999999989</v>
      </c>
    </row>
    <row r="77" spans="2:99">
      <c r="C77" s="523" t="s">
        <v>1410</v>
      </c>
      <c r="D77" s="503"/>
      <c r="E77" s="503"/>
      <c r="F77" s="503"/>
      <c r="G77" s="503"/>
      <c r="H77" s="503"/>
      <c r="I77" s="503"/>
      <c r="J77" s="503"/>
      <c r="K77" s="503"/>
      <c r="L77" s="503"/>
      <c r="M77" s="503"/>
      <c r="N77" s="503"/>
      <c r="O77" s="503"/>
      <c r="P77" s="503"/>
      <c r="Q77" s="503"/>
      <c r="R77" s="503"/>
      <c r="S77" s="503"/>
      <c r="T77" s="503"/>
      <c r="U77" s="503"/>
      <c r="V77" s="503"/>
      <c r="W77" s="503"/>
      <c r="X77" s="503"/>
      <c r="Y77" s="503"/>
      <c r="Z77" s="503"/>
      <c r="AA77" s="524"/>
      <c r="AB77" s="524">
        <v>0.1429</v>
      </c>
      <c r="AC77" s="524">
        <v>0.24490000000000001</v>
      </c>
      <c r="AD77" s="524">
        <v>0.1749</v>
      </c>
      <c r="AE77" s="524">
        <v>0.1249</v>
      </c>
      <c r="AF77" s="524">
        <v>8.9300000000000004E-2</v>
      </c>
      <c r="AG77" s="524">
        <v>8.9200000000000002E-2</v>
      </c>
      <c r="AH77" s="524">
        <v>8.9300000000000004E-2</v>
      </c>
      <c r="AI77" s="524">
        <v>4.4600000000000001E-2</v>
      </c>
      <c r="AJ77" s="525"/>
      <c r="AK77" s="526"/>
      <c r="AL77" s="526"/>
      <c r="AM77" s="526"/>
      <c r="AN77" s="526"/>
      <c r="AO77" s="526"/>
      <c r="AP77" s="526"/>
      <c r="AQ77" s="526"/>
      <c r="AR77" s="526"/>
      <c r="AS77" s="526"/>
      <c r="AT77" s="526"/>
      <c r="AU77" s="526"/>
      <c r="AV77" s="527"/>
      <c r="AW77" s="522">
        <f t="shared" ref="AW77:AW81" si="55">SUM(AB77:AV77)</f>
        <v>1.0000000000000002</v>
      </c>
    </row>
    <row r="78" spans="2:99">
      <c r="C78" s="523" t="s">
        <v>1411</v>
      </c>
      <c r="D78" s="503"/>
      <c r="E78" s="503"/>
      <c r="F78" s="503"/>
      <c r="G78" s="503"/>
      <c r="H78" s="503"/>
      <c r="I78" s="503"/>
      <c r="J78" s="503"/>
      <c r="K78" s="503"/>
      <c r="L78" s="503"/>
      <c r="M78" s="503"/>
      <c r="N78" s="503"/>
      <c r="O78" s="503"/>
      <c r="P78" s="503"/>
      <c r="Q78" s="503"/>
      <c r="R78" s="503"/>
      <c r="S78" s="503"/>
      <c r="T78" s="503"/>
      <c r="U78" s="503"/>
      <c r="V78" s="503"/>
      <c r="W78" s="503"/>
      <c r="X78" s="503"/>
      <c r="Y78" s="503"/>
      <c r="Z78" s="503"/>
      <c r="AA78" s="528"/>
      <c r="AB78" s="528">
        <v>0.1</v>
      </c>
      <c r="AC78" s="528">
        <v>0.18</v>
      </c>
      <c r="AD78" s="528">
        <v>0.14399999999999999</v>
      </c>
      <c r="AE78" s="528">
        <v>0.1152</v>
      </c>
      <c r="AF78" s="528">
        <v>9.2200000000000004E-2</v>
      </c>
      <c r="AG78" s="528">
        <v>7.3700000000000002E-2</v>
      </c>
      <c r="AH78" s="528">
        <v>6.5500000000000003E-2</v>
      </c>
      <c r="AI78" s="528">
        <v>6.5500000000000003E-2</v>
      </c>
      <c r="AJ78" s="528">
        <v>6.5600000000000006E-2</v>
      </c>
      <c r="AK78" s="528">
        <v>6.5500000000000003E-2</v>
      </c>
      <c r="AL78" s="528">
        <v>3.2800000000000003E-2</v>
      </c>
      <c r="AM78" s="526"/>
      <c r="AN78" s="526"/>
      <c r="AO78" s="526"/>
      <c r="AP78" s="526"/>
      <c r="AQ78" s="526"/>
      <c r="AR78" s="526"/>
      <c r="AS78" s="526"/>
      <c r="AT78" s="526"/>
      <c r="AU78" s="526"/>
      <c r="AV78" s="527"/>
      <c r="AW78" s="522">
        <f t="shared" si="55"/>
        <v>1</v>
      </c>
    </row>
    <row r="79" spans="2:99">
      <c r="C79" s="523" t="s">
        <v>1412</v>
      </c>
      <c r="D79" s="503"/>
      <c r="E79" s="503"/>
      <c r="F79" s="503"/>
      <c r="G79" s="503"/>
      <c r="H79" s="503"/>
      <c r="I79" s="503"/>
      <c r="J79" s="503"/>
      <c r="K79" s="503"/>
      <c r="L79" s="503"/>
      <c r="M79" s="503"/>
      <c r="N79" s="503"/>
      <c r="O79" s="503"/>
      <c r="P79" s="503"/>
      <c r="Q79" s="503"/>
      <c r="R79" s="503"/>
      <c r="S79" s="503"/>
      <c r="T79" s="503"/>
      <c r="U79" s="503"/>
      <c r="V79" s="503"/>
      <c r="W79" s="503"/>
      <c r="X79" s="503"/>
      <c r="Y79" s="503"/>
      <c r="Z79" s="503"/>
      <c r="AA79" s="528"/>
      <c r="AB79" s="528">
        <v>0.05</v>
      </c>
      <c r="AC79" s="528">
        <v>9.5000000000000001E-2</v>
      </c>
      <c r="AD79" s="528">
        <v>8.5500000000000007E-2</v>
      </c>
      <c r="AE79" s="528">
        <v>7.6999999999999999E-2</v>
      </c>
      <c r="AF79" s="528">
        <v>6.93E-2</v>
      </c>
      <c r="AG79" s="528">
        <v>6.2300000000000001E-2</v>
      </c>
      <c r="AH79" s="528">
        <v>5.8999999999999997E-2</v>
      </c>
      <c r="AI79" s="528">
        <v>5.8999999999999997E-2</v>
      </c>
      <c r="AJ79" s="528">
        <v>5.91E-2</v>
      </c>
      <c r="AK79" s="528">
        <v>5.8999999999999997E-2</v>
      </c>
      <c r="AL79" s="528">
        <v>5.91E-2</v>
      </c>
      <c r="AM79" s="528">
        <v>5.8999999999999997E-2</v>
      </c>
      <c r="AN79" s="528">
        <v>5.91E-2</v>
      </c>
      <c r="AO79" s="528">
        <v>5.8999999999999997E-2</v>
      </c>
      <c r="AP79" s="528">
        <v>5.91E-2</v>
      </c>
      <c r="AQ79" s="528">
        <v>2.9499999999999998E-2</v>
      </c>
      <c r="AR79" s="529"/>
      <c r="AS79" s="529"/>
      <c r="AT79" s="529"/>
      <c r="AU79" s="529"/>
      <c r="AV79" s="530"/>
      <c r="AW79" s="522">
        <f t="shared" si="55"/>
        <v>1.0000000000000002</v>
      </c>
    </row>
    <row r="80" spans="2:99">
      <c r="C80" s="523" t="s">
        <v>1376</v>
      </c>
      <c r="D80" s="503"/>
      <c r="E80" s="503"/>
      <c r="F80" s="503"/>
      <c r="G80" s="503"/>
      <c r="H80" s="503"/>
      <c r="I80" s="503"/>
      <c r="J80" s="503"/>
      <c r="K80" s="503"/>
      <c r="L80" s="503"/>
      <c r="M80" s="503"/>
      <c r="N80" s="503"/>
      <c r="O80" s="503"/>
      <c r="P80" s="503"/>
      <c r="Q80" s="503"/>
      <c r="R80" s="503"/>
      <c r="S80" s="503"/>
      <c r="T80" s="503"/>
      <c r="U80" s="503"/>
      <c r="V80" s="503"/>
      <c r="W80" s="503"/>
      <c r="X80" s="503"/>
      <c r="Y80" s="503"/>
      <c r="Z80" s="503"/>
      <c r="AA80" s="528"/>
      <c r="AB80" s="528">
        <v>3.7499999999999999E-2</v>
      </c>
      <c r="AC80" s="528">
        <v>7.2190000000000004E-2</v>
      </c>
      <c r="AD80" s="528">
        <v>6.6769999999999996E-2</v>
      </c>
      <c r="AE80" s="528">
        <v>6.1769999999999999E-2</v>
      </c>
      <c r="AF80" s="528">
        <v>5.713E-2</v>
      </c>
      <c r="AG80" s="528">
        <v>5.2850000000000001E-2</v>
      </c>
      <c r="AH80" s="528">
        <v>4.888E-2</v>
      </c>
      <c r="AI80" s="528">
        <v>4.5220000000000003E-2</v>
      </c>
      <c r="AJ80" s="528">
        <v>4.462E-2</v>
      </c>
      <c r="AK80" s="528">
        <v>4.4609999999999997E-2</v>
      </c>
      <c r="AL80" s="528">
        <v>4.462E-2</v>
      </c>
      <c r="AM80" s="528">
        <v>4.4609999999999997E-2</v>
      </c>
      <c r="AN80" s="528">
        <v>4.462E-2</v>
      </c>
      <c r="AO80" s="528">
        <v>4.4609999999999997E-2</v>
      </c>
      <c r="AP80" s="528">
        <v>4.462E-2</v>
      </c>
      <c r="AQ80" s="528">
        <v>4.4609999999999997E-2</v>
      </c>
      <c r="AR80" s="528">
        <v>4.462E-2</v>
      </c>
      <c r="AS80" s="528">
        <v>4.4609999999999997E-2</v>
      </c>
      <c r="AT80" s="528">
        <v>4.462E-2</v>
      </c>
      <c r="AU80" s="528">
        <v>4.4609999999999997E-2</v>
      </c>
      <c r="AV80" s="531">
        <v>2.231E-2</v>
      </c>
      <c r="AW80" s="522">
        <f t="shared" si="55"/>
        <v>1.0000000000000002</v>
      </c>
    </row>
    <row r="81" spans="2:49" ht="13.5" thickBot="1">
      <c r="C81" s="532" t="s">
        <v>1413</v>
      </c>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4"/>
      <c r="AB81" s="534">
        <v>0.1</v>
      </c>
      <c r="AC81" s="534">
        <v>0.2</v>
      </c>
      <c r="AD81" s="534">
        <v>0.2</v>
      </c>
      <c r="AE81" s="534">
        <v>0.2</v>
      </c>
      <c r="AF81" s="534">
        <v>0.2</v>
      </c>
      <c r="AG81" s="534">
        <v>0.1</v>
      </c>
      <c r="AH81" s="535">
        <v>0</v>
      </c>
      <c r="AI81" s="534"/>
      <c r="AJ81" s="536"/>
      <c r="AK81" s="537"/>
      <c r="AL81" s="537"/>
      <c r="AM81" s="537"/>
      <c r="AN81" s="537"/>
      <c r="AO81" s="537"/>
      <c r="AP81" s="537"/>
      <c r="AQ81" s="537"/>
      <c r="AR81" s="537"/>
      <c r="AS81" s="537"/>
      <c r="AT81" s="537"/>
      <c r="AU81" s="537"/>
      <c r="AV81" s="538"/>
      <c r="AW81" s="522">
        <f t="shared" si="55"/>
        <v>0.99999999999999989</v>
      </c>
    </row>
    <row r="83" spans="2:49">
      <c r="B83" s="431" t="s">
        <v>1414</v>
      </c>
      <c r="C83" s="539" t="s">
        <v>1415</v>
      </c>
      <c r="D83" s="539"/>
      <c r="E83" s="539"/>
      <c r="F83" s="539"/>
      <c r="G83" s="539"/>
      <c r="H83" s="539"/>
      <c r="I83" s="539"/>
      <c r="J83" s="539"/>
      <c r="K83" s="539"/>
      <c r="L83" s="539"/>
      <c r="M83" s="539"/>
      <c r="N83" s="539"/>
      <c r="O83" s="539"/>
      <c r="P83" s="539"/>
      <c r="Q83" s="539"/>
      <c r="R83" s="539"/>
      <c r="S83" s="539"/>
      <c r="T83" s="539"/>
      <c r="U83" s="539"/>
      <c r="V83" s="539"/>
      <c r="W83" s="539"/>
      <c r="X83" s="539"/>
      <c r="Y83" s="539"/>
      <c r="Z83" s="539"/>
      <c r="AA83" s="540">
        <v>6.5629999999999994E-2</v>
      </c>
      <c r="AB83" s="540">
        <v>7.0000000000000007E-2</v>
      </c>
      <c r="AC83" s="540">
        <v>6.4820000000000003E-2</v>
      </c>
      <c r="AD83" s="540">
        <v>5.9959999999999999E-2</v>
      </c>
      <c r="AE83" s="540">
        <v>5.5460000000000002E-2</v>
      </c>
      <c r="AF83" s="540">
        <v>5.1299999999999998E-2</v>
      </c>
      <c r="AG83" s="540">
        <v>4.7460000000000002E-2</v>
      </c>
      <c r="AH83" s="540">
        <v>4.4589999999999998E-2</v>
      </c>
      <c r="AI83" s="540">
        <v>4.4589999999999998E-2</v>
      </c>
      <c r="AJ83" s="540">
        <v>4.4589999999999998E-2</v>
      </c>
      <c r="AK83" s="540">
        <v>4.4589999999999998E-2</v>
      </c>
      <c r="AL83" s="540">
        <v>4.4600000000000001E-2</v>
      </c>
      <c r="AM83" s="540">
        <v>4.4589999999999998E-2</v>
      </c>
      <c r="AN83" s="540">
        <v>4.4600000000000001E-2</v>
      </c>
      <c r="AO83" s="540">
        <v>4.4589999999999998E-2</v>
      </c>
      <c r="AP83" s="540">
        <v>4.4600000000000001E-2</v>
      </c>
      <c r="AQ83" s="540">
        <v>4.4589999999999998E-2</v>
      </c>
      <c r="AR83" s="540">
        <v>4.4600000000000001E-2</v>
      </c>
      <c r="AS83" s="540">
        <v>4.4589999999999998E-2</v>
      </c>
      <c r="AT83" s="540">
        <v>4.4600000000000001E-2</v>
      </c>
      <c r="AU83" s="540">
        <v>5.6499999999999996E-3</v>
      </c>
      <c r="AV83" s="541">
        <f t="shared" ref="AV83:AV85" si="56">SUM(AA83:AU83)</f>
        <v>1</v>
      </c>
    </row>
    <row r="84" spans="2:49">
      <c r="C84" s="539" t="s">
        <v>1416</v>
      </c>
      <c r="D84" s="539"/>
      <c r="E84" s="539"/>
      <c r="F84" s="539"/>
      <c r="G84" s="539"/>
      <c r="H84" s="539"/>
      <c r="I84" s="539"/>
      <c r="J84" s="539"/>
      <c r="K84" s="539"/>
      <c r="L84" s="539"/>
      <c r="M84" s="539"/>
      <c r="N84" s="539"/>
      <c r="O84" s="539"/>
      <c r="P84" s="539"/>
      <c r="Q84" s="539"/>
      <c r="R84" s="539"/>
      <c r="S84" s="539"/>
      <c r="T84" s="539"/>
      <c r="U84" s="539"/>
      <c r="V84" s="539"/>
      <c r="W84" s="539"/>
      <c r="X84" s="539"/>
      <c r="Y84" s="539"/>
      <c r="Z84" s="539"/>
      <c r="AA84" s="540">
        <v>4.6879999999999998E-2</v>
      </c>
      <c r="AB84" s="540">
        <v>7.1480000000000002E-2</v>
      </c>
      <c r="AC84" s="540">
        <v>6.6119999999999998E-2</v>
      </c>
      <c r="AD84" s="540">
        <v>6.1159999999999999E-2</v>
      </c>
      <c r="AE84" s="540">
        <v>5.6579999999999998E-2</v>
      </c>
      <c r="AF84" s="540">
        <v>5.2330000000000002E-2</v>
      </c>
      <c r="AG84" s="540">
        <v>4.8410000000000002E-2</v>
      </c>
      <c r="AH84" s="540">
        <v>4.478E-2</v>
      </c>
      <c r="AI84" s="540">
        <v>4.4630000000000003E-2</v>
      </c>
      <c r="AJ84" s="540">
        <v>4.4630000000000003E-2</v>
      </c>
      <c r="AK84" s="540">
        <v>4.4630000000000003E-2</v>
      </c>
      <c r="AL84" s="540">
        <v>4.4630000000000003E-2</v>
      </c>
      <c r="AM84" s="540">
        <v>4.4630000000000003E-2</v>
      </c>
      <c r="AN84" s="540">
        <v>4.4630000000000003E-2</v>
      </c>
      <c r="AO84" s="540">
        <v>4.462E-2</v>
      </c>
      <c r="AP84" s="540">
        <v>4.4630000000000003E-2</v>
      </c>
      <c r="AQ84" s="540">
        <v>4.462E-2</v>
      </c>
      <c r="AR84" s="540">
        <v>4.4630000000000003E-2</v>
      </c>
      <c r="AS84" s="540">
        <v>4.462E-2</v>
      </c>
      <c r="AT84" s="540">
        <v>4.4630000000000003E-2</v>
      </c>
      <c r="AU84" s="540">
        <v>1.6729999999999998E-2</v>
      </c>
      <c r="AV84" s="541">
        <f t="shared" si="56"/>
        <v>0.99999999999999989</v>
      </c>
    </row>
    <row r="85" spans="2:49">
      <c r="C85" s="539" t="s">
        <v>1417</v>
      </c>
      <c r="D85" s="539"/>
      <c r="E85" s="539"/>
      <c r="F85" s="539"/>
      <c r="G85" s="539"/>
      <c r="H85" s="539"/>
      <c r="I85" s="539"/>
      <c r="J85" s="539"/>
      <c r="K85" s="539"/>
      <c r="L85" s="539"/>
      <c r="M85" s="539"/>
      <c r="N85" s="539"/>
      <c r="O85" s="539"/>
      <c r="P85" s="539"/>
      <c r="Q85" s="539"/>
      <c r="R85" s="539"/>
      <c r="S85" s="539"/>
      <c r="T85" s="539"/>
      <c r="U85" s="539"/>
      <c r="V85" s="539"/>
      <c r="W85" s="539"/>
      <c r="X85" s="539"/>
      <c r="Y85" s="539"/>
      <c r="Z85" s="539"/>
      <c r="AA85" s="540">
        <v>2.8129999999999999E-2</v>
      </c>
      <c r="AB85" s="540">
        <v>7.2889999999999996E-2</v>
      </c>
      <c r="AC85" s="540">
        <v>6.7419999999999994E-2</v>
      </c>
      <c r="AD85" s="540">
        <v>6.2370000000000002E-2</v>
      </c>
      <c r="AE85" s="540">
        <v>5.7689999999999998E-2</v>
      </c>
      <c r="AF85" s="540">
        <v>5.3359999999999998E-2</v>
      </c>
      <c r="AG85" s="540">
        <v>4.9360000000000001E-2</v>
      </c>
      <c r="AH85" s="540">
        <v>4.5659999999999999E-2</v>
      </c>
      <c r="AI85" s="540">
        <v>4.4600000000000001E-2</v>
      </c>
      <c r="AJ85" s="540">
        <v>4.4600000000000001E-2</v>
      </c>
      <c r="AK85" s="540">
        <v>4.4600000000000001E-2</v>
      </c>
      <c r="AL85" s="540">
        <v>4.4600000000000001E-2</v>
      </c>
      <c r="AM85" s="540">
        <v>4.4609999999999997E-2</v>
      </c>
      <c r="AN85" s="540">
        <v>4.4600000000000001E-2</v>
      </c>
      <c r="AO85" s="540">
        <v>4.4609999999999997E-2</v>
      </c>
      <c r="AP85" s="540">
        <v>4.4600000000000001E-2</v>
      </c>
      <c r="AQ85" s="540">
        <v>4.4609999999999997E-2</v>
      </c>
      <c r="AR85" s="540">
        <v>4.4600000000000001E-2</v>
      </c>
      <c r="AS85" s="540">
        <v>4.4609999999999997E-2</v>
      </c>
      <c r="AT85" s="540">
        <v>4.4600000000000001E-2</v>
      </c>
      <c r="AU85" s="540">
        <v>2.7879999999999999E-2</v>
      </c>
      <c r="AV85" s="541">
        <f t="shared" si="56"/>
        <v>1</v>
      </c>
    </row>
    <row r="86" spans="2:49">
      <c r="C86" s="539" t="s">
        <v>1418</v>
      </c>
      <c r="D86" s="539"/>
      <c r="E86" s="539"/>
      <c r="F86" s="539"/>
      <c r="G86" s="539"/>
      <c r="H86" s="539"/>
      <c r="I86" s="539"/>
      <c r="J86" s="539"/>
      <c r="K86" s="539"/>
      <c r="L86" s="539"/>
      <c r="M86" s="539"/>
      <c r="N86" s="539"/>
      <c r="O86" s="539"/>
      <c r="P86" s="539"/>
      <c r="Q86" s="539"/>
      <c r="R86" s="539"/>
      <c r="S86" s="539"/>
      <c r="T86" s="539"/>
      <c r="U86" s="539"/>
      <c r="V86" s="539"/>
      <c r="W86" s="539"/>
      <c r="X86" s="539"/>
      <c r="Y86" s="539"/>
      <c r="Z86" s="539"/>
      <c r="AA86" s="540">
        <v>9.3799999999999994E-3</v>
      </c>
      <c r="AB86" s="540">
        <v>7.4300000000000005E-2</v>
      </c>
      <c r="AC86" s="540">
        <v>6.8720000000000003E-2</v>
      </c>
      <c r="AD86" s="540">
        <v>6.3570000000000002E-2</v>
      </c>
      <c r="AE86" s="540">
        <v>5.8799999999999998E-2</v>
      </c>
      <c r="AF86" s="540">
        <v>5.4390000000000001E-2</v>
      </c>
      <c r="AG86" s="540">
        <v>5.0310000000000001E-2</v>
      </c>
      <c r="AH86" s="540">
        <v>4.6539999999999998E-2</v>
      </c>
      <c r="AI86" s="540">
        <v>4.4580000000000002E-2</v>
      </c>
      <c r="AJ86" s="540">
        <v>4.4580000000000002E-2</v>
      </c>
      <c r="AK86" s="540">
        <v>4.4580000000000002E-2</v>
      </c>
      <c r="AL86" s="540">
        <v>4.4580000000000002E-2</v>
      </c>
      <c r="AM86" s="540">
        <v>4.4580000000000002E-2</v>
      </c>
      <c r="AN86" s="540">
        <v>4.4580000000000002E-2</v>
      </c>
      <c r="AO86" s="540">
        <v>4.4580000000000002E-2</v>
      </c>
      <c r="AP86" s="540">
        <v>4.4580000000000002E-2</v>
      </c>
      <c r="AQ86" s="540">
        <v>4.4580000000000002E-2</v>
      </c>
      <c r="AR86" s="540">
        <v>4.4589999999999998E-2</v>
      </c>
      <c r="AS86" s="540">
        <v>4.4580000000000002E-2</v>
      </c>
      <c r="AT86" s="540">
        <v>4.4589999999999998E-2</v>
      </c>
      <c r="AU86" s="540">
        <v>3.9010000000000003E-2</v>
      </c>
      <c r="AV86" s="541">
        <f>SUM(AA86:AU86)</f>
        <v>0.99999999999999967</v>
      </c>
    </row>
    <row r="88" spans="2:49">
      <c r="B88" s="431" t="s">
        <v>1414</v>
      </c>
      <c r="C88" s="542" t="s">
        <v>1419</v>
      </c>
      <c r="D88" s="543"/>
      <c r="E88" s="543"/>
      <c r="F88" s="543"/>
      <c r="G88" s="543"/>
      <c r="H88" s="543"/>
      <c r="I88" s="543"/>
      <c r="J88" s="543"/>
      <c r="K88" s="543"/>
      <c r="L88" s="543"/>
      <c r="M88" s="543"/>
      <c r="N88" s="543"/>
      <c r="O88" s="543"/>
      <c r="P88" s="543"/>
      <c r="Q88" s="543"/>
      <c r="R88" s="543"/>
      <c r="S88" s="543"/>
      <c r="T88" s="543"/>
      <c r="U88" s="543"/>
      <c r="V88" s="543"/>
      <c r="W88" s="543"/>
      <c r="X88" s="543"/>
      <c r="Y88" s="543"/>
      <c r="Z88" s="543"/>
      <c r="AA88" s="544">
        <v>0.35</v>
      </c>
      <c r="AB88" s="544">
        <v>0.26</v>
      </c>
      <c r="AC88" s="544">
        <v>0.156</v>
      </c>
      <c r="AD88" s="544">
        <v>0.1101</v>
      </c>
      <c r="AE88" s="544">
        <v>0.1101</v>
      </c>
      <c r="AF88" s="544">
        <v>1.38E-2</v>
      </c>
    </row>
    <row r="89" spans="2:49">
      <c r="C89" s="542" t="s">
        <v>1420</v>
      </c>
      <c r="D89" s="543"/>
      <c r="E89" s="543"/>
      <c r="F89" s="543"/>
      <c r="G89" s="543"/>
      <c r="H89" s="543"/>
      <c r="I89" s="543"/>
      <c r="J89" s="543"/>
      <c r="K89" s="543"/>
      <c r="L89" s="543"/>
      <c r="M89" s="543"/>
      <c r="N89" s="543"/>
      <c r="O89" s="543"/>
      <c r="P89" s="543"/>
      <c r="Q89" s="543"/>
      <c r="R89" s="543"/>
      <c r="S89" s="543"/>
      <c r="T89" s="543"/>
      <c r="U89" s="543"/>
      <c r="V89" s="543"/>
      <c r="W89" s="543"/>
      <c r="X89" s="543"/>
      <c r="Y89" s="543"/>
      <c r="Z89" s="543"/>
      <c r="AA89" s="544">
        <v>0.25</v>
      </c>
      <c r="AB89" s="544">
        <v>0.3</v>
      </c>
      <c r="AC89" s="544">
        <v>0.18</v>
      </c>
      <c r="AD89" s="544">
        <v>0.1137</v>
      </c>
      <c r="AE89" s="544">
        <v>0.1137</v>
      </c>
      <c r="AF89" s="544">
        <v>4.2599999999999999E-2</v>
      </c>
    </row>
    <row r="90" spans="2:49">
      <c r="C90" s="542" t="s">
        <v>1421</v>
      </c>
      <c r="D90" s="543"/>
      <c r="E90" s="543"/>
      <c r="F90" s="543"/>
      <c r="G90" s="543"/>
      <c r="H90" s="543"/>
      <c r="I90" s="543"/>
      <c r="J90" s="543"/>
      <c r="K90" s="543"/>
      <c r="L90" s="543"/>
      <c r="M90" s="543"/>
      <c r="N90" s="543"/>
      <c r="O90" s="543"/>
      <c r="P90" s="543"/>
      <c r="Q90" s="543"/>
      <c r="R90" s="543"/>
      <c r="S90" s="543"/>
      <c r="T90" s="543"/>
      <c r="U90" s="543"/>
      <c r="V90" s="543"/>
      <c r="W90" s="543"/>
      <c r="X90" s="543"/>
      <c r="Y90" s="543"/>
      <c r="Z90" s="543"/>
      <c r="AA90" s="544">
        <v>0.15</v>
      </c>
      <c r="AB90" s="544">
        <v>0.34</v>
      </c>
      <c r="AC90" s="544">
        <v>0.20399999999999999</v>
      </c>
      <c r="AD90" s="544">
        <v>0.12239999999999999</v>
      </c>
      <c r="AE90" s="544">
        <v>0.113</v>
      </c>
      <c r="AF90" s="544">
        <v>7.0599999999999996E-2</v>
      </c>
    </row>
    <row r="91" spans="2:49">
      <c r="C91" s="542" t="s">
        <v>1422</v>
      </c>
      <c r="D91" s="543"/>
      <c r="E91" s="543"/>
      <c r="F91" s="543"/>
      <c r="G91" s="543"/>
      <c r="H91" s="543"/>
      <c r="I91" s="543"/>
      <c r="J91" s="543"/>
      <c r="K91" s="543"/>
      <c r="L91" s="543"/>
      <c r="M91" s="543"/>
      <c r="N91" s="543"/>
      <c r="O91" s="543"/>
      <c r="P91" s="543"/>
      <c r="Q91" s="543"/>
      <c r="R91" s="543"/>
      <c r="S91" s="543"/>
      <c r="T91" s="543"/>
      <c r="U91" s="543"/>
      <c r="V91" s="543"/>
      <c r="W91" s="543"/>
      <c r="X91" s="543"/>
      <c r="Y91" s="543"/>
      <c r="Z91" s="543"/>
      <c r="AA91" s="544">
        <v>0.05</v>
      </c>
      <c r="AB91" s="544">
        <v>0.38</v>
      </c>
      <c r="AC91" s="544">
        <v>0.22800000000000001</v>
      </c>
      <c r="AD91" s="544">
        <v>0.1368</v>
      </c>
      <c r="AE91" s="544">
        <v>0.1094</v>
      </c>
      <c r="AF91" s="544">
        <v>9.5799999999999996E-2</v>
      </c>
    </row>
    <row r="96" spans="2:49">
      <c r="AA96" s="428"/>
      <c r="AB96" s="428"/>
      <c r="AC96" s="428"/>
      <c r="AD96" s="428"/>
      <c r="AE96" s="428"/>
      <c r="AF96" s="428"/>
      <c r="AG96" s="428"/>
      <c r="AH96" s="428"/>
      <c r="AI96" s="428"/>
      <c r="AJ96" s="428"/>
      <c r="AK96" s="428"/>
      <c r="AL96" s="428"/>
      <c r="AM96" s="428"/>
      <c r="AN96" s="428"/>
      <c r="AO96" s="428"/>
      <c r="AP96" s="428"/>
      <c r="AQ96" s="428"/>
      <c r="AR96" s="428"/>
      <c r="AS96" s="428"/>
      <c r="AT96" s="428"/>
      <c r="AU96" s="428"/>
      <c r="AV96" s="428"/>
      <c r="AW96" s="428"/>
    </row>
    <row r="100" spans="27:49">
      <c r="AA100" s="427"/>
      <c r="AB100" s="427"/>
      <c r="AC100" s="427"/>
      <c r="AD100" s="427"/>
      <c r="AE100" s="427"/>
      <c r="AF100" s="427"/>
      <c r="AG100" s="427"/>
      <c r="AH100" s="427"/>
      <c r="AI100" s="427"/>
      <c r="AJ100" s="427"/>
      <c r="AK100" s="427"/>
      <c r="AL100" s="427"/>
      <c r="AM100" s="427"/>
      <c r="AN100" s="427"/>
      <c r="AO100" s="427"/>
      <c r="AP100" s="427"/>
      <c r="AQ100" s="427"/>
      <c r="AR100" s="427"/>
      <c r="AS100" s="427"/>
      <c r="AT100" s="427"/>
      <c r="AU100" s="427"/>
      <c r="AV100" s="427"/>
      <c r="AW100" s="427"/>
    </row>
    <row r="101" spans="27:49">
      <c r="AA101" s="428"/>
    </row>
    <row r="102" spans="27:49">
      <c r="AA102" s="428"/>
    </row>
    <row r="106" spans="27:49">
      <c r="AA106" s="428"/>
      <c r="AB106" s="428"/>
      <c r="AC106" s="428"/>
      <c r="AD106" s="428"/>
      <c r="AE106" s="428"/>
      <c r="AF106" s="428"/>
      <c r="AG106" s="428"/>
      <c r="AH106" s="428"/>
    </row>
    <row r="110" spans="27:49">
      <c r="AA110" s="427"/>
      <c r="AB110" s="427"/>
      <c r="AC110" s="427"/>
      <c r="AD110" s="427"/>
      <c r="AE110" s="427"/>
      <c r="AF110" s="427"/>
      <c r="AG110" s="427"/>
      <c r="AH110" s="427"/>
    </row>
    <row r="111" spans="27:49">
      <c r="AA111" s="428"/>
    </row>
  </sheetData>
  <mergeCells count="1">
    <mergeCell ref="B64:B6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99DA5-89E5-48D9-81EF-EDAB003F7041}">
  <dimension ref="A1:AA190"/>
  <sheetViews>
    <sheetView zoomScale="85" zoomScaleNormal="85" workbookViewId="0">
      <pane xSplit="1" ySplit="2" topLeftCell="D3" activePane="bottomRight" state="frozen"/>
      <selection activeCell="CE10" sqref="CE10"/>
      <selection pane="topRight" activeCell="CE10" sqref="CE10"/>
      <selection pane="bottomLeft" activeCell="CE10" sqref="CE10"/>
      <selection pane="bottomRight" activeCell="CE10" sqref="CE10"/>
    </sheetView>
  </sheetViews>
  <sheetFormatPr defaultRowHeight="15"/>
  <cols>
    <col min="1" max="1" width="18.85546875" bestFit="1" customWidth="1"/>
    <col min="2" max="2" width="8.42578125" customWidth="1"/>
    <col min="3" max="10" width="14.28515625" customWidth="1"/>
    <col min="11" max="11" width="14.28515625" bestFit="1" customWidth="1"/>
    <col min="12" max="12" width="9.7109375" bestFit="1" customWidth="1"/>
    <col min="13" max="13" width="13.28515625" bestFit="1" customWidth="1"/>
    <col min="14" max="15" width="14.28515625" bestFit="1" customWidth="1"/>
    <col min="16" max="16" width="5.140625" bestFit="1" customWidth="1"/>
    <col min="17" max="17" width="13.5703125" bestFit="1" customWidth="1"/>
    <col min="18" max="20" width="14.28515625" customWidth="1"/>
    <col min="21" max="21" width="10.85546875" bestFit="1" customWidth="1"/>
    <col min="22" max="22" width="12.7109375" bestFit="1" customWidth="1"/>
    <col min="23" max="23" width="13.28515625" bestFit="1" customWidth="1"/>
    <col min="24" max="24" width="13.85546875" bestFit="1" customWidth="1"/>
    <col min="25" max="25" width="3" customWidth="1"/>
  </cols>
  <sheetData>
    <row r="1" spans="1:24" ht="15.75" thickBot="1">
      <c r="C1" s="588" t="s">
        <v>810</v>
      </c>
      <c r="D1" s="589"/>
      <c r="E1" s="589"/>
      <c r="F1" s="589"/>
      <c r="G1" s="589"/>
      <c r="H1" s="589"/>
      <c r="I1" s="589"/>
      <c r="J1" s="589"/>
      <c r="K1" s="589"/>
      <c r="L1" s="589"/>
      <c r="M1" s="589"/>
      <c r="N1" s="589"/>
      <c r="O1" s="590"/>
      <c r="Q1" s="588" t="s">
        <v>811</v>
      </c>
      <c r="R1" s="589"/>
      <c r="S1" s="589"/>
      <c r="T1" s="589"/>
      <c r="U1" s="589"/>
      <c r="V1" s="589"/>
      <c r="W1" s="589"/>
      <c r="X1" s="590"/>
    </row>
    <row r="2" spans="1:24" ht="45.75" thickBot="1">
      <c r="A2" s="166" t="s">
        <v>812</v>
      </c>
      <c r="B2" s="167" t="s">
        <v>813</v>
      </c>
      <c r="C2" s="166" t="s">
        <v>814</v>
      </c>
      <c r="D2" s="166" t="s">
        <v>815</v>
      </c>
      <c r="E2" s="166" t="s">
        <v>816</v>
      </c>
      <c r="F2" s="166" t="s">
        <v>817</v>
      </c>
      <c r="G2" s="166" t="s">
        <v>818</v>
      </c>
      <c r="H2" s="166" t="s">
        <v>819</v>
      </c>
      <c r="I2" s="166" t="s">
        <v>820</v>
      </c>
      <c r="J2" s="167" t="s">
        <v>821</v>
      </c>
      <c r="K2" s="167" t="s">
        <v>822</v>
      </c>
      <c r="L2" s="166" t="s">
        <v>823</v>
      </c>
      <c r="M2" s="166" t="s">
        <v>824</v>
      </c>
      <c r="N2" s="166" t="s">
        <v>825</v>
      </c>
      <c r="O2" s="166" t="s">
        <v>826</v>
      </c>
      <c r="P2" s="7"/>
      <c r="Q2" s="167" t="s">
        <v>827</v>
      </c>
      <c r="R2" s="166" t="s">
        <v>828</v>
      </c>
      <c r="S2" s="167" t="s">
        <v>821</v>
      </c>
      <c r="T2" s="167" t="s">
        <v>822</v>
      </c>
      <c r="U2" s="166" t="s">
        <v>823</v>
      </c>
      <c r="V2" s="166" t="s">
        <v>824</v>
      </c>
      <c r="W2" s="166" t="s">
        <v>825</v>
      </c>
      <c r="X2" s="166" t="s">
        <v>826</v>
      </c>
    </row>
    <row r="3" spans="1:24">
      <c r="A3" s="168" t="s">
        <v>829</v>
      </c>
      <c r="B3" s="168"/>
      <c r="C3" s="168"/>
      <c r="D3" s="168"/>
      <c r="E3" s="168"/>
      <c r="F3" s="168"/>
      <c r="G3" s="168"/>
      <c r="H3" s="168"/>
      <c r="I3" s="168"/>
      <c r="J3" s="168"/>
      <c r="K3" s="168"/>
      <c r="L3" s="168"/>
      <c r="M3" s="168"/>
      <c r="N3" s="168"/>
      <c r="O3" s="168"/>
      <c r="P3" s="169"/>
      <c r="Q3" s="168"/>
      <c r="R3" s="168"/>
      <c r="S3" s="168"/>
      <c r="T3" s="168"/>
      <c r="U3" s="168"/>
      <c r="V3" s="168"/>
      <c r="W3" s="168"/>
      <c r="X3" s="168"/>
    </row>
    <row r="4" spans="1:24">
      <c r="A4" s="163">
        <v>201908</v>
      </c>
      <c r="B4" s="163">
        <v>36400</v>
      </c>
      <c r="C4" s="2">
        <v>0</v>
      </c>
      <c r="D4" s="2">
        <v>0</v>
      </c>
      <c r="E4" s="2">
        <v>0</v>
      </c>
      <c r="F4" s="2">
        <v>0</v>
      </c>
      <c r="G4" s="2">
        <v>0</v>
      </c>
      <c r="H4" s="2">
        <v>0</v>
      </c>
      <c r="I4" s="2">
        <v>0</v>
      </c>
      <c r="J4" s="2">
        <f t="shared" ref="J4:J67" si="0">SUM(C4:I4)</f>
        <v>0</v>
      </c>
      <c r="K4" s="2">
        <f>J4</f>
        <v>0</v>
      </c>
      <c r="L4" s="170">
        <f>3.52%</f>
        <v>3.5200000000000002E-2</v>
      </c>
      <c r="M4" s="1">
        <v>0</v>
      </c>
      <c r="N4" s="2">
        <f>M4</f>
        <v>0</v>
      </c>
      <c r="O4" s="2">
        <f t="shared" ref="O4:O10" si="1">K4-N4</f>
        <v>0</v>
      </c>
      <c r="Q4" s="2">
        <v>0</v>
      </c>
      <c r="R4" s="2">
        <v>0</v>
      </c>
      <c r="S4" s="2">
        <f>SUM(Q4:R4)</f>
        <v>0</v>
      </c>
      <c r="T4" s="2">
        <f>S4</f>
        <v>0</v>
      </c>
      <c r="U4" s="170">
        <f>3.52%</f>
        <v>3.5200000000000002E-2</v>
      </c>
      <c r="V4" s="1">
        <v>0</v>
      </c>
      <c r="W4" s="2">
        <f>V4</f>
        <v>0</v>
      </c>
      <c r="X4" s="2">
        <f>T4-W4</f>
        <v>0</v>
      </c>
    </row>
    <row r="5" spans="1:24">
      <c r="A5" s="163">
        <v>201909</v>
      </c>
      <c r="B5" s="163">
        <v>36400</v>
      </c>
      <c r="C5" s="2">
        <v>0</v>
      </c>
      <c r="D5" s="2">
        <v>0</v>
      </c>
      <c r="E5" s="2">
        <v>0</v>
      </c>
      <c r="F5" s="2">
        <v>0</v>
      </c>
      <c r="G5" s="2">
        <v>0</v>
      </c>
      <c r="H5" s="2">
        <v>0</v>
      </c>
      <c r="I5" s="2">
        <v>0</v>
      </c>
      <c r="J5" s="2">
        <f t="shared" si="0"/>
        <v>0</v>
      </c>
      <c r="K5" s="2">
        <f>K4+J5</f>
        <v>0</v>
      </c>
      <c r="L5" s="170">
        <f t="shared" ref="L5:L68" si="2">3.52%</f>
        <v>3.5200000000000002E-2</v>
      </c>
      <c r="M5" s="1">
        <f>ROUND(((L5*K4)/12),2)</f>
        <v>0</v>
      </c>
      <c r="N5" s="2">
        <f>M5+N4</f>
        <v>0</v>
      </c>
      <c r="O5" s="2">
        <f t="shared" si="1"/>
        <v>0</v>
      </c>
      <c r="Q5" s="2">
        <v>0</v>
      </c>
      <c r="R5" s="2">
        <v>0</v>
      </c>
      <c r="S5" s="2">
        <f t="shared" ref="S5:S68" si="3">SUM(Q5:R5)</f>
        <v>0</v>
      </c>
      <c r="T5" s="2">
        <f>T4+S5</f>
        <v>0</v>
      </c>
      <c r="U5" s="170">
        <f t="shared" ref="U5:U68" si="4">3.52%</f>
        <v>3.5200000000000002E-2</v>
      </c>
      <c r="V5" s="1">
        <f>ROUND(((U5*T4)/12),2)</f>
        <v>0</v>
      </c>
      <c r="W5" s="2">
        <f>V5+W4</f>
        <v>0</v>
      </c>
      <c r="X5" s="2">
        <f t="shared" ref="X5:X68" si="5">T5-W5</f>
        <v>0</v>
      </c>
    </row>
    <row r="6" spans="1:24">
      <c r="A6" s="163">
        <v>201910</v>
      </c>
      <c r="B6" s="163">
        <v>36400</v>
      </c>
      <c r="C6" s="2">
        <v>0</v>
      </c>
      <c r="D6" s="2">
        <v>0</v>
      </c>
      <c r="E6" s="2">
        <v>0</v>
      </c>
      <c r="F6" s="2">
        <v>0</v>
      </c>
      <c r="G6" s="2">
        <v>0</v>
      </c>
      <c r="H6" s="2">
        <v>0</v>
      </c>
      <c r="I6" s="2">
        <v>0</v>
      </c>
      <c r="J6" s="2">
        <f t="shared" si="0"/>
        <v>0</v>
      </c>
      <c r="K6" s="2">
        <f t="shared" ref="K6:K69" si="6">K5+J6</f>
        <v>0</v>
      </c>
      <c r="L6" s="170">
        <f t="shared" si="2"/>
        <v>3.5200000000000002E-2</v>
      </c>
      <c r="M6" s="1">
        <f t="shared" ref="M6:M69" si="7">ROUND(((L6*K5)/12),2)</f>
        <v>0</v>
      </c>
      <c r="N6" s="2">
        <f>M6+N5</f>
        <v>0</v>
      </c>
      <c r="O6" s="2">
        <f t="shared" si="1"/>
        <v>0</v>
      </c>
      <c r="Q6" s="2">
        <v>0</v>
      </c>
      <c r="R6" s="2">
        <v>0</v>
      </c>
      <c r="S6" s="2">
        <f t="shared" si="3"/>
        <v>0</v>
      </c>
      <c r="T6" s="2">
        <f t="shared" ref="T6:T69" si="8">T5+S6</f>
        <v>0</v>
      </c>
      <c r="U6" s="170">
        <f t="shared" si="4"/>
        <v>3.5200000000000002E-2</v>
      </c>
      <c r="V6" s="1">
        <f t="shared" ref="V6:V69" si="9">ROUND(((U6*T5)/12),2)</f>
        <v>0</v>
      </c>
      <c r="W6" s="2">
        <f>V6+W5</f>
        <v>0</v>
      </c>
      <c r="X6" s="2">
        <f t="shared" si="5"/>
        <v>0</v>
      </c>
    </row>
    <row r="7" spans="1:24">
      <c r="A7" s="163">
        <v>201911</v>
      </c>
      <c r="B7" s="163">
        <v>36400</v>
      </c>
      <c r="C7" s="2">
        <v>0</v>
      </c>
      <c r="D7" s="2">
        <v>0</v>
      </c>
      <c r="E7" s="2">
        <v>0</v>
      </c>
      <c r="F7" s="2">
        <v>0</v>
      </c>
      <c r="G7" s="2">
        <v>0</v>
      </c>
      <c r="H7" s="2">
        <v>0</v>
      </c>
      <c r="I7" s="2">
        <v>0</v>
      </c>
      <c r="J7" s="2">
        <f t="shared" si="0"/>
        <v>0</v>
      </c>
      <c r="K7" s="2">
        <f t="shared" si="6"/>
        <v>0</v>
      </c>
      <c r="L7" s="170">
        <f t="shared" si="2"/>
        <v>3.5200000000000002E-2</v>
      </c>
      <c r="M7" s="1">
        <f t="shared" si="7"/>
        <v>0</v>
      </c>
      <c r="N7" s="2">
        <f t="shared" ref="N7:N10" si="10">M7+N6</f>
        <v>0</v>
      </c>
      <c r="O7" s="2">
        <f t="shared" si="1"/>
        <v>0</v>
      </c>
      <c r="Q7" s="2">
        <v>0</v>
      </c>
      <c r="R7" s="2">
        <v>0</v>
      </c>
      <c r="S7" s="2">
        <f t="shared" si="3"/>
        <v>0</v>
      </c>
      <c r="T7" s="2">
        <f t="shared" si="8"/>
        <v>0</v>
      </c>
      <c r="U7" s="170">
        <f t="shared" si="4"/>
        <v>3.5200000000000002E-2</v>
      </c>
      <c r="V7" s="1">
        <f t="shared" si="9"/>
        <v>0</v>
      </c>
      <c r="W7" s="2">
        <f t="shared" ref="W7:W10" si="11">V7+W6</f>
        <v>0</v>
      </c>
      <c r="X7" s="2">
        <f t="shared" si="5"/>
        <v>0</v>
      </c>
    </row>
    <row r="8" spans="1:24">
      <c r="A8" s="163">
        <v>201912</v>
      </c>
      <c r="B8" s="163">
        <v>36400</v>
      </c>
      <c r="C8" s="2">
        <v>0</v>
      </c>
      <c r="D8" s="2">
        <v>0</v>
      </c>
      <c r="E8" s="2">
        <v>0</v>
      </c>
      <c r="F8" s="2">
        <v>0</v>
      </c>
      <c r="G8" s="2">
        <v>0</v>
      </c>
      <c r="H8" s="2">
        <v>0</v>
      </c>
      <c r="I8" s="2">
        <v>0</v>
      </c>
      <c r="J8" s="2">
        <f t="shared" si="0"/>
        <v>0</v>
      </c>
      <c r="K8" s="2">
        <f t="shared" si="6"/>
        <v>0</v>
      </c>
      <c r="L8" s="170">
        <f t="shared" si="2"/>
        <v>3.5200000000000002E-2</v>
      </c>
      <c r="M8" s="1">
        <f t="shared" si="7"/>
        <v>0</v>
      </c>
      <c r="N8" s="2">
        <f t="shared" si="10"/>
        <v>0</v>
      </c>
      <c r="O8" s="2">
        <f t="shared" si="1"/>
        <v>0</v>
      </c>
      <c r="Q8" s="2">
        <v>0</v>
      </c>
      <c r="R8" s="2">
        <v>0</v>
      </c>
      <c r="S8" s="2">
        <f t="shared" si="3"/>
        <v>0</v>
      </c>
      <c r="T8" s="2">
        <f t="shared" si="8"/>
        <v>0</v>
      </c>
      <c r="U8" s="170">
        <f t="shared" si="4"/>
        <v>3.5200000000000002E-2</v>
      </c>
      <c r="V8" s="1">
        <f t="shared" si="9"/>
        <v>0</v>
      </c>
      <c r="W8" s="2">
        <f t="shared" si="11"/>
        <v>0</v>
      </c>
      <c r="X8" s="2">
        <f t="shared" si="5"/>
        <v>0</v>
      </c>
    </row>
    <row r="9" spans="1:24">
      <c r="A9" s="163">
        <v>202001</v>
      </c>
      <c r="B9" s="163">
        <v>36400</v>
      </c>
      <c r="C9" s="2">
        <v>0</v>
      </c>
      <c r="D9" s="2">
        <v>0</v>
      </c>
      <c r="E9" s="2">
        <v>0</v>
      </c>
      <c r="F9" s="2">
        <v>0</v>
      </c>
      <c r="G9" s="2">
        <v>0</v>
      </c>
      <c r="H9" s="2">
        <v>0</v>
      </c>
      <c r="I9" s="2">
        <v>0</v>
      </c>
      <c r="J9" s="2">
        <f t="shared" si="0"/>
        <v>0</v>
      </c>
      <c r="K9" s="2">
        <f t="shared" si="6"/>
        <v>0</v>
      </c>
      <c r="L9" s="170">
        <f t="shared" si="2"/>
        <v>3.5200000000000002E-2</v>
      </c>
      <c r="M9" s="1">
        <f t="shared" si="7"/>
        <v>0</v>
      </c>
      <c r="N9" s="2">
        <f t="shared" si="10"/>
        <v>0</v>
      </c>
      <c r="O9" s="2">
        <f t="shared" si="1"/>
        <v>0</v>
      </c>
      <c r="Q9" s="2">
        <v>0</v>
      </c>
      <c r="R9" s="2">
        <v>0</v>
      </c>
      <c r="S9" s="2">
        <f t="shared" si="3"/>
        <v>0</v>
      </c>
      <c r="T9" s="2">
        <f t="shared" si="8"/>
        <v>0</v>
      </c>
      <c r="U9" s="170">
        <f t="shared" si="4"/>
        <v>3.5200000000000002E-2</v>
      </c>
      <c r="V9" s="1">
        <f t="shared" si="9"/>
        <v>0</v>
      </c>
      <c r="W9" s="2">
        <f t="shared" si="11"/>
        <v>0</v>
      </c>
      <c r="X9" s="2">
        <f t="shared" si="5"/>
        <v>0</v>
      </c>
    </row>
    <row r="10" spans="1:24">
      <c r="A10" s="163">
        <v>202002</v>
      </c>
      <c r="B10" s="163">
        <v>36400</v>
      </c>
      <c r="C10" s="2">
        <v>4341.1499999999996</v>
      </c>
      <c r="D10" s="2">
        <v>12113028.140000001</v>
      </c>
      <c r="E10" s="2">
        <v>0</v>
      </c>
      <c r="F10" s="2">
        <v>0</v>
      </c>
      <c r="G10" s="2">
        <v>0</v>
      </c>
      <c r="H10" s="2">
        <v>0</v>
      </c>
      <c r="I10" s="2">
        <v>0</v>
      </c>
      <c r="J10" s="2">
        <f t="shared" si="0"/>
        <v>12117369.290000001</v>
      </c>
      <c r="K10" s="2">
        <f t="shared" si="6"/>
        <v>12117369.290000001</v>
      </c>
      <c r="L10" s="170">
        <f t="shared" si="2"/>
        <v>3.5200000000000002E-2</v>
      </c>
      <c r="M10" s="1">
        <f t="shared" si="7"/>
        <v>0</v>
      </c>
      <c r="N10" s="2">
        <f t="shared" si="10"/>
        <v>0</v>
      </c>
      <c r="O10" s="2">
        <f t="shared" si="1"/>
        <v>12117369.290000001</v>
      </c>
      <c r="Q10" s="2">
        <v>0</v>
      </c>
      <c r="R10" s="2">
        <v>0</v>
      </c>
      <c r="S10" s="2">
        <f t="shared" si="3"/>
        <v>0</v>
      </c>
      <c r="T10" s="2">
        <f t="shared" si="8"/>
        <v>0</v>
      </c>
      <c r="U10" s="170">
        <f t="shared" si="4"/>
        <v>3.5200000000000002E-2</v>
      </c>
      <c r="V10" s="1">
        <f t="shared" si="9"/>
        <v>0</v>
      </c>
      <c r="W10" s="2">
        <f t="shared" si="11"/>
        <v>0</v>
      </c>
      <c r="X10" s="2">
        <f t="shared" si="5"/>
        <v>0</v>
      </c>
    </row>
    <row r="11" spans="1:24">
      <c r="A11" s="163">
        <v>202003</v>
      </c>
      <c r="B11" s="163">
        <v>36400</v>
      </c>
      <c r="C11" s="2">
        <v>0</v>
      </c>
      <c r="D11" s="2">
        <v>6822.86</v>
      </c>
      <c r="E11" s="2">
        <v>0</v>
      </c>
      <c r="F11" s="2">
        <v>0</v>
      </c>
      <c r="G11" s="2">
        <v>0</v>
      </c>
      <c r="H11" s="2">
        <v>0</v>
      </c>
      <c r="I11" s="2">
        <v>0</v>
      </c>
      <c r="J11" s="2">
        <f t="shared" si="0"/>
        <v>6822.86</v>
      </c>
      <c r="K11" s="2">
        <f t="shared" si="6"/>
        <v>12124192.15</v>
      </c>
      <c r="L11" s="170">
        <f t="shared" si="2"/>
        <v>3.5200000000000002E-2</v>
      </c>
      <c r="M11" s="1">
        <f t="shared" si="7"/>
        <v>35544.28</v>
      </c>
      <c r="N11" s="2">
        <f>M11+N10</f>
        <v>35544.28</v>
      </c>
      <c r="O11" s="2">
        <f>K11-N11</f>
        <v>12088647.870000001</v>
      </c>
      <c r="Q11" s="2">
        <v>0</v>
      </c>
      <c r="R11" s="2">
        <v>0</v>
      </c>
      <c r="S11" s="2">
        <f t="shared" si="3"/>
        <v>0</v>
      </c>
      <c r="T11" s="2">
        <f t="shared" si="8"/>
        <v>0</v>
      </c>
      <c r="U11" s="170">
        <f t="shared" si="4"/>
        <v>3.5200000000000002E-2</v>
      </c>
      <c r="V11" s="1">
        <f t="shared" si="9"/>
        <v>0</v>
      </c>
      <c r="W11" s="2">
        <f>V11+W10</f>
        <v>0</v>
      </c>
      <c r="X11" s="2">
        <f t="shared" si="5"/>
        <v>0</v>
      </c>
    </row>
    <row r="12" spans="1:24">
      <c r="A12" s="163">
        <v>202004</v>
      </c>
      <c r="B12" s="163">
        <v>36400</v>
      </c>
      <c r="C12" s="2">
        <v>0</v>
      </c>
      <c r="D12" s="2">
        <v>-33688.76</v>
      </c>
      <c r="E12" s="2">
        <v>0</v>
      </c>
      <c r="F12" s="2">
        <v>0</v>
      </c>
      <c r="G12" s="2">
        <v>0</v>
      </c>
      <c r="H12" s="2">
        <v>0</v>
      </c>
      <c r="I12" s="2">
        <v>0</v>
      </c>
      <c r="J12" s="2">
        <f t="shared" si="0"/>
        <v>-33688.76</v>
      </c>
      <c r="K12" s="2">
        <f t="shared" si="6"/>
        <v>12090503.390000001</v>
      </c>
      <c r="L12" s="170">
        <f t="shared" si="2"/>
        <v>3.5200000000000002E-2</v>
      </c>
      <c r="M12" s="1">
        <f t="shared" si="7"/>
        <v>35564.300000000003</v>
      </c>
      <c r="N12" s="2">
        <f>M12+N11</f>
        <v>71108.58</v>
      </c>
      <c r="O12" s="2">
        <f t="shared" ref="O12:O75" si="12">K12-N12</f>
        <v>12019394.810000001</v>
      </c>
      <c r="Q12" s="2">
        <v>0</v>
      </c>
      <c r="R12" s="2">
        <v>0</v>
      </c>
      <c r="S12" s="2">
        <f t="shared" si="3"/>
        <v>0</v>
      </c>
      <c r="T12" s="2">
        <f t="shared" si="8"/>
        <v>0</v>
      </c>
      <c r="U12" s="170">
        <f t="shared" si="4"/>
        <v>3.5200000000000002E-2</v>
      </c>
      <c r="V12" s="1">
        <f t="shared" si="9"/>
        <v>0</v>
      </c>
      <c r="W12" s="2">
        <f>V12+W11</f>
        <v>0</v>
      </c>
      <c r="X12" s="2">
        <f t="shared" si="5"/>
        <v>0</v>
      </c>
    </row>
    <row r="13" spans="1:24">
      <c r="A13" s="163">
        <v>202005</v>
      </c>
      <c r="B13" s="163">
        <v>36400</v>
      </c>
      <c r="C13" s="2">
        <v>0</v>
      </c>
      <c r="D13" s="2">
        <v>10461.24</v>
      </c>
      <c r="E13" s="2">
        <v>0</v>
      </c>
      <c r="F13" s="2">
        <v>0</v>
      </c>
      <c r="G13" s="2">
        <v>0</v>
      </c>
      <c r="H13" s="2">
        <v>0</v>
      </c>
      <c r="I13" s="2">
        <v>0</v>
      </c>
      <c r="J13" s="2">
        <f t="shared" si="0"/>
        <v>10461.24</v>
      </c>
      <c r="K13" s="2">
        <f t="shared" si="6"/>
        <v>12100964.630000001</v>
      </c>
      <c r="L13" s="170">
        <f t="shared" si="2"/>
        <v>3.5200000000000002E-2</v>
      </c>
      <c r="M13" s="1">
        <f t="shared" si="7"/>
        <v>35465.480000000003</v>
      </c>
      <c r="N13" s="2">
        <f t="shared" ref="N13:N76" si="13">M13+N12</f>
        <v>106574.06</v>
      </c>
      <c r="O13" s="2">
        <f t="shared" si="12"/>
        <v>11994390.57</v>
      </c>
      <c r="Q13" s="2">
        <v>0</v>
      </c>
      <c r="R13" s="2">
        <v>2923572.47</v>
      </c>
      <c r="S13" s="2">
        <f t="shared" si="3"/>
        <v>2923572.47</v>
      </c>
      <c r="T13" s="2">
        <f>T12+S13</f>
        <v>2923572.47</v>
      </c>
      <c r="U13" s="170">
        <f t="shared" si="4"/>
        <v>3.5200000000000002E-2</v>
      </c>
      <c r="V13" s="1">
        <f t="shared" si="9"/>
        <v>0</v>
      </c>
      <c r="W13" s="2">
        <f t="shared" ref="W13:W76" si="14">V13+W12</f>
        <v>0</v>
      </c>
      <c r="X13" s="2">
        <f t="shared" si="5"/>
        <v>2923572.47</v>
      </c>
    </row>
    <row r="14" spans="1:24">
      <c r="A14" s="163">
        <v>202006</v>
      </c>
      <c r="B14" s="163">
        <v>36400</v>
      </c>
      <c r="C14" s="2">
        <v>0</v>
      </c>
      <c r="D14" s="2">
        <v>15542.7</v>
      </c>
      <c r="E14" s="2">
        <v>0</v>
      </c>
      <c r="F14" s="2">
        <v>0</v>
      </c>
      <c r="G14" s="2">
        <v>0</v>
      </c>
      <c r="H14" s="2">
        <v>0</v>
      </c>
      <c r="I14" s="2">
        <v>0</v>
      </c>
      <c r="J14" s="2">
        <f t="shared" si="0"/>
        <v>15542.7</v>
      </c>
      <c r="K14" s="2">
        <f t="shared" si="6"/>
        <v>12116507.33</v>
      </c>
      <c r="L14" s="170">
        <f t="shared" si="2"/>
        <v>3.5200000000000002E-2</v>
      </c>
      <c r="M14" s="1">
        <f t="shared" si="7"/>
        <v>35496.160000000003</v>
      </c>
      <c r="N14" s="2">
        <f t="shared" si="13"/>
        <v>142070.22</v>
      </c>
      <c r="O14" s="2">
        <f t="shared" si="12"/>
        <v>11974437.109999999</v>
      </c>
      <c r="Q14" s="2">
        <v>0</v>
      </c>
      <c r="R14" s="2">
        <v>0</v>
      </c>
      <c r="S14" s="2">
        <f t="shared" si="3"/>
        <v>0</v>
      </c>
      <c r="T14" s="2">
        <f t="shared" si="8"/>
        <v>2923572.47</v>
      </c>
      <c r="U14" s="170">
        <f t="shared" si="4"/>
        <v>3.5200000000000002E-2</v>
      </c>
      <c r="V14" s="1">
        <f t="shared" si="9"/>
        <v>8575.81</v>
      </c>
      <c r="W14" s="2">
        <f t="shared" si="14"/>
        <v>8575.81</v>
      </c>
      <c r="X14" s="2">
        <f t="shared" si="5"/>
        <v>2914996.66</v>
      </c>
    </row>
    <row r="15" spans="1:24">
      <c r="A15" s="163">
        <v>202007</v>
      </c>
      <c r="B15" s="163">
        <v>36400</v>
      </c>
      <c r="C15" s="2">
        <v>0</v>
      </c>
      <c r="D15" s="2">
        <v>13714.82</v>
      </c>
      <c r="E15" s="2">
        <v>0</v>
      </c>
      <c r="F15" s="2">
        <v>0</v>
      </c>
      <c r="G15" s="2">
        <v>0</v>
      </c>
      <c r="H15" s="2">
        <v>0</v>
      </c>
      <c r="I15" s="2">
        <v>0</v>
      </c>
      <c r="J15" s="2">
        <f t="shared" si="0"/>
        <v>13714.82</v>
      </c>
      <c r="K15" s="2">
        <f t="shared" si="6"/>
        <v>12130222.15</v>
      </c>
      <c r="L15" s="170">
        <f t="shared" si="2"/>
        <v>3.5200000000000002E-2</v>
      </c>
      <c r="M15" s="1">
        <f t="shared" si="7"/>
        <v>35541.75</v>
      </c>
      <c r="N15" s="2">
        <f t="shared" si="13"/>
        <v>177611.97</v>
      </c>
      <c r="O15" s="2">
        <f t="shared" si="12"/>
        <v>11952610.18</v>
      </c>
      <c r="Q15" s="2">
        <v>0</v>
      </c>
      <c r="R15" s="2">
        <v>0</v>
      </c>
      <c r="S15" s="2">
        <f t="shared" si="3"/>
        <v>0</v>
      </c>
      <c r="T15" s="2">
        <f t="shared" si="8"/>
        <v>2923572.47</v>
      </c>
      <c r="U15" s="170">
        <f t="shared" si="4"/>
        <v>3.5200000000000002E-2</v>
      </c>
      <c r="V15" s="1">
        <f t="shared" si="9"/>
        <v>8575.81</v>
      </c>
      <c r="W15" s="2">
        <f t="shared" si="14"/>
        <v>17151.62</v>
      </c>
      <c r="X15" s="2">
        <f t="shared" si="5"/>
        <v>2906420.85</v>
      </c>
    </row>
    <row r="16" spans="1:24">
      <c r="A16" s="163">
        <v>202008</v>
      </c>
      <c r="B16" s="163">
        <v>36400</v>
      </c>
      <c r="C16" s="2">
        <v>0</v>
      </c>
      <c r="D16" s="2">
        <v>11791.51</v>
      </c>
      <c r="E16" s="2">
        <v>0</v>
      </c>
      <c r="F16" s="2">
        <v>0</v>
      </c>
      <c r="G16" s="2">
        <v>0</v>
      </c>
      <c r="H16" s="2">
        <v>0</v>
      </c>
      <c r="I16" s="2">
        <v>0</v>
      </c>
      <c r="J16" s="2">
        <f t="shared" si="0"/>
        <v>11791.51</v>
      </c>
      <c r="K16" s="2">
        <f t="shared" si="6"/>
        <v>12142013.66</v>
      </c>
      <c r="L16" s="170">
        <f t="shared" si="2"/>
        <v>3.5200000000000002E-2</v>
      </c>
      <c r="M16" s="1">
        <f t="shared" si="7"/>
        <v>35581.980000000003</v>
      </c>
      <c r="N16" s="2">
        <f t="shared" si="13"/>
        <v>213193.95</v>
      </c>
      <c r="O16" s="2">
        <f t="shared" si="12"/>
        <v>11928819.710000001</v>
      </c>
      <c r="Q16" s="2">
        <v>0</v>
      </c>
      <c r="R16" s="2">
        <v>2411.7600000000002</v>
      </c>
      <c r="S16" s="2">
        <f t="shared" si="3"/>
        <v>2411.7600000000002</v>
      </c>
      <c r="T16" s="2">
        <f t="shared" si="8"/>
        <v>2925984.23</v>
      </c>
      <c r="U16" s="170">
        <f t="shared" si="4"/>
        <v>3.5200000000000002E-2</v>
      </c>
      <c r="V16" s="1">
        <f t="shared" si="9"/>
        <v>8575.81</v>
      </c>
      <c r="W16" s="2">
        <f t="shared" si="14"/>
        <v>25727.43</v>
      </c>
      <c r="X16" s="2">
        <f t="shared" si="5"/>
        <v>2900256.8</v>
      </c>
    </row>
    <row r="17" spans="1:24">
      <c r="A17" s="163">
        <v>202009</v>
      </c>
      <c r="B17" s="163">
        <v>36400</v>
      </c>
      <c r="C17" s="2">
        <v>0</v>
      </c>
      <c r="D17" s="2">
        <v>1008.6</v>
      </c>
      <c r="E17" s="2">
        <v>0</v>
      </c>
      <c r="F17" s="2">
        <v>0</v>
      </c>
      <c r="G17" s="2">
        <v>0</v>
      </c>
      <c r="H17" s="2">
        <v>0</v>
      </c>
      <c r="I17" s="2">
        <v>0</v>
      </c>
      <c r="J17" s="2">
        <f t="shared" si="0"/>
        <v>1008.6</v>
      </c>
      <c r="K17" s="2">
        <f t="shared" si="6"/>
        <v>12143022.26</v>
      </c>
      <c r="L17" s="170">
        <f t="shared" si="2"/>
        <v>3.5200000000000002E-2</v>
      </c>
      <c r="M17" s="1">
        <f t="shared" si="7"/>
        <v>35616.57</v>
      </c>
      <c r="N17" s="2">
        <f t="shared" si="13"/>
        <v>248810.52000000002</v>
      </c>
      <c r="O17" s="2">
        <f t="shared" si="12"/>
        <v>11894211.74</v>
      </c>
      <c r="Q17" s="2">
        <v>0</v>
      </c>
      <c r="R17" s="2">
        <v>-2411.7600000000002</v>
      </c>
      <c r="S17" s="2">
        <f t="shared" si="3"/>
        <v>-2411.7600000000002</v>
      </c>
      <c r="T17" s="2">
        <f t="shared" si="8"/>
        <v>2923572.47</v>
      </c>
      <c r="U17" s="170">
        <f t="shared" si="4"/>
        <v>3.5200000000000002E-2</v>
      </c>
      <c r="V17" s="1">
        <f t="shared" si="9"/>
        <v>8582.89</v>
      </c>
      <c r="W17" s="2">
        <f t="shared" si="14"/>
        <v>34310.32</v>
      </c>
      <c r="X17" s="2">
        <f t="shared" si="5"/>
        <v>2889262.1500000004</v>
      </c>
    </row>
    <row r="18" spans="1:24">
      <c r="A18" s="163">
        <v>202010</v>
      </c>
      <c r="B18" s="163">
        <v>36400</v>
      </c>
      <c r="C18" s="2">
        <v>0</v>
      </c>
      <c r="D18" s="2">
        <v>-2017.2</v>
      </c>
      <c r="E18" s="2">
        <v>0</v>
      </c>
      <c r="F18" s="2">
        <v>0</v>
      </c>
      <c r="G18" s="2">
        <v>0</v>
      </c>
      <c r="H18" s="2">
        <v>0</v>
      </c>
      <c r="I18" s="2">
        <v>0</v>
      </c>
      <c r="J18" s="2">
        <f t="shared" si="0"/>
        <v>-2017.2</v>
      </c>
      <c r="K18" s="2">
        <f t="shared" si="6"/>
        <v>12141005.060000001</v>
      </c>
      <c r="L18" s="170">
        <f t="shared" si="2"/>
        <v>3.5200000000000002E-2</v>
      </c>
      <c r="M18" s="1">
        <f t="shared" si="7"/>
        <v>35619.53</v>
      </c>
      <c r="N18" s="2">
        <f t="shared" si="13"/>
        <v>284430.05000000005</v>
      </c>
      <c r="O18" s="2">
        <f t="shared" si="12"/>
        <v>11856575.01</v>
      </c>
      <c r="Q18" s="2">
        <v>0</v>
      </c>
      <c r="R18" s="2">
        <v>0</v>
      </c>
      <c r="S18" s="2">
        <f t="shared" si="3"/>
        <v>0</v>
      </c>
      <c r="T18" s="2">
        <f t="shared" si="8"/>
        <v>2923572.47</v>
      </c>
      <c r="U18" s="170">
        <f t="shared" si="4"/>
        <v>3.5200000000000002E-2</v>
      </c>
      <c r="V18" s="1">
        <f t="shared" si="9"/>
        <v>8575.81</v>
      </c>
      <c r="W18" s="2">
        <f t="shared" si="14"/>
        <v>42886.13</v>
      </c>
      <c r="X18" s="2">
        <f t="shared" si="5"/>
        <v>2880686.3400000003</v>
      </c>
    </row>
    <row r="19" spans="1:24">
      <c r="A19" s="163">
        <v>202011</v>
      </c>
      <c r="B19" s="163">
        <v>36400</v>
      </c>
      <c r="C19" s="2">
        <v>0</v>
      </c>
      <c r="D19" s="2">
        <v>0</v>
      </c>
      <c r="E19" s="2">
        <v>0</v>
      </c>
      <c r="F19" s="2">
        <v>0</v>
      </c>
      <c r="G19" s="2">
        <v>0</v>
      </c>
      <c r="H19" s="2">
        <v>0</v>
      </c>
      <c r="I19" s="2">
        <v>0</v>
      </c>
      <c r="J19" s="2">
        <f t="shared" si="0"/>
        <v>0</v>
      </c>
      <c r="K19" s="2">
        <f t="shared" si="6"/>
        <v>12141005.060000001</v>
      </c>
      <c r="L19" s="170">
        <f t="shared" si="2"/>
        <v>3.5200000000000002E-2</v>
      </c>
      <c r="M19" s="1">
        <f t="shared" si="7"/>
        <v>35613.61</v>
      </c>
      <c r="N19" s="2">
        <f t="shared" si="13"/>
        <v>320043.66000000003</v>
      </c>
      <c r="O19" s="2">
        <f t="shared" si="12"/>
        <v>11820961.4</v>
      </c>
      <c r="Q19" s="2">
        <v>0</v>
      </c>
      <c r="R19" s="2">
        <v>0</v>
      </c>
      <c r="S19" s="2">
        <f t="shared" si="3"/>
        <v>0</v>
      </c>
      <c r="T19" s="2">
        <f t="shared" si="8"/>
        <v>2923572.47</v>
      </c>
      <c r="U19" s="170">
        <f t="shared" si="4"/>
        <v>3.5200000000000002E-2</v>
      </c>
      <c r="V19" s="1">
        <f t="shared" si="9"/>
        <v>8575.81</v>
      </c>
      <c r="W19" s="2">
        <f t="shared" si="14"/>
        <v>51461.939999999995</v>
      </c>
      <c r="X19" s="2">
        <f t="shared" si="5"/>
        <v>2872110.5300000003</v>
      </c>
    </row>
    <row r="20" spans="1:24">
      <c r="A20" s="163">
        <v>202012</v>
      </c>
      <c r="B20" s="163">
        <v>36400</v>
      </c>
      <c r="C20" s="2">
        <v>0</v>
      </c>
      <c r="D20" s="2">
        <v>0</v>
      </c>
      <c r="E20" s="2">
        <v>0</v>
      </c>
      <c r="F20" s="2">
        <v>0</v>
      </c>
      <c r="G20" s="2">
        <v>0</v>
      </c>
      <c r="H20" s="2">
        <v>0</v>
      </c>
      <c r="I20" s="2">
        <v>0</v>
      </c>
      <c r="J20" s="2">
        <f t="shared" si="0"/>
        <v>0</v>
      </c>
      <c r="K20" s="2">
        <f t="shared" si="6"/>
        <v>12141005.060000001</v>
      </c>
      <c r="L20" s="170">
        <f t="shared" si="2"/>
        <v>3.5200000000000002E-2</v>
      </c>
      <c r="M20" s="1">
        <f t="shared" si="7"/>
        <v>35613.61</v>
      </c>
      <c r="N20" s="2">
        <f t="shared" si="13"/>
        <v>355657.27</v>
      </c>
      <c r="O20" s="2">
        <f t="shared" si="12"/>
        <v>11785347.790000001</v>
      </c>
      <c r="Q20" s="2">
        <v>0</v>
      </c>
      <c r="R20" s="2">
        <v>0</v>
      </c>
      <c r="S20" s="2">
        <f t="shared" si="3"/>
        <v>0</v>
      </c>
      <c r="T20" s="2">
        <f t="shared" si="8"/>
        <v>2923572.47</v>
      </c>
      <c r="U20" s="170">
        <f t="shared" si="4"/>
        <v>3.5200000000000002E-2</v>
      </c>
      <c r="V20" s="1">
        <f t="shared" si="9"/>
        <v>8575.81</v>
      </c>
      <c r="W20" s="2">
        <f t="shared" si="14"/>
        <v>60037.749999999993</v>
      </c>
      <c r="X20" s="2">
        <f t="shared" si="5"/>
        <v>2863534.72</v>
      </c>
    </row>
    <row r="21" spans="1:24">
      <c r="A21" s="163">
        <v>202101</v>
      </c>
      <c r="B21" s="163">
        <v>36400</v>
      </c>
      <c r="C21" s="2">
        <v>0</v>
      </c>
      <c r="D21" s="2">
        <v>0</v>
      </c>
      <c r="E21" s="2">
        <v>0</v>
      </c>
      <c r="F21" s="2">
        <v>0</v>
      </c>
      <c r="G21" s="2">
        <v>0</v>
      </c>
      <c r="H21" s="2">
        <v>0</v>
      </c>
      <c r="I21" s="2">
        <v>0</v>
      </c>
      <c r="J21" s="2">
        <f t="shared" si="0"/>
        <v>0</v>
      </c>
      <c r="K21" s="2">
        <f t="shared" si="6"/>
        <v>12141005.060000001</v>
      </c>
      <c r="L21" s="170">
        <f t="shared" si="2"/>
        <v>3.5200000000000002E-2</v>
      </c>
      <c r="M21" s="1">
        <f t="shared" si="7"/>
        <v>35613.61</v>
      </c>
      <c r="N21" s="2">
        <f t="shared" si="13"/>
        <v>391270.88</v>
      </c>
      <c r="O21" s="2">
        <f t="shared" si="12"/>
        <v>11749734.18</v>
      </c>
      <c r="Q21" s="2">
        <v>0</v>
      </c>
      <c r="R21" s="2">
        <v>0</v>
      </c>
      <c r="S21" s="2">
        <f t="shared" si="3"/>
        <v>0</v>
      </c>
      <c r="T21" s="2">
        <f t="shared" si="8"/>
        <v>2923572.47</v>
      </c>
      <c r="U21" s="170">
        <f t="shared" si="4"/>
        <v>3.5200000000000002E-2</v>
      </c>
      <c r="V21" s="1">
        <f t="shared" si="9"/>
        <v>8575.81</v>
      </c>
      <c r="W21" s="2">
        <f t="shared" si="14"/>
        <v>68613.56</v>
      </c>
      <c r="X21" s="2">
        <f t="shared" si="5"/>
        <v>2854958.91</v>
      </c>
    </row>
    <row r="22" spans="1:24">
      <c r="A22" s="163">
        <v>202102</v>
      </c>
      <c r="B22" s="163">
        <v>36400</v>
      </c>
      <c r="C22" s="2">
        <v>0</v>
      </c>
      <c r="D22" s="2">
        <v>0</v>
      </c>
      <c r="E22" s="2">
        <v>7554373.8700000001</v>
      </c>
      <c r="F22" s="2">
        <v>0</v>
      </c>
      <c r="G22" s="2">
        <v>0</v>
      </c>
      <c r="H22" s="2">
        <v>0</v>
      </c>
      <c r="I22" s="2">
        <v>0</v>
      </c>
      <c r="J22" s="2">
        <f t="shared" si="0"/>
        <v>7554373.8700000001</v>
      </c>
      <c r="K22" s="2">
        <f t="shared" si="6"/>
        <v>19695378.93</v>
      </c>
      <c r="L22" s="170">
        <f t="shared" si="2"/>
        <v>3.5200000000000002E-2</v>
      </c>
      <c r="M22" s="1">
        <f t="shared" si="7"/>
        <v>35613.61</v>
      </c>
      <c r="N22" s="2">
        <f t="shared" si="13"/>
        <v>426884.49</v>
      </c>
      <c r="O22" s="2">
        <f t="shared" si="12"/>
        <v>19268494.440000001</v>
      </c>
      <c r="Q22" s="2">
        <v>0</v>
      </c>
      <c r="R22" s="2">
        <v>0</v>
      </c>
      <c r="S22" s="2">
        <f t="shared" si="3"/>
        <v>0</v>
      </c>
      <c r="T22" s="2">
        <f t="shared" si="8"/>
        <v>2923572.47</v>
      </c>
      <c r="U22" s="170">
        <f t="shared" si="4"/>
        <v>3.5200000000000002E-2</v>
      </c>
      <c r="V22" s="1">
        <f t="shared" si="9"/>
        <v>8575.81</v>
      </c>
      <c r="W22" s="2">
        <f t="shared" si="14"/>
        <v>77189.37</v>
      </c>
      <c r="X22" s="2">
        <f t="shared" si="5"/>
        <v>2846383.1</v>
      </c>
    </row>
    <row r="23" spans="1:24">
      <c r="A23" s="163">
        <v>202103</v>
      </c>
      <c r="B23" s="163">
        <v>36400</v>
      </c>
      <c r="C23" s="2">
        <v>0</v>
      </c>
      <c r="D23" s="2">
        <v>0</v>
      </c>
      <c r="E23" s="2">
        <v>72668.34</v>
      </c>
      <c r="F23" s="2">
        <v>0</v>
      </c>
      <c r="G23" s="2">
        <v>0</v>
      </c>
      <c r="H23" s="2">
        <v>0</v>
      </c>
      <c r="I23" s="2">
        <v>0</v>
      </c>
      <c r="J23" s="2">
        <f t="shared" si="0"/>
        <v>72668.34</v>
      </c>
      <c r="K23" s="2">
        <f t="shared" si="6"/>
        <v>19768047.27</v>
      </c>
      <c r="L23" s="170">
        <f t="shared" si="2"/>
        <v>3.5200000000000002E-2</v>
      </c>
      <c r="M23" s="1">
        <f t="shared" si="7"/>
        <v>57773.11</v>
      </c>
      <c r="N23" s="2">
        <f t="shared" si="13"/>
        <v>484657.6</v>
      </c>
      <c r="O23" s="2">
        <f t="shared" si="12"/>
        <v>19283389.669999998</v>
      </c>
      <c r="Q23" s="2">
        <v>0</v>
      </c>
      <c r="R23" s="2">
        <v>0</v>
      </c>
      <c r="S23" s="2">
        <f t="shared" si="3"/>
        <v>0</v>
      </c>
      <c r="T23" s="2">
        <f t="shared" si="8"/>
        <v>2923572.47</v>
      </c>
      <c r="U23" s="170">
        <f t="shared" si="4"/>
        <v>3.5200000000000002E-2</v>
      </c>
      <c r="V23" s="1">
        <f t="shared" si="9"/>
        <v>8575.81</v>
      </c>
      <c r="W23" s="2">
        <f t="shared" si="14"/>
        <v>85765.18</v>
      </c>
      <c r="X23" s="2">
        <f t="shared" si="5"/>
        <v>2837807.29</v>
      </c>
    </row>
    <row r="24" spans="1:24">
      <c r="A24" s="163">
        <v>202104</v>
      </c>
      <c r="B24" s="163">
        <v>36400</v>
      </c>
      <c r="C24" s="2">
        <v>0</v>
      </c>
      <c r="D24" s="2">
        <v>0</v>
      </c>
      <c r="E24" s="2">
        <v>18919.54</v>
      </c>
      <c r="F24" s="2">
        <v>0</v>
      </c>
      <c r="G24" s="2">
        <v>0</v>
      </c>
      <c r="H24" s="2">
        <v>0</v>
      </c>
      <c r="I24" s="2">
        <v>0</v>
      </c>
      <c r="J24" s="2">
        <f t="shared" si="0"/>
        <v>18919.54</v>
      </c>
      <c r="K24" s="2">
        <f t="shared" si="6"/>
        <v>19786966.809999999</v>
      </c>
      <c r="L24" s="170">
        <f t="shared" si="2"/>
        <v>3.5200000000000002E-2</v>
      </c>
      <c r="M24" s="1">
        <f t="shared" si="7"/>
        <v>57986.27</v>
      </c>
      <c r="N24" s="2">
        <f t="shared" si="13"/>
        <v>542643.87</v>
      </c>
      <c r="O24" s="2">
        <f t="shared" si="12"/>
        <v>19244322.939999998</v>
      </c>
      <c r="Q24" s="2">
        <v>0</v>
      </c>
      <c r="R24" s="2">
        <v>0</v>
      </c>
      <c r="S24" s="2">
        <f t="shared" si="3"/>
        <v>0</v>
      </c>
      <c r="T24" s="2">
        <f t="shared" si="8"/>
        <v>2923572.47</v>
      </c>
      <c r="U24" s="170">
        <f t="shared" si="4"/>
        <v>3.5200000000000002E-2</v>
      </c>
      <c r="V24" s="1">
        <f t="shared" si="9"/>
        <v>8575.81</v>
      </c>
      <c r="W24" s="2">
        <f t="shared" si="14"/>
        <v>94340.989999999991</v>
      </c>
      <c r="X24" s="2">
        <f t="shared" si="5"/>
        <v>2829231.4800000004</v>
      </c>
    </row>
    <row r="25" spans="1:24">
      <c r="A25" s="163">
        <v>202105</v>
      </c>
      <c r="B25" s="163">
        <v>36400</v>
      </c>
      <c r="C25" s="2">
        <v>0</v>
      </c>
      <c r="D25" s="2">
        <v>0</v>
      </c>
      <c r="E25" s="2">
        <v>-4042.42</v>
      </c>
      <c r="F25" s="2">
        <v>0</v>
      </c>
      <c r="G25" s="2">
        <v>0</v>
      </c>
      <c r="H25" s="2">
        <v>0</v>
      </c>
      <c r="I25" s="2">
        <v>0</v>
      </c>
      <c r="J25" s="2">
        <f t="shared" si="0"/>
        <v>-4042.42</v>
      </c>
      <c r="K25" s="2">
        <f t="shared" si="6"/>
        <v>19782924.389999997</v>
      </c>
      <c r="L25" s="170">
        <f t="shared" si="2"/>
        <v>3.5200000000000002E-2</v>
      </c>
      <c r="M25" s="1">
        <f t="shared" si="7"/>
        <v>58041.77</v>
      </c>
      <c r="N25" s="2">
        <f t="shared" si="13"/>
        <v>600685.64</v>
      </c>
      <c r="O25" s="2">
        <f t="shared" si="12"/>
        <v>19182238.749999996</v>
      </c>
      <c r="Q25" s="2">
        <v>0</v>
      </c>
      <c r="R25" s="2">
        <v>0</v>
      </c>
      <c r="S25" s="2">
        <f t="shared" si="3"/>
        <v>0</v>
      </c>
      <c r="T25" s="2">
        <f t="shared" si="8"/>
        <v>2923572.47</v>
      </c>
      <c r="U25" s="170">
        <f t="shared" si="4"/>
        <v>3.5200000000000002E-2</v>
      </c>
      <c r="V25" s="1">
        <f t="shared" si="9"/>
        <v>8575.81</v>
      </c>
      <c r="W25" s="2">
        <f t="shared" si="14"/>
        <v>102916.79999999999</v>
      </c>
      <c r="X25" s="2">
        <f t="shared" si="5"/>
        <v>2820655.6700000004</v>
      </c>
    </row>
    <row r="26" spans="1:24">
      <c r="A26" s="163">
        <v>202106</v>
      </c>
      <c r="B26" s="163">
        <v>36400</v>
      </c>
      <c r="C26" s="2">
        <v>0</v>
      </c>
      <c r="D26" s="2">
        <v>0</v>
      </c>
      <c r="E26" s="2">
        <v>-88066.2</v>
      </c>
      <c r="F26" s="2">
        <v>0</v>
      </c>
      <c r="G26" s="2">
        <v>0</v>
      </c>
      <c r="H26" s="2">
        <v>0</v>
      </c>
      <c r="I26" s="2">
        <v>0</v>
      </c>
      <c r="J26" s="2">
        <f t="shared" si="0"/>
        <v>-88066.2</v>
      </c>
      <c r="K26" s="2">
        <f t="shared" si="6"/>
        <v>19694858.189999998</v>
      </c>
      <c r="L26" s="170">
        <f t="shared" si="2"/>
        <v>3.5200000000000002E-2</v>
      </c>
      <c r="M26" s="1">
        <f t="shared" si="7"/>
        <v>58029.91</v>
      </c>
      <c r="N26" s="2">
        <f t="shared" si="13"/>
        <v>658715.55000000005</v>
      </c>
      <c r="O26" s="2">
        <f t="shared" si="12"/>
        <v>19036142.639999997</v>
      </c>
      <c r="Q26" s="2">
        <v>0</v>
      </c>
      <c r="R26" s="2">
        <v>0</v>
      </c>
      <c r="S26" s="2">
        <f t="shared" si="3"/>
        <v>0</v>
      </c>
      <c r="T26" s="2">
        <f t="shared" si="8"/>
        <v>2923572.47</v>
      </c>
      <c r="U26" s="170">
        <f t="shared" si="4"/>
        <v>3.5200000000000002E-2</v>
      </c>
      <c r="V26" s="1">
        <f t="shared" si="9"/>
        <v>8575.81</v>
      </c>
      <c r="W26" s="2">
        <f t="shared" si="14"/>
        <v>111492.60999999999</v>
      </c>
      <c r="X26" s="2">
        <f t="shared" si="5"/>
        <v>2812079.8600000003</v>
      </c>
    </row>
    <row r="27" spans="1:24">
      <c r="A27" s="163">
        <v>202107</v>
      </c>
      <c r="B27" s="163">
        <v>36400</v>
      </c>
      <c r="C27" s="2">
        <v>0</v>
      </c>
      <c r="D27" s="2">
        <v>0</v>
      </c>
      <c r="E27" s="2">
        <v>0</v>
      </c>
      <c r="F27" s="2">
        <v>0</v>
      </c>
      <c r="G27" s="2">
        <v>0</v>
      </c>
      <c r="H27" s="2">
        <v>0</v>
      </c>
      <c r="I27" s="2">
        <v>0</v>
      </c>
      <c r="J27" s="2">
        <f t="shared" si="0"/>
        <v>0</v>
      </c>
      <c r="K27" s="2">
        <f t="shared" si="6"/>
        <v>19694858.189999998</v>
      </c>
      <c r="L27" s="170">
        <f t="shared" si="2"/>
        <v>3.5200000000000002E-2</v>
      </c>
      <c r="M27" s="1">
        <f t="shared" si="7"/>
        <v>57771.58</v>
      </c>
      <c r="N27" s="2">
        <f t="shared" si="13"/>
        <v>716487.13</v>
      </c>
      <c r="O27" s="2">
        <f t="shared" si="12"/>
        <v>18978371.059999999</v>
      </c>
      <c r="Q27" s="2">
        <v>0</v>
      </c>
      <c r="R27" s="2">
        <v>0</v>
      </c>
      <c r="S27" s="2">
        <f t="shared" si="3"/>
        <v>0</v>
      </c>
      <c r="T27" s="2">
        <f t="shared" si="8"/>
        <v>2923572.47</v>
      </c>
      <c r="U27" s="170">
        <f t="shared" si="4"/>
        <v>3.5200000000000002E-2</v>
      </c>
      <c r="V27" s="1">
        <f t="shared" si="9"/>
        <v>8575.81</v>
      </c>
      <c r="W27" s="2">
        <f t="shared" si="14"/>
        <v>120068.41999999998</v>
      </c>
      <c r="X27" s="2">
        <f t="shared" si="5"/>
        <v>2803504.0500000003</v>
      </c>
    </row>
    <row r="28" spans="1:24">
      <c r="A28" s="163">
        <v>202108</v>
      </c>
      <c r="B28" s="163">
        <v>36400</v>
      </c>
      <c r="C28" s="2">
        <v>0</v>
      </c>
      <c r="D28" s="2">
        <v>0</v>
      </c>
      <c r="E28" s="2">
        <v>0</v>
      </c>
      <c r="F28" s="2">
        <v>0</v>
      </c>
      <c r="G28" s="2">
        <v>0</v>
      </c>
      <c r="H28" s="2">
        <v>0</v>
      </c>
      <c r="I28" s="2">
        <v>0</v>
      </c>
      <c r="J28" s="2">
        <f t="shared" si="0"/>
        <v>0</v>
      </c>
      <c r="K28" s="2">
        <f t="shared" si="6"/>
        <v>19694858.189999998</v>
      </c>
      <c r="L28" s="170">
        <f t="shared" si="2"/>
        <v>3.5200000000000002E-2</v>
      </c>
      <c r="M28" s="1">
        <f t="shared" si="7"/>
        <v>57771.58</v>
      </c>
      <c r="N28" s="2">
        <f t="shared" si="13"/>
        <v>774258.71</v>
      </c>
      <c r="O28" s="2">
        <f t="shared" si="12"/>
        <v>18920599.479999997</v>
      </c>
      <c r="Q28" s="2">
        <v>0</v>
      </c>
      <c r="R28" s="2">
        <v>0</v>
      </c>
      <c r="S28" s="2">
        <f t="shared" si="3"/>
        <v>0</v>
      </c>
      <c r="T28" s="2">
        <f t="shared" si="8"/>
        <v>2923572.47</v>
      </c>
      <c r="U28" s="170">
        <f t="shared" si="4"/>
        <v>3.5200000000000002E-2</v>
      </c>
      <c r="V28" s="1">
        <f t="shared" si="9"/>
        <v>8575.81</v>
      </c>
      <c r="W28" s="2">
        <f t="shared" si="14"/>
        <v>128644.22999999998</v>
      </c>
      <c r="X28" s="2">
        <f t="shared" si="5"/>
        <v>2794928.24</v>
      </c>
    </row>
    <row r="29" spans="1:24">
      <c r="A29" s="163">
        <v>202109</v>
      </c>
      <c r="B29" s="163">
        <v>36400</v>
      </c>
      <c r="C29" s="2">
        <v>0</v>
      </c>
      <c r="D29" s="2">
        <v>0</v>
      </c>
      <c r="E29" s="2">
        <v>0</v>
      </c>
      <c r="F29" s="2">
        <v>0</v>
      </c>
      <c r="G29" s="2">
        <v>0</v>
      </c>
      <c r="H29" s="2">
        <v>0</v>
      </c>
      <c r="I29" s="2">
        <v>0</v>
      </c>
      <c r="J29" s="2">
        <f t="shared" si="0"/>
        <v>0</v>
      </c>
      <c r="K29" s="2">
        <f t="shared" si="6"/>
        <v>19694858.189999998</v>
      </c>
      <c r="L29" s="170">
        <f t="shared" si="2"/>
        <v>3.5200000000000002E-2</v>
      </c>
      <c r="M29" s="1">
        <f t="shared" si="7"/>
        <v>57771.58</v>
      </c>
      <c r="N29" s="2">
        <f t="shared" si="13"/>
        <v>832030.28999999992</v>
      </c>
      <c r="O29" s="2">
        <f t="shared" si="12"/>
        <v>18862827.899999999</v>
      </c>
      <c r="Q29" s="2">
        <v>0</v>
      </c>
      <c r="R29" s="2">
        <v>0</v>
      </c>
      <c r="S29" s="2">
        <f t="shared" si="3"/>
        <v>0</v>
      </c>
      <c r="T29" s="2">
        <f t="shared" si="8"/>
        <v>2923572.47</v>
      </c>
      <c r="U29" s="170">
        <f t="shared" si="4"/>
        <v>3.5200000000000002E-2</v>
      </c>
      <c r="V29" s="1">
        <f t="shared" si="9"/>
        <v>8575.81</v>
      </c>
      <c r="W29" s="2">
        <f t="shared" si="14"/>
        <v>137220.03999999998</v>
      </c>
      <c r="X29" s="2">
        <f t="shared" si="5"/>
        <v>2786352.43</v>
      </c>
    </row>
    <row r="30" spans="1:24">
      <c r="A30" s="163">
        <v>202110</v>
      </c>
      <c r="B30" s="163">
        <v>36400</v>
      </c>
      <c r="C30" s="2">
        <v>0</v>
      </c>
      <c r="D30" s="2">
        <v>0</v>
      </c>
      <c r="E30" s="2">
        <v>0</v>
      </c>
      <c r="F30" s="2">
        <v>0</v>
      </c>
      <c r="G30" s="2">
        <v>0</v>
      </c>
      <c r="H30" s="2">
        <v>0</v>
      </c>
      <c r="I30" s="2">
        <v>0</v>
      </c>
      <c r="J30" s="2">
        <f t="shared" si="0"/>
        <v>0</v>
      </c>
      <c r="K30" s="2">
        <f t="shared" si="6"/>
        <v>19694858.189999998</v>
      </c>
      <c r="L30" s="170">
        <f t="shared" si="2"/>
        <v>3.5200000000000002E-2</v>
      </c>
      <c r="M30" s="1">
        <f t="shared" si="7"/>
        <v>57771.58</v>
      </c>
      <c r="N30" s="2">
        <f t="shared" si="13"/>
        <v>889801.86999999988</v>
      </c>
      <c r="O30" s="2">
        <f t="shared" si="12"/>
        <v>18805056.319999997</v>
      </c>
      <c r="Q30" s="2">
        <v>0</v>
      </c>
      <c r="R30" s="2">
        <v>0</v>
      </c>
      <c r="S30" s="2">
        <f t="shared" si="3"/>
        <v>0</v>
      </c>
      <c r="T30" s="2">
        <f t="shared" si="8"/>
        <v>2923572.47</v>
      </c>
      <c r="U30" s="170">
        <f t="shared" si="4"/>
        <v>3.5200000000000002E-2</v>
      </c>
      <c r="V30" s="1">
        <f t="shared" si="9"/>
        <v>8575.81</v>
      </c>
      <c r="W30" s="2">
        <f t="shared" si="14"/>
        <v>145795.84999999998</v>
      </c>
      <c r="X30" s="2">
        <f t="shared" si="5"/>
        <v>2777776.62</v>
      </c>
    </row>
    <row r="31" spans="1:24">
      <c r="A31" s="163">
        <v>202111</v>
      </c>
      <c r="B31" s="163">
        <v>36400</v>
      </c>
      <c r="C31" s="2">
        <v>0</v>
      </c>
      <c r="D31" s="2">
        <v>0</v>
      </c>
      <c r="E31" s="2">
        <v>0</v>
      </c>
      <c r="F31" s="2">
        <v>0</v>
      </c>
      <c r="G31" s="2">
        <v>0</v>
      </c>
      <c r="H31" s="2">
        <v>0</v>
      </c>
      <c r="I31" s="2">
        <v>0</v>
      </c>
      <c r="J31" s="2">
        <f t="shared" si="0"/>
        <v>0</v>
      </c>
      <c r="K31" s="2">
        <f t="shared" si="6"/>
        <v>19694858.189999998</v>
      </c>
      <c r="L31" s="170">
        <f t="shared" si="2"/>
        <v>3.5200000000000002E-2</v>
      </c>
      <c r="M31" s="1">
        <f t="shared" si="7"/>
        <v>57771.58</v>
      </c>
      <c r="N31" s="2">
        <f t="shared" si="13"/>
        <v>947573.44999999984</v>
      </c>
      <c r="O31" s="2">
        <f t="shared" si="12"/>
        <v>18747284.739999998</v>
      </c>
      <c r="Q31" s="2">
        <v>0</v>
      </c>
      <c r="R31" s="2">
        <v>0</v>
      </c>
      <c r="S31" s="2">
        <f t="shared" si="3"/>
        <v>0</v>
      </c>
      <c r="T31" s="2">
        <f t="shared" si="8"/>
        <v>2923572.47</v>
      </c>
      <c r="U31" s="170">
        <f t="shared" si="4"/>
        <v>3.5200000000000002E-2</v>
      </c>
      <c r="V31" s="1">
        <f t="shared" si="9"/>
        <v>8575.81</v>
      </c>
      <c r="W31" s="2">
        <f t="shared" si="14"/>
        <v>154371.65999999997</v>
      </c>
      <c r="X31" s="2">
        <f t="shared" si="5"/>
        <v>2769200.81</v>
      </c>
    </row>
    <row r="32" spans="1:24">
      <c r="A32" s="163">
        <v>202112</v>
      </c>
      <c r="B32" s="163">
        <v>36400</v>
      </c>
      <c r="C32" s="2">
        <v>0</v>
      </c>
      <c r="D32" s="2">
        <v>0</v>
      </c>
      <c r="E32" s="2">
        <v>0</v>
      </c>
      <c r="F32" s="2">
        <v>0</v>
      </c>
      <c r="G32" s="2">
        <v>0</v>
      </c>
      <c r="H32" s="2">
        <v>0</v>
      </c>
      <c r="I32" s="2">
        <v>0</v>
      </c>
      <c r="J32" s="2">
        <f t="shared" si="0"/>
        <v>0</v>
      </c>
      <c r="K32" s="2">
        <f t="shared" si="6"/>
        <v>19694858.189999998</v>
      </c>
      <c r="L32" s="170">
        <f t="shared" si="2"/>
        <v>3.5200000000000002E-2</v>
      </c>
      <c r="M32" s="1">
        <f t="shared" si="7"/>
        <v>57771.58</v>
      </c>
      <c r="N32" s="2">
        <f t="shared" si="13"/>
        <v>1005345.0299999998</v>
      </c>
      <c r="O32" s="2">
        <f t="shared" si="12"/>
        <v>18689513.159999996</v>
      </c>
      <c r="Q32" s="2">
        <v>0</v>
      </c>
      <c r="R32" s="2">
        <v>0</v>
      </c>
      <c r="S32" s="2">
        <f t="shared" si="3"/>
        <v>0</v>
      </c>
      <c r="T32" s="2">
        <f t="shared" si="8"/>
        <v>2923572.47</v>
      </c>
      <c r="U32" s="170">
        <f t="shared" si="4"/>
        <v>3.5200000000000002E-2</v>
      </c>
      <c r="V32" s="1">
        <f t="shared" si="9"/>
        <v>8575.81</v>
      </c>
      <c r="W32" s="2">
        <f t="shared" si="14"/>
        <v>162947.46999999997</v>
      </c>
      <c r="X32" s="2">
        <f t="shared" si="5"/>
        <v>2760625</v>
      </c>
    </row>
    <row r="33" spans="1:24">
      <c r="A33" s="163">
        <v>202201</v>
      </c>
      <c r="B33" s="163">
        <v>36400</v>
      </c>
      <c r="C33" s="2">
        <v>0</v>
      </c>
      <c r="D33" s="2">
        <v>0</v>
      </c>
      <c r="E33" s="2">
        <v>0</v>
      </c>
      <c r="F33" s="2">
        <v>0</v>
      </c>
      <c r="G33" s="2">
        <v>0</v>
      </c>
      <c r="H33" s="2">
        <v>0</v>
      </c>
      <c r="I33" s="2">
        <v>0</v>
      </c>
      <c r="J33" s="2">
        <f t="shared" si="0"/>
        <v>0</v>
      </c>
      <c r="K33" s="2">
        <f t="shared" si="6"/>
        <v>19694858.189999998</v>
      </c>
      <c r="L33" s="170">
        <f t="shared" si="2"/>
        <v>3.5200000000000002E-2</v>
      </c>
      <c r="M33" s="1">
        <f t="shared" si="7"/>
        <v>57771.58</v>
      </c>
      <c r="N33" s="2">
        <f t="shared" si="13"/>
        <v>1063116.6099999999</v>
      </c>
      <c r="O33" s="2">
        <f t="shared" si="12"/>
        <v>18631741.579999998</v>
      </c>
      <c r="Q33" s="2">
        <v>0</v>
      </c>
      <c r="R33" s="2">
        <v>0</v>
      </c>
      <c r="S33" s="2">
        <f t="shared" si="3"/>
        <v>0</v>
      </c>
      <c r="T33" s="2">
        <f t="shared" si="8"/>
        <v>2923572.47</v>
      </c>
      <c r="U33" s="170">
        <f t="shared" si="4"/>
        <v>3.5200000000000002E-2</v>
      </c>
      <c r="V33" s="1">
        <f t="shared" si="9"/>
        <v>8575.81</v>
      </c>
      <c r="W33" s="2">
        <f t="shared" si="14"/>
        <v>171523.27999999997</v>
      </c>
      <c r="X33" s="2">
        <f t="shared" si="5"/>
        <v>2752049.1900000004</v>
      </c>
    </row>
    <row r="34" spans="1:24">
      <c r="A34" s="163">
        <v>202202</v>
      </c>
      <c r="B34" s="163">
        <v>36400</v>
      </c>
      <c r="C34" s="2">
        <v>0</v>
      </c>
      <c r="D34" s="2">
        <v>0</v>
      </c>
      <c r="E34" s="2">
        <v>0</v>
      </c>
      <c r="F34" s="2">
        <v>6836837.1900000004</v>
      </c>
      <c r="G34" s="2">
        <v>0</v>
      </c>
      <c r="H34" s="2">
        <v>0</v>
      </c>
      <c r="I34" s="2">
        <v>0</v>
      </c>
      <c r="J34" s="2">
        <f t="shared" si="0"/>
        <v>6836837.1900000004</v>
      </c>
      <c r="K34" s="2">
        <f t="shared" si="6"/>
        <v>26531695.379999999</v>
      </c>
      <c r="L34" s="170">
        <f t="shared" si="2"/>
        <v>3.5200000000000002E-2</v>
      </c>
      <c r="M34" s="1">
        <f t="shared" si="7"/>
        <v>57771.58</v>
      </c>
      <c r="N34" s="2">
        <f t="shared" si="13"/>
        <v>1120888.19</v>
      </c>
      <c r="O34" s="2">
        <f t="shared" si="12"/>
        <v>25410807.189999998</v>
      </c>
      <c r="Q34" s="2">
        <v>0</v>
      </c>
      <c r="R34" s="2">
        <v>0</v>
      </c>
      <c r="S34" s="2">
        <f t="shared" si="3"/>
        <v>0</v>
      </c>
      <c r="T34" s="2">
        <f t="shared" si="8"/>
        <v>2923572.47</v>
      </c>
      <c r="U34" s="170">
        <f t="shared" si="4"/>
        <v>3.5200000000000002E-2</v>
      </c>
      <c r="V34" s="1">
        <f t="shared" si="9"/>
        <v>8575.81</v>
      </c>
      <c r="W34" s="2">
        <f t="shared" si="14"/>
        <v>180099.08999999997</v>
      </c>
      <c r="X34" s="2">
        <f t="shared" si="5"/>
        <v>2743473.3800000004</v>
      </c>
    </row>
    <row r="35" spans="1:24">
      <c r="A35" s="163">
        <v>202203</v>
      </c>
      <c r="B35" s="163">
        <v>36400</v>
      </c>
      <c r="C35" s="2">
        <v>0</v>
      </c>
      <c r="D35" s="2">
        <v>0</v>
      </c>
      <c r="E35" s="2">
        <v>0</v>
      </c>
      <c r="F35" s="2">
        <v>5164.07</v>
      </c>
      <c r="G35" s="2">
        <v>0</v>
      </c>
      <c r="H35" s="2">
        <v>0</v>
      </c>
      <c r="I35" s="2">
        <v>0</v>
      </c>
      <c r="J35" s="2">
        <f t="shared" si="0"/>
        <v>5164.07</v>
      </c>
      <c r="K35" s="2">
        <f t="shared" si="6"/>
        <v>26536859.449999999</v>
      </c>
      <c r="L35" s="170">
        <f t="shared" si="2"/>
        <v>3.5200000000000002E-2</v>
      </c>
      <c r="M35" s="1">
        <f t="shared" si="7"/>
        <v>77826.31</v>
      </c>
      <c r="N35" s="2">
        <f t="shared" si="13"/>
        <v>1198714.5</v>
      </c>
      <c r="O35" s="2">
        <f t="shared" si="12"/>
        <v>25338144.949999999</v>
      </c>
      <c r="Q35" s="2">
        <v>0</v>
      </c>
      <c r="R35" s="2">
        <v>0</v>
      </c>
      <c r="S35" s="2">
        <f t="shared" si="3"/>
        <v>0</v>
      </c>
      <c r="T35" s="2">
        <f t="shared" si="8"/>
        <v>2923572.47</v>
      </c>
      <c r="U35" s="170">
        <f t="shared" si="4"/>
        <v>3.5200000000000002E-2</v>
      </c>
      <c r="V35" s="1">
        <f t="shared" si="9"/>
        <v>8575.81</v>
      </c>
      <c r="W35" s="2">
        <f t="shared" si="14"/>
        <v>188674.89999999997</v>
      </c>
      <c r="X35" s="2">
        <f t="shared" si="5"/>
        <v>2734897.5700000003</v>
      </c>
    </row>
    <row r="36" spans="1:24">
      <c r="A36" s="163">
        <v>202204</v>
      </c>
      <c r="B36" s="163">
        <v>36400</v>
      </c>
      <c r="C36" s="2">
        <v>0</v>
      </c>
      <c r="D36" s="2">
        <v>0</v>
      </c>
      <c r="E36" s="2">
        <v>0</v>
      </c>
      <c r="F36" s="2">
        <v>4112.7</v>
      </c>
      <c r="G36" s="2">
        <v>0</v>
      </c>
      <c r="H36" s="2">
        <v>0</v>
      </c>
      <c r="I36" s="2">
        <v>0</v>
      </c>
      <c r="J36" s="2">
        <f t="shared" si="0"/>
        <v>4112.7</v>
      </c>
      <c r="K36" s="2">
        <f t="shared" si="6"/>
        <v>26540972.149999999</v>
      </c>
      <c r="L36" s="170">
        <f t="shared" si="2"/>
        <v>3.5200000000000002E-2</v>
      </c>
      <c r="M36" s="1">
        <f t="shared" si="7"/>
        <v>77841.45</v>
      </c>
      <c r="N36" s="2">
        <f t="shared" si="13"/>
        <v>1276555.95</v>
      </c>
      <c r="O36" s="2">
        <f t="shared" si="12"/>
        <v>25264416.199999999</v>
      </c>
      <c r="Q36" s="2">
        <v>0</v>
      </c>
      <c r="R36" s="2">
        <v>0</v>
      </c>
      <c r="S36" s="2">
        <f t="shared" si="3"/>
        <v>0</v>
      </c>
      <c r="T36" s="2">
        <f t="shared" si="8"/>
        <v>2923572.47</v>
      </c>
      <c r="U36" s="170">
        <f t="shared" si="4"/>
        <v>3.5200000000000002E-2</v>
      </c>
      <c r="V36" s="1">
        <f t="shared" si="9"/>
        <v>8575.81</v>
      </c>
      <c r="W36" s="2">
        <f t="shared" si="14"/>
        <v>197250.70999999996</v>
      </c>
      <c r="X36" s="2">
        <f t="shared" si="5"/>
        <v>2726321.7600000002</v>
      </c>
    </row>
    <row r="37" spans="1:24">
      <c r="A37" s="163">
        <v>202205</v>
      </c>
      <c r="B37" s="163">
        <v>36400</v>
      </c>
      <c r="C37" s="2">
        <v>0</v>
      </c>
      <c r="D37" s="2">
        <v>0</v>
      </c>
      <c r="E37" s="2">
        <v>0</v>
      </c>
      <c r="F37" s="2">
        <v>4243.2700000000004</v>
      </c>
      <c r="G37" s="2">
        <v>0</v>
      </c>
      <c r="H37" s="2">
        <v>0</v>
      </c>
      <c r="I37" s="2">
        <v>0</v>
      </c>
      <c r="J37" s="2">
        <f t="shared" si="0"/>
        <v>4243.2700000000004</v>
      </c>
      <c r="K37" s="2">
        <f t="shared" si="6"/>
        <v>26545215.419999998</v>
      </c>
      <c r="L37" s="170">
        <f t="shared" si="2"/>
        <v>3.5200000000000002E-2</v>
      </c>
      <c r="M37" s="1">
        <f t="shared" si="7"/>
        <v>77853.52</v>
      </c>
      <c r="N37" s="2">
        <f t="shared" si="13"/>
        <v>1354409.47</v>
      </c>
      <c r="O37" s="2">
        <f t="shared" si="12"/>
        <v>25190805.949999999</v>
      </c>
      <c r="Q37" s="2">
        <v>0</v>
      </c>
      <c r="R37" s="2">
        <v>0</v>
      </c>
      <c r="S37" s="2">
        <f t="shared" si="3"/>
        <v>0</v>
      </c>
      <c r="T37" s="2">
        <f t="shared" si="8"/>
        <v>2923572.47</v>
      </c>
      <c r="U37" s="170">
        <f t="shared" si="4"/>
        <v>3.5200000000000002E-2</v>
      </c>
      <c r="V37" s="1">
        <f t="shared" si="9"/>
        <v>8575.81</v>
      </c>
      <c r="W37" s="2">
        <f t="shared" si="14"/>
        <v>205826.51999999996</v>
      </c>
      <c r="X37" s="2">
        <f t="shared" si="5"/>
        <v>2717745.95</v>
      </c>
    </row>
    <row r="38" spans="1:24">
      <c r="A38" s="163">
        <v>202206</v>
      </c>
      <c r="B38" s="163">
        <v>36400</v>
      </c>
      <c r="C38" s="2">
        <v>0</v>
      </c>
      <c r="D38" s="2">
        <v>0</v>
      </c>
      <c r="E38" s="2">
        <v>0</v>
      </c>
      <c r="F38" s="2">
        <v>5048.6400000000003</v>
      </c>
      <c r="G38" s="2">
        <v>0</v>
      </c>
      <c r="H38" s="2">
        <v>0</v>
      </c>
      <c r="I38" s="2">
        <v>0</v>
      </c>
      <c r="J38" s="2">
        <f t="shared" si="0"/>
        <v>5048.6400000000003</v>
      </c>
      <c r="K38" s="2">
        <f t="shared" si="6"/>
        <v>26550264.059999999</v>
      </c>
      <c r="L38" s="170">
        <f t="shared" si="2"/>
        <v>3.5200000000000002E-2</v>
      </c>
      <c r="M38" s="1">
        <f t="shared" si="7"/>
        <v>77865.97</v>
      </c>
      <c r="N38" s="2">
        <f t="shared" si="13"/>
        <v>1432275.44</v>
      </c>
      <c r="O38" s="2">
        <f t="shared" si="12"/>
        <v>25117988.619999997</v>
      </c>
      <c r="Q38" s="2">
        <v>0</v>
      </c>
      <c r="R38" s="2">
        <v>0</v>
      </c>
      <c r="S38" s="2">
        <f t="shared" si="3"/>
        <v>0</v>
      </c>
      <c r="T38" s="2">
        <f t="shared" si="8"/>
        <v>2923572.47</v>
      </c>
      <c r="U38" s="170">
        <f t="shared" si="4"/>
        <v>3.5200000000000002E-2</v>
      </c>
      <c r="V38" s="1">
        <f t="shared" si="9"/>
        <v>8575.81</v>
      </c>
      <c r="W38" s="2">
        <f t="shared" si="14"/>
        <v>214402.32999999996</v>
      </c>
      <c r="X38" s="2">
        <f t="shared" si="5"/>
        <v>2709170.14</v>
      </c>
    </row>
    <row r="39" spans="1:24">
      <c r="A39" s="163">
        <v>202207</v>
      </c>
      <c r="B39" s="163">
        <v>36400</v>
      </c>
      <c r="C39" s="2">
        <v>0</v>
      </c>
      <c r="D39" s="2">
        <v>0</v>
      </c>
      <c r="E39" s="2">
        <v>0</v>
      </c>
      <c r="F39" s="2">
        <v>5596.25</v>
      </c>
      <c r="G39" s="2">
        <v>0</v>
      </c>
      <c r="H39" s="2">
        <v>0</v>
      </c>
      <c r="I39" s="2">
        <v>0</v>
      </c>
      <c r="J39" s="2">
        <f t="shared" si="0"/>
        <v>5596.25</v>
      </c>
      <c r="K39" s="2">
        <f t="shared" si="6"/>
        <v>26555860.309999999</v>
      </c>
      <c r="L39" s="170">
        <f t="shared" si="2"/>
        <v>3.5200000000000002E-2</v>
      </c>
      <c r="M39" s="1">
        <f t="shared" si="7"/>
        <v>77880.77</v>
      </c>
      <c r="N39" s="2">
        <f t="shared" si="13"/>
        <v>1510156.21</v>
      </c>
      <c r="O39" s="2">
        <f t="shared" si="12"/>
        <v>25045704.099999998</v>
      </c>
      <c r="Q39" s="2">
        <v>0</v>
      </c>
      <c r="R39" s="2">
        <v>0</v>
      </c>
      <c r="S39" s="2">
        <f t="shared" si="3"/>
        <v>0</v>
      </c>
      <c r="T39" s="2">
        <f t="shared" si="8"/>
        <v>2923572.47</v>
      </c>
      <c r="U39" s="170">
        <f t="shared" si="4"/>
        <v>3.5200000000000002E-2</v>
      </c>
      <c r="V39" s="1">
        <f t="shared" si="9"/>
        <v>8575.81</v>
      </c>
      <c r="W39" s="2">
        <f t="shared" si="14"/>
        <v>222978.13999999996</v>
      </c>
      <c r="X39" s="2">
        <f t="shared" si="5"/>
        <v>2700594.33</v>
      </c>
    </row>
    <row r="40" spans="1:24">
      <c r="A40" s="163">
        <v>202208</v>
      </c>
      <c r="B40" s="163">
        <v>36400</v>
      </c>
      <c r="C40" s="2">
        <v>0</v>
      </c>
      <c r="D40" s="2">
        <v>0</v>
      </c>
      <c r="E40" s="2">
        <v>0</v>
      </c>
      <c r="F40" s="2">
        <v>2941.37</v>
      </c>
      <c r="G40" s="2">
        <v>0</v>
      </c>
      <c r="H40" s="2">
        <v>0</v>
      </c>
      <c r="I40" s="2">
        <v>0</v>
      </c>
      <c r="J40" s="2">
        <f t="shared" si="0"/>
        <v>2941.37</v>
      </c>
      <c r="K40" s="2">
        <f t="shared" si="6"/>
        <v>26558801.68</v>
      </c>
      <c r="L40" s="170">
        <f t="shared" si="2"/>
        <v>3.5200000000000002E-2</v>
      </c>
      <c r="M40" s="1">
        <f t="shared" si="7"/>
        <v>77897.19</v>
      </c>
      <c r="N40" s="2">
        <f t="shared" si="13"/>
        <v>1588053.4</v>
      </c>
      <c r="O40" s="2">
        <f t="shared" si="12"/>
        <v>24970748.280000001</v>
      </c>
      <c r="Q40" s="2">
        <v>0</v>
      </c>
      <c r="R40" s="2">
        <v>0</v>
      </c>
      <c r="S40" s="2">
        <f t="shared" si="3"/>
        <v>0</v>
      </c>
      <c r="T40" s="2">
        <f t="shared" si="8"/>
        <v>2923572.47</v>
      </c>
      <c r="U40" s="170">
        <f t="shared" si="4"/>
        <v>3.5200000000000002E-2</v>
      </c>
      <c r="V40" s="1">
        <f t="shared" si="9"/>
        <v>8575.81</v>
      </c>
      <c r="W40" s="2">
        <f t="shared" si="14"/>
        <v>231553.94999999995</v>
      </c>
      <c r="X40" s="2">
        <f t="shared" si="5"/>
        <v>2692018.5200000005</v>
      </c>
    </row>
    <row r="41" spans="1:24">
      <c r="A41" s="163">
        <v>202209</v>
      </c>
      <c r="B41" s="163">
        <v>36400</v>
      </c>
      <c r="C41" s="2">
        <v>0</v>
      </c>
      <c r="D41" s="2">
        <v>0</v>
      </c>
      <c r="E41" s="2">
        <v>0</v>
      </c>
      <c r="F41" s="2">
        <v>3672.33</v>
      </c>
      <c r="G41" s="2">
        <v>0</v>
      </c>
      <c r="H41" s="2">
        <v>0</v>
      </c>
      <c r="I41" s="2">
        <v>0</v>
      </c>
      <c r="J41" s="2">
        <f t="shared" si="0"/>
        <v>3672.33</v>
      </c>
      <c r="K41" s="2">
        <f t="shared" si="6"/>
        <v>26562474.009999998</v>
      </c>
      <c r="L41" s="170">
        <f t="shared" si="2"/>
        <v>3.5200000000000002E-2</v>
      </c>
      <c r="M41" s="1">
        <f t="shared" si="7"/>
        <v>77905.820000000007</v>
      </c>
      <c r="N41" s="2">
        <f t="shared" si="13"/>
        <v>1665959.22</v>
      </c>
      <c r="O41" s="2">
        <f t="shared" si="12"/>
        <v>24896514.789999999</v>
      </c>
      <c r="Q41" s="2">
        <v>0</v>
      </c>
      <c r="R41" s="2">
        <v>0</v>
      </c>
      <c r="S41" s="2">
        <f t="shared" si="3"/>
        <v>0</v>
      </c>
      <c r="T41" s="2">
        <f t="shared" si="8"/>
        <v>2923572.47</v>
      </c>
      <c r="U41" s="170">
        <f t="shared" si="4"/>
        <v>3.5200000000000002E-2</v>
      </c>
      <c r="V41" s="1">
        <f t="shared" si="9"/>
        <v>8575.81</v>
      </c>
      <c r="W41" s="2">
        <f t="shared" si="14"/>
        <v>240129.75999999995</v>
      </c>
      <c r="X41" s="2">
        <f t="shared" si="5"/>
        <v>2683442.7100000004</v>
      </c>
    </row>
    <row r="42" spans="1:24">
      <c r="A42" s="163">
        <v>202210</v>
      </c>
      <c r="B42" s="163">
        <v>36400</v>
      </c>
      <c r="C42" s="2">
        <v>0</v>
      </c>
      <c r="D42" s="2">
        <v>0</v>
      </c>
      <c r="E42" s="2">
        <v>0</v>
      </c>
      <c r="F42" s="2">
        <v>4748.74</v>
      </c>
      <c r="G42" s="2">
        <v>0</v>
      </c>
      <c r="H42" s="2">
        <v>0</v>
      </c>
      <c r="I42" s="2">
        <v>0</v>
      </c>
      <c r="J42" s="2">
        <f t="shared" si="0"/>
        <v>4748.74</v>
      </c>
      <c r="K42" s="2">
        <f t="shared" si="6"/>
        <v>26567222.749999996</v>
      </c>
      <c r="L42" s="170">
        <f t="shared" si="2"/>
        <v>3.5200000000000002E-2</v>
      </c>
      <c r="M42" s="1">
        <f t="shared" si="7"/>
        <v>77916.59</v>
      </c>
      <c r="N42" s="2">
        <f t="shared" si="13"/>
        <v>1743875.81</v>
      </c>
      <c r="O42" s="2">
        <f t="shared" si="12"/>
        <v>24823346.939999998</v>
      </c>
      <c r="Q42" s="2">
        <v>0</v>
      </c>
      <c r="R42" s="2">
        <v>0</v>
      </c>
      <c r="S42" s="2">
        <f t="shared" si="3"/>
        <v>0</v>
      </c>
      <c r="T42" s="2">
        <f t="shared" si="8"/>
        <v>2923572.47</v>
      </c>
      <c r="U42" s="170">
        <f t="shared" si="4"/>
        <v>3.5200000000000002E-2</v>
      </c>
      <c r="V42" s="1">
        <f t="shared" si="9"/>
        <v>8575.81</v>
      </c>
      <c r="W42" s="2">
        <f t="shared" si="14"/>
        <v>248705.56999999995</v>
      </c>
      <c r="X42" s="2">
        <f t="shared" si="5"/>
        <v>2674866.9000000004</v>
      </c>
    </row>
    <row r="43" spans="1:24">
      <c r="A43" s="163">
        <v>202211</v>
      </c>
      <c r="B43" s="163">
        <v>36400</v>
      </c>
      <c r="C43" s="2">
        <v>0</v>
      </c>
      <c r="D43" s="2">
        <v>0</v>
      </c>
      <c r="E43" s="2">
        <v>0</v>
      </c>
      <c r="F43" s="2">
        <v>3773.09</v>
      </c>
      <c r="G43" s="2">
        <v>0</v>
      </c>
      <c r="H43" s="2">
        <v>0</v>
      </c>
      <c r="I43" s="2">
        <v>0</v>
      </c>
      <c r="J43" s="2">
        <f t="shared" si="0"/>
        <v>3773.09</v>
      </c>
      <c r="K43" s="2">
        <f t="shared" si="6"/>
        <v>26570995.839999996</v>
      </c>
      <c r="L43" s="170">
        <f t="shared" si="2"/>
        <v>3.5200000000000002E-2</v>
      </c>
      <c r="M43" s="1">
        <f t="shared" si="7"/>
        <v>77930.52</v>
      </c>
      <c r="N43" s="2">
        <f t="shared" si="13"/>
        <v>1821806.33</v>
      </c>
      <c r="O43" s="2">
        <f t="shared" si="12"/>
        <v>24749189.509999998</v>
      </c>
      <c r="Q43" s="2">
        <v>0</v>
      </c>
      <c r="R43" s="2">
        <v>0</v>
      </c>
      <c r="S43" s="2">
        <f t="shared" si="3"/>
        <v>0</v>
      </c>
      <c r="T43" s="2">
        <f t="shared" si="8"/>
        <v>2923572.47</v>
      </c>
      <c r="U43" s="170">
        <f t="shared" si="4"/>
        <v>3.5200000000000002E-2</v>
      </c>
      <c r="V43" s="1">
        <f t="shared" si="9"/>
        <v>8575.81</v>
      </c>
      <c r="W43" s="2">
        <f t="shared" si="14"/>
        <v>257281.37999999995</v>
      </c>
      <c r="X43" s="2">
        <f t="shared" si="5"/>
        <v>2666291.0900000003</v>
      </c>
    </row>
    <row r="44" spans="1:24">
      <c r="A44" s="163">
        <v>202212</v>
      </c>
      <c r="B44" s="163">
        <v>36400</v>
      </c>
      <c r="C44" s="2">
        <v>0</v>
      </c>
      <c r="D44" s="2">
        <v>0</v>
      </c>
      <c r="E44" s="2">
        <v>0</v>
      </c>
      <c r="F44" s="2">
        <v>5462.88</v>
      </c>
      <c r="G44" s="2">
        <v>0</v>
      </c>
      <c r="H44" s="2">
        <v>0</v>
      </c>
      <c r="I44" s="2">
        <v>0</v>
      </c>
      <c r="J44" s="2">
        <f t="shared" si="0"/>
        <v>5462.88</v>
      </c>
      <c r="K44" s="2">
        <f t="shared" si="6"/>
        <v>26576458.719999995</v>
      </c>
      <c r="L44" s="170">
        <f t="shared" si="2"/>
        <v>3.5200000000000002E-2</v>
      </c>
      <c r="M44" s="1">
        <f t="shared" si="7"/>
        <v>77941.59</v>
      </c>
      <c r="N44" s="2">
        <f t="shared" si="13"/>
        <v>1899747.9200000002</v>
      </c>
      <c r="O44" s="2">
        <f t="shared" si="12"/>
        <v>24676710.799999993</v>
      </c>
      <c r="Q44" s="2">
        <v>0</v>
      </c>
      <c r="R44" s="2">
        <v>0</v>
      </c>
      <c r="S44" s="2">
        <f t="shared" si="3"/>
        <v>0</v>
      </c>
      <c r="T44" s="2">
        <f t="shared" si="8"/>
        <v>2923572.47</v>
      </c>
      <c r="U44" s="170">
        <f t="shared" si="4"/>
        <v>3.5200000000000002E-2</v>
      </c>
      <c r="V44" s="1">
        <f t="shared" si="9"/>
        <v>8575.81</v>
      </c>
      <c r="W44" s="2">
        <f t="shared" si="14"/>
        <v>265857.18999999994</v>
      </c>
      <c r="X44" s="2">
        <f t="shared" si="5"/>
        <v>2657715.2800000003</v>
      </c>
    </row>
    <row r="45" spans="1:24">
      <c r="A45" s="163">
        <v>202301</v>
      </c>
      <c r="B45" s="163">
        <v>36400</v>
      </c>
      <c r="C45" s="2">
        <v>0</v>
      </c>
      <c r="D45" s="2">
        <v>0</v>
      </c>
      <c r="E45" s="2">
        <v>0</v>
      </c>
      <c r="F45" s="2">
        <v>7167119.0100000007</v>
      </c>
      <c r="G45" s="2">
        <v>0</v>
      </c>
      <c r="H45" s="2">
        <v>0</v>
      </c>
      <c r="I45" s="2">
        <v>0</v>
      </c>
      <c r="J45" s="2">
        <f t="shared" si="0"/>
        <v>7167119.0100000007</v>
      </c>
      <c r="K45" s="2">
        <f t="shared" si="6"/>
        <v>33743577.729999997</v>
      </c>
      <c r="L45" s="171">
        <f t="shared" si="2"/>
        <v>3.5200000000000002E-2</v>
      </c>
      <c r="M45" s="5">
        <f t="shared" si="7"/>
        <v>77957.61</v>
      </c>
      <c r="N45" s="2">
        <f t="shared" si="13"/>
        <v>1977705.5300000003</v>
      </c>
      <c r="O45" s="2">
        <f t="shared" si="12"/>
        <v>31765872.199999996</v>
      </c>
      <c r="Q45" s="2">
        <v>0</v>
      </c>
      <c r="R45" s="2">
        <v>0</v>
      </c>
      <c r="S45" s="2">
        <f t="shared" si="3"/>
        <v>0</v>
      </c>
      <c r="T45" s="2">
        <f t="shared" si="8"/>
        <v>2923572.47</v>
      </c>
      <c r="U45" s="171">
        <f t="shared" si="4"/>
        <v>3.5200000000000002E-2</v>
      </c>
      <c r="V45" s="5">
        <f t="shared" si="9"/>
        <v>8575.81</v>
      </c>
      <c r="W45" s="2">
        <f t="shared" si="14"/>
        <v>274432.99999999994</v>
      </c>
      <c r="X45" s="2">
        <f t="shared" si="5"/>
        <v>2649139.4700000002</v>
      </c>
    </row>
    <row r="46" spans="1:24">
      <c r="A46" s="163">
        <v>202302</v>
      </c>
      <c r="B46" s="163">
        <v>36400</v>
      </c>
      <c r="C46" s="2">
        <v>0</v>
      </c>
      <c r="D46" s="2">
        <v>0</v>
      </c>
      <c r="E46" s="2">
        <v>0</v>
      </c>
      <c r="F46" s="2">
        <v>696432.22000000009</v>
      </c>
      <c r="G46" s="2">
        <v>0</v>
      </c>
      <c r="H46" s="2">
        <v>0</v>
      </c>
      <c r="I46" s="2">
        <v>0</v>
      </c>
      <c r="J46" s="2">
        <f t="shared" si="0"/>
        <v>696432.22000000009</v>
      </c>
      <c r="K46" s="2">
        <f t="shared" si="6"/>
        <v>34440009.949999996</v>
      </c>
      <c r="L46" s="171">
        <f t="shared" si="2"/>
        <v>3.5200000000000002E-2</v>
      </c>
      <c r="M46" s="5">
        <f t="shared" si="7"/>
        <v>98981.16</v>
      </c>
      <c r="N46" s="2">
        <f t="shared" si="13"/>
        <v>2076686.6900000002</v>
      </c>
      <c r="O46" s="2">
        <f t="shared" si="12"/>
        <v>32363323.259999994</v>
      </c>
      <c r="Q46" s="2">
        <v>0</v>
      </c>
      <c r="R46" s="2">
        <v>0</v>
      </c>
      <c r="S46" s="2">
        <f t="shared" si="3"/>
        <v>0</v>
      </c>
      <c r="T46" s="2">
        <f t="shared" si="8"/>
        <v>2923572.47</v>
      </c>
      <c r="U46" s="171">
        <f t="shared" si="4"/>
        <v>3.5200000000000002E-2</v>
      </c>
      <c r="V46" s="5">
        <f t="shared" si="9"/>
        <v>8575.81</v>
      </c>
      <c r="W46" s="2">
        <f t="shared" si="14"/>
        <v>283008.80999999994</v>
      </c>
      <c r="X46" s="2">
        <f t="shared" si="5"/>
        <v>2640563.66</v>
      </c>
    </row>
    <row r="47" spans="1:24">
      <c r="A47" s="163">
        <v>202303</v>
      </c>
      <c r="B47" s="163">
        <v>36400</v>
      </c>
      <c r="C47" s="2">
        <v>0</v>
      </c>
      <c r="D47" s="2">
        <v>0</v>
      </c>
      <c r="E47" s="2">
        <v>0</v>
      </c>
      <c r="F47" s="2">
        <v>-714290.11</v>
      </c>
      <c r="G47" s="2">
        <v>0</v>
      </c>
      <c r="H47" s="2">
        <v>0</v>
      </c>
      <c r="I47" s="2">
        <v>0</v>
      </c>
      <c r="J47" s="2">
        <f t="shared" si="0"/>
        <v>-714290.11</v>
      </c>
      <c r="K47" s="2">
        <f t="shared" si="6"/>
        <v>33725719.839999996</v>
      </c>
      <c r="L47" s="171">
        <f t="shared" si="2"/>
        <v>3.5200000000000002E-2</v>
      </c>
      <c r="M47" s="5">
        <f t="shared" si="7"/>
        <v>101024.03</v>
      </c>
      <c r="N47" s="2">
        <f t="shared" si="13"/>
        <v>2177710.7200000002</v>
      </c>
      <c r="O47" s="2">
        <f t="shared" si="12"/>
        <v>31548009.119999997</v>
      </c>
      <c r="Q47" s="2">
        <v>0</v>
      </c>
      <c r="R47" s="2">
        <v>0</v>
      </c>
      <c r="S47" s="2">
        <f t="shared" si="3"/>
        <v>0</v>
      </c>
      <c r="T47" s="2">
        <f t="shared" si="8"/>
        <v>2923572.47</v>
      </c>
      <c r="U47" s="171">
        <f t="shared" si="4"/>
        <v>3.5200000000000002E-2</v>
      </c>
      <c r="V47" s="5">
        <f t="shared" si="9"/>
        <v>8575.81</v>
      </c>
      <c r="W47" s="2">
        <f t="shared" si="14"/>
        <v>291584.61999999994</v>
      </c>
      <c r="X47" s="2">
        <f t="shared" si="5"/>
        <v>2631987.85</v>
      </c>
    </row>
    <row r="48" spans="1:24">
      <c r="A48" s="163">
        <v>202304</v>
      </c>
      <c r="B48" s="163">
        <v>36400</v>
      </c>
      <c r="C48" s="2">
        <v>0</v>
      </c>
      <c r="D48" s="2">
        <v>0</v>
      </c>
      <c r="E48" s="2">
        <v>0</v>
      </c>
      <c r="F48" s="2">
        <v>95752.18</v>
      </c>
      <c r="G48" s="2">
        <v>0</v>
      </c>
      <c r="H48" s="2">
        <v>0</v>
      </c>
      <c r="I48" s="2">
        <v>0</v>
      </c>
      <c r="J48" s="2">
        <f t="shared" si="0"/>
        <v>95752.18</v>
      </c>
      <c r="K48" s="2">
        <f t="shared" si="6"/>
        <v>33821472.019999996</v>
      </c>
      <c r="L48" s="171">
        <f t="shared" si="2"/>
        <v>3.5200000000000002E-2</v>
      </c>
      <c r="M48" s="5">
        <f t="shared" si="7"/>
        <v>98928.78</v>
      </c>
      <c r="N48" s="2">
        <f t="shared" si="13"/>
        <v>2276639.5</v>
      </c>
      <c r="O48" s="2">
        <f t="shared" si="12"/>
        <v>31544832.519999996</v>
      </c>
      <c r="Q48" s="2">
        <v>0</v>
      </c>
      <c r="R48" s="2">
        <v>0</v>
      </c>
      <c r="S48" s="2">
        <f t="shared" si="3"/>
        <v>0</v>
      </c>
      <c r="T48" s="2">
        <f t="shared" si="8"/>
        <v>2923572.47</v>
      </c>
      <c r="U48" s="171">
        <f t="shared" si="4"/>
        <v>3.5200000000000002E-2</v>
      </c>
      <c r="V48" s="5">
        <f t="shared" si="9"/>
        <v>8575.81</v>
      </c>
      <c r="W48" s="2">
        <f t="shared" si="14"/>
        <v>300160.42999999993</v>
      </c>
      <c r="X48" s="2">
        <f t="shared" si="5"/>
        <v>2623412.04</v>
      </c>
    </row>
    <row r="49" spans="1:24">
      <c r="A49" s="163">
        <v>202305</v>
      </c>
      <c r="B49" s="163">
        <v>36400</v>
      </c>
      <c r="C49" s="2">
        <v>0</v>
      </c>
      <c r="D49" s="2">
        <v>0</v>
      </c>
      <c r="E49" s="2">
        <v>0</v>
      </c>
      <c r="F49" s="2">
        <v>-646254.22</v>
      </c>
      <c r="G49" s="2">
        <v>0</v>
      </c>
      <c r="H49" s="2">
        <v>0</v>
      </c>
      <c r="I49" s="2">
        <v>0</v>
      </c>
      <c r="J49" s="2">
        <f t="shared" si="0"/>
        <v>-646254.22</v>
      </c>
      <c r="K49" s="2">
        <f t="shared" si="6"/>
        <v>33175217.799999997</v>
      </c>
      <c r="L49" s="171">
        <f t="shared" si="2"/>
        <v>3.5200000000000002E-2</v>
      </c>
      <c r="M49" s="5">
        <f t="shared" si="7"/>
        <v>99209.65</v>
      </c>
      <c r="N49" s="2">
        <f t="shared" si="13"/>
        <v>2375849.15</v>
      </c>
      <c r="O49" s="2">
        <f t="shared" si="12"/>
        <v>30799368.649999999</v>
      </c>
      <c r="Q49" s="2">
        <v>0</v>
      </c>
      <c r="R49" s="2">
        <v>0</v>
      </c>
      <c r="S49" s="2">
        <f t="shared" si="3"/>
        <v>0</v>
      </c>
      <c r="T49" s="2">
        <f t="shared" si="8"/>
        <v>2923572.47</v>
      </c>
      <c r="U49" s="171">
        <f t="shared" si="4"/>
        <v>3.5200000000000002E-2</v>
      </c>
      <c r="V49" s="5">
        <f t="shared" si="9"/>
        <v>8575.81</v>
      </c>
      <c r="W49" s="2">
        <f t="shared" si="14"/>
        <v>308736.23999999993</v>
      </c>
      <c r="X49" s="2">
        <f t="shared" si="5"/>
        <v>2614836.2300000004</v>
      </c>
    </row>
    <row r="50" spans="1:24">
      <c r="A50" s="163">
        <v>202306</v>
      </c>
      <c r="B50" s="163">
        <v>36400</v>
      </c>
      <c r="C50" s="2">
        <v>0</v>
      </c>
      <c r="D50" s="2">
        <v>0</v>
      </c>
      <c r="E50" s="2">
        <v>0</v>
      </c>
      <c r="F50" s="2">
        <v>978.53</v>
      </c>
      <c r="G50" s="2">
        <v>0</v>
      </c>
      <c r="H50" s="2">
        <v>0</v>
      </c>
      <c r="I50" s="2">
        <v>0</v>
      </c>
      <c r="J50" s="2">
        <f t="shared" si="0"/>
        <v>978.53</v>
      </c>
      <c r="K50" s="2">
        <f t="shared" si="6"/>
        <v>33176196.329999998</v>
      </c>
      <c r="L50" s="171">
        <f t="shared" si="2"/>
        <v>3.5200000000000002E-2</v>
      </c>
      <c r="M50" s="5">
        <f t="shared" si="7"/>
        <v>97313.97</v>
      </c>
      <c r="N50" s="2">
        <f t="shared" si="13"/>
        <v>2473163.12</v>
      </c>
      <c r="O50" s="2">
        <f t="shared" si="12"/>
        <v>30703033.209999997</v>
      </c>
      <c r="Q50" s="2">
        <v>0</v>
      </c>
      <c r="R50" s="2">
        <v>0</v>
      </c>
      <c r="S50" s="2">
        <f t="shared" si="3"/>
        <v>0</v>
      </c>
      <c r="T50" s="2">
        <f t="shared" si="8"/>
        <v>2923572.47</v>
      </c>
      <c r="U50" s="171">
        <f t="shared" si="4"/>
        <v>3.5200000000000002E-2</v>
      </c>
      <c r="V50" s="5">
        <f t="shared" si="9"/>
        <v>8575.81</v>
      </c>
      <c r="W50" s="2">
        <f t="shared" si="14"/>
        <v>317312.04999999993</v>
      </c>
      <c r="X50" s="2">
        <f t="shared" si="5"/>
        <v>2606260.4200000004</v>
      </c>
    </row>
    <row r="51" spans="1:24">
      <c r="A51" s="163">
        <v>202307</v>
      </c>
      <c r="B51" s="163">
        <v>36400</v>
      </c>
      <c r="C51" s="2">
        <v>0</v>
      </c>
      <c r="D51" s="2">
        <v>0</v>
      </c>
      <c r="E51" s="2">
        <v>0</v>
      </c>
      <c r="F51" s="2">
        <v>531.39</v>
      </c>
      <c r="G51" s="2">
        <v>0</v>
      </c>
      <c r="H51" s="2">
        <v>0</v>
      </c>
      <c r="I51" s="2">
        <v>0</v>
      </c>
      <c r="J51" s="2">
        <f t="shared" si="0"/>
        <v>531.39</v>
      </c>
      <c r="K51" s="2">
        <f t="shared" si="6"/>
        <v>33176727.719999999</v>
      </c>
      <c r="L51" s="171">
        <f t="shared" si="2"/>
        <v>3.5200000000000002E-2</v>
      </c>
      <c r="M51" s="5">
        <f t="shared" si="7"/>
        <v>97316.84</v>
      </c>
      <c r="N51" s="2">
        <f t="shared" si="13"/>
        <v>2570479.96</v>
      </c>
      <c r="O51" s="2">
        <f t="shared" si="12"/>
        <v>30606247.759999998</v>
      </c>
      <c r="Q51" s="2">
        <v>0</v>
      </c>
      <c r="R51" s="2">
        <v>0</v>
      </c>
      <c r="S51" s="2">
        <f t="shared" si="3"/>
        <v>0</v>
      </c>
      <c r="T51" s="2">
        <f t="shared" si="8"/>
        <v>2923572.47</v>
      </c>
      <c r="U51" s="171">
        <f t="shared" si="4"/>
        <v>3.5200000000000002E-2</v>
      </c>
      <c r="V51" s="5">
        <f t="shared" si="9"/>
        <v>8575.81</v>
      </c>
      <c r="W51" s="2">
        <f t="shared" si="14"/>
        <v>325887.85999999993</v>
      </c>
      <c r="X51" s="2">
        <f t="shared" si="5"/>
        <v>2597684.6100000003</v>
      </c>
    </row>
    <row r="52" spans="1:24">
      <c r="A52" s="163">
        <v>202308</v>
      </c>
      <c r="B52" s="163">
        <v>36400</v>
      </c>
      <c r="C52" s="2">
        <v>0</v>
      </c>
      <c r="D52" s="2">
        <v>0</v>
      </c>
      <c r="E52" s="2">
        <v>0</v>
      </c>
      <c r="F52" s="2">
        <v>358.56</v>
      </c>
      <c r="G52" s="2">
        <v>0</v>
      </c>
      <c r="H52" s="2">
        <v>0</v>
      </c>
      <c r="I52" s="2">
        <v>0</v>
      </c>
      <c r="J52" s="2">
        <f t="shared" si="0"/>
        <v>358.56</v>
      </c>
      <c r="K52" s="2">
        <f t="shared" si="6"/>
        <v>33177086.279999997</v>
      </c>
      <c r="L52" s="171">
        <f t="shared" si="2"/>
        <v>3.5200000000000002E-2</v>
      </c>
      <c r="M52" s="5">
        <f t="shared" si="7"/>
        <v>97318.399999999994</v>
      </c>
      <c r="N52" s="2">
        <f t="shared" si="13"/>
        <v>2667798.36</v>
      </c>
      <c r="O52" s="2">
        <f t="shared" si="12"/>
        <v>30509287.919999998</v>
      </c>
      <c r="Q52" s="2">
        <v>0</v>
      </c>
      <c r="R52" s="2">
        <v>0</v>
      </c>
      <c r="S52" s="2">
        <f t="shared" si="3"/>
        <v>0</v>
      </c>
      <c r="T52" s="2">
        <f t="shared" si="8"/>
        <v>2923572.47</v>
      </c>
      <c r="U52" s="171">
        <f t="shared" si="4"/>
        <v>3.5200000000000002E-2</v>
      </c>
      <c r="V52" s="5">
        <f t="shared" si="9"/>
        <v>8575.81</v>
      </c>
      <c r="W52" s="2">
        <f t="shared" si="14"/>
        <v>334463.66999999993</v>
      </c>
      <c r="X52" s="2">
        <f t="shared" si="5"/>
        <v>2589108.8000000003</v>
      </c>
    </row>
    <row r="53" spans="1:24">
      <c r="A53" s="163">
        <v>202309</v>
      </c>
      <c r="B53" s="163">
        <v>36400</v>
      </c>
      <c r="C53" s="2">
        <v>0</v>
      </c>
      <c r="D53" s="2">
        <v>0</v>
      </c>
      <c r="E53" s="2">
        <v>0</v>
      </c>
      <c r="F53" s="2">
        <v>-31608.48</v>
      </c>
      <c r="G53" s="2">
        <v>0</v>
      </c>
      <c r="H53" s="2">
        <v>0</v>
      </c>
      <c r="I53" s="2">
        <v>0</v>
      </c>
      <c r="J53" s="2">
        <f t="shared" si="0"/>
        <v>-31608.48</v>
      </c>
      <c r="K53" s="2">
        <f t="shared" si="6"/>
        <v>33145477.799999997</v>
      </c>
      <c r="L53" s="171">
        <f t="shared" si="2"/>
        <v>3.5200000000000002E-2</v>
      </c>
      <c r="M53" s="5">
        <f t="shared" si="7"/>
        <v>97319.45</v>
      </c>
      <c r="N53" s="2">
        <f t="shared" si="13"/>
        <v>2765117.81</v>
      </c>
      <c r="O53" s="2">
        <f t="shared" si="12"/>
        <v>30380359.989999998</v>
      </c>
      <c r="Q53" s="2">
        <v>0</v>
      </c>
      <c r="R53" s="2">
        <v>0</v>
      </c>
      <c r="S53" s="2">
        <f t="shared" si="3"/>
        <v>0</v>
      </c>
      <c r="T53" s="2">
        <f t="shared" si="8"/>
        <v>2923572.47</v>
      </c>
      <c r="U53" s="171">
        <f t="shared" si="4"/>
        <v>3.5200000000000002E-2</v>
      </c>
      <c r="V53" s="5">
        <f t="shared" si="9"/>
        <v>8575.81</v>
      </c>
      <c r="W53" s="2">
        <f t="shared" si="14"/>
        <v>343039.47999999992</v>
      </c>
      <c r="X53" s="2">
        <f t="shared" si="5"/>
        <v>2580532.9900000002</v>
      </c>
    </row>
    <row r="54" spans="1:24">
      <c r="A54" s="163">
        <v>202310</v>
      </c>
      <c r="B54" s="163">
        <v>36400</v>
      </c>
      <c r="C54" s="2">
        <v>0</v>
      </c>
      <c r="D54" s="2">
        <v>0</v>
      </c>
      <c r="E54" s="2">
        <v>0</v>
      </c>
      <c r="F54" s="2">
        <v>403.3</v>
      </c>
      <c r="G54" s="2">
        <v>0</v>
      </c>
      <c r="H54" s="2">
        <v>0</v>
      </c>
      <c r="I54" s="2">
        <v>0</v>
      </c>
      <c r="J54" s="2">
        <f t="shared" si="0"/>
        <v>403.3</v>
      </c>
      <c r="K54" s="2">
        <f t="shared" si="6"/>
        <v>33145881.099999998</v>
      </c>
      <c r="L54" s="171">
        <f t="shared" si="2"/>
        <v>3.5200000000000002E-2</v>
      </c>
      <c r="M54" s="5">
        <f t="shared" si="7"/>
        <v>97226.73</v>
      </c>
      <c r="N54" s="2">
        <f t="shared" si="13"/>
        <v>2862344.54</v>
      </c>
      <c r="O54" s="2">
        <f t="shared" si="12"/>
        <v>30283536.559999999</v>
      </c>
      <c r="Q54" s="2">
        <v>0</v>
      </c>
      <c r="R54" s="2">
        <v>0</v>
      </c>
      <c r="S54" s="2">
        <f t="shared" si="3"/>
        <v>0</v>
      </c>
      <c r="T54" s="2">
        <f t="shared" si="8"/>
        <v>2923572.47</v>
      </c>
      <c r="U54" s="171">
        <f t="shared" si="4"/>
        <v>3.5200000000000002E-2</v>
      </c>
      <c r="V54" s="5">
        <f t="shared" si="9"/>
        <v>8575.81</v>
      </c>
      <c r="W54" s="2">
        <f t="shared" si="14"/>
        <v>351615.28999999992</v>
      </c>
      <c r="X54" s="2">
        <f t="shared" si="5"/>
        <v>2571957.1800000002</v>
      </c>
    </row>
    <row r="55" spans="1:24">
      <c r="A55" s="163">
        <v>202311</v>
      </c>
      <c r="B55" s="163">
        <v>36400</v>
      </c>
      <c r="C55" s="2">
        <v>0</v>
      </c>
      <c r="D55" s="2">
        <v>0</v>
      </c>
      <c r="E55" s="2">
        <v>0</v>
      </c>
      <c r="F55" s="2">
        <v>667.18</v>
      </c>
      <c r="G55" s="2">
        <v>0</v>
      </c>
      <c r="H55" s="2">
        <v>0</v>
      </c>
      <c r="I55" s="2">
        <v>0</v>
      </c>
      <c r="J55" s="2">
        <f t="shared" si="0"/>
        <v>667.18</v>
      </c>
      <c r="K55" s="2">
        <f t="shared" si="6"/>
        <v>33146548.279999997</v>
      </c>
      <c r="L55" s="171">
        <f t="shared" si="2"/>
        <v>3.5200000000000002E-2</v>
      </c>
      <c r="M55" s="5">
        <f t="shared" si="7"/>
        <v>97227.92</v>
      </c>
      <c r="N55" s="2">
        <f t="shared" si="13"/>
        <v>2959572.46</v>
      </c>
      <c r="O55" s="2">
        <f t="shared" si="12"/>
        <v>30186975.819999997</v>
      </c>
      <c r="Q55" s="2">
        <v>0</v>
      </c>
      <c r="R55" s="2">
        <v>0</v>
      </c>
      <c r="S55" s="2">
        <f t="shared" si="3"/>
        <v>0</v>
      </c>
      <c r="T55" s="2">
        <f t="shared" si="8"/>
        <v>2923572.47</v>
      </c>
      <c r="U55" s="171">
        <f t="shared" si="4"/>
        <v>3.5200000000000002E-2</v>
      </c>
      <c r="V55" s="5">
        <f t="shared" si="9"/>
        <v>8575.81</v>
      </c>
      <c r="W55" s="2">
        <f t="shared" si="14"/>
        <v>360191.09999999992</v>
      </c>
      <c r="X55" s="2">
        <f t="shared" si="5"/>
        <v>2563381.37</v>
      </c>
    </row>
    <row r="56" spans="1:24">
      <c r="A56" s="163">
        <v>202312</v>
      </c>
      <c r="B56" s="163">
        <v>36400</v>
      </c>
      <c r="C56" s="2">
        <v>0</v>
      </c>
      <c r="D56" s="2">
        <v>0</v>
      </c>
      <c r="E56" s="2">
        <v>0</v>
      </c>
      <c r="F56" s="2">
        <v>914.52</v>
      </c>
      <c r="G56" s="2">
        <v>0</v>
      </c>
      <c r="H56" s="2">
        <v>0</v>
      </c>
      <c r="I56" s="2">
        <v>0</v>
      </c>
      <c r="J56" s="2">
        <f t="shared" si="0"/>
        <v>914.52</v>
      </c>
      <c r="K56" s="2">
        <f t="shared" si="6"/>
        <v>33147462.799999997</v>
      </c>
      <c r="L56" s="171">
        <f t="shared" si="2"/>
        <v>3.5200000000000002E-2</v>
      </c>
      <c r="M56" s="5">
        <f t="shared" si="7"/>
        <v>97229.87</v>
      </c>
      <c r="N56" s="2">
        <f t="shared" si="13"/>
        <v>3056802.33</v>
      </c>
      <c r="O56" s="2">
        <f t="shared" si="12"/>
        <v>30090660.469999999</v>
      </c>
      <c r="Q56" s="2">
        <v>0</v>
      </c>
      <c r="R56" s="2">
        <v>0</v>
      </c>
      <c r="S56" s="2">
        <f t="shared" si="3"/>
        <v>0</v>
      </c>
      <c r="T56" s="2">
        <f t="shared" si="8"/>
        <v>2923572.47</v>
      </c>
      <c r="U56" s="171">
        <f t="shared" si="4"/>
        <v>3.5200000000000002E-2</v>
      </c>
      <c r="V56" s="5">
        <f t="shared" si="9"/>
        <v>8575.81</v>
      </c>
      <c r="W56" s="2">
        <f t="shared" si="14"/>
        <v>368766.90999999992</v>
      </c>
      <c r="X56" s="2">
        <f t="shared" si="5"/>
        <v>2554805.5600000005</v>
      </c>
    </row>
    <row r="57" spans="1:24">
      <c r="A57" s="163">
        <v>202401</v>
      </c>
      <c r="B57" s="163">
        <v>36400</v>
      </c>
      <c r="C57" s="2">
        <v>0</v>
      </c>
      <c r="D57" s="2">
        <v>0</v>
      </c>
      <c r="E57" s="2">
        <v>0</v>
      </c>
      <c r="F57" s="2">
        <v>410.96</v>
      </c>
      <c r="G57" s="2">
        <v>6726022.79</v>
      </c>
      <c r="H57" s="2">
        <v>0</v>
      </c>
      <c r="I57" s="2">
        <v>0</v>
      </c>
      <c r="J57" s="2">
        <f t="shared" si="0"/>
        <v>6726433.75</v>
      </c>
      <c r="K57" s="2">
        <f t="shared" si="6"/>
        <v>39873896.549999997</v>
      </c>
      <c r="L57" s="171">
        <f t="shared" si="2"/>
        <v>3.5200000000000002E-2</v>
      </c>
      <c r="M57" s="5">
        <f t="shared" si="7"/>
        <v>97232.56</v>
      </c>
      <c r="N57" s="2">
        <f t="shared" si="13"/>
        <v>3154034.89</v>
      </c>
      <c r="O57" s="2">
        <f t="shared" si="12"/>
        <v>36719861.659999996</v>
      </c>
      <c r="Q57" s="2">
        <v>0</v>
      </c>
      <c r="R57" s="2">
        <v>0</v>
      </c>
      <c r="S57" s="2">
        <f t="shared" si="3"/>
        <v>0</v>
      </c>
      <c r="T57" s="2">
        <f t="shared" si="8"/>
        <v>2923572.47</v>
      </c>
      <c r="U57" s="171">
        <f t="shared" si="4"/>
        <v>3.5200000000000002E-2</v>
      </c>
      <c r="V57" s="5">
        <f t="shared" si="9"/>
        <v>8575.81</v>
      </c>
      <c r="W57" s="2">
        <f t="shared" si="14"/>
        <v>377342.71999999991</v>
      </c>
      <c r="X57" s="2">
        <f t="shared" si="5"/>
        <v>2546229.7500000005</v>
      </c>
    </row>
    <row r="58" spans="1:24">
      <c r="A58" s="163">
        <v>202402</v>
      </c>
      <c r="B58" s="163">
        <v>36400</v>
      </c>
      <c r="C58" s="2">
        <v>0</v>
      </c>
      <c r="D58" s="2">
        <v>0</v>
      </c>
      <c r="E58" s="2">
        <v>0</v>
      </c>
      <c r="F58" s="2">
        <v>606.16999999999996</v>
      </c>
      <c r="G58" s="2">
        <v>47404.82</v>
      </c>
      <c r="H58" s="2">
        <v>755709.8</v>
      </c>
      <c r="I58" s="2">
        <v>0</v>
      </c>
      <c r="J58" s="2">
        <f t="shared" si="0"/>
        <v>803720.79</v>
      </c>
      <c r="K58" s="2">
        <f t="shared" si="6"/>
        <v>40677617.339999996</v>
      </c>
      <c r="L58" s="171">
        <f t="shared" si="2"/>
        <v>3.5200000000000002E-2</v>
      </c>
      <c r="M58" s="5">
        <f t="shared" si="7"/>
        <v>116963.43</v>
      </c>
      <c r="N58" s="2">
        <f t="shared" si="13"/>
        <v>3270998.3200000003</v>
      </c>
      <c r="O58" s="2">
        <f t="shared" si="12"/>
        <v>37406619.019999996</v>
      </c>
      <c r="Q58" s="2">
        <v>0</v>
      </c>
      <c r="R58" s="2">
        <v>0</v>
      </c>
      <c r="S58" s="2">
        <f t="shared" si="3"/>
        <v>0</v>
      </c>
      <c r="T58" s="2">
        <f t="shared" si="8"/>
        <v>2923572.47</v>
      </c>
      <c r="U58" s="171">
        <f t="shared" si="4"/>
        <v>3.5200000000000002E-2</v>
      </c>
      <c r="V58" s="5">
        <f t="shared" si="9"/>
        <v>8575.81</v>
      </c>
      <c r="W58" s="2">
        <f t="shared" si="14"/>
        <v>385918.52999999991</v>
      </c>
      <c r="X58" s="2">
        <f t="shared" si="5"/>
        <v>2537653.9400000004</v>
      </c>
    </row>
    <row r="59" spans="1:24">
      <c r="A59" s="163">
        <v>202403</v>
      </c>
      <c r="B59" s="163">
        <v>36400</v>
      </c>
      <c r="C59" s="2">
        <v>0</v>
      </c>
      <c r="D59" s="2">
        <v>0</v>
      </c>
      <c r="E59" s="2">
        <v>0</v>
      </c>
      <c r="F59" s="2">
        <v>621.13</v>
      </c>
      <c r="G59" s="2">
        <v>-30654.57</v>
      </c>
      <c r="H59" s="2">
        <v>145626.01999999999</v>
      </c>
      <c r="I59" s="2">
        <v>0</v>
      </c>
      <c r="J59" s="2">
        <f t="shared" si="0"/>
        <v>115592.57999999999</v>
      </c>
      <c r="K59" s="2">
        <f t="shared" si="6"/>
        <v>40793209.919999994</v>
      </c>
      <c r="L59" s="171">
        <f t="shared" si="2"/>
        <v>3.5200000000000002E-2</v>
      </c>
      <c r="M59" s="5">
        <f t="shared" si="7"/>
        <v>119321.01</v>
      </c>
      <c r="N59" s="2">
        <f t="shared" si="13"/>
        <v>3390319.33</v>
      </c>
      <c r="O59" s="2">
        <f t="shared" si="12"/>
        <v>37402890.589999996</v>
      </c>
      <c r="Q59" s="2">
        <v>0</v>
      </c>
      <c r="R59" s="2">
        <v>0</v>
      </c>
      <c r="S59" s="2">
        <f t="shared" si="3"/>
        <v>0</v>
      </c>
      <c r="T59" s="2">
        <f t="shared" si="8"/>
        <v>2923572.47</v>
      </c>
      <c r="U59" s="171">
        <f t="shared" si="4"/>
        <v>3.5200000000000002E-2</v>
      </c>
      <c r="V59" s="5">
        <f t="shared" si="9"/>
        <v>8575.81</v>
      </c>
      <c r="W59" s="2">
        <f t="shared" si="14"/>
        <v>394494.33999999991</v>
      </c>
      <c r="X59" s="2">
        <f t="shared" si="5"/>
        <v>2529078.1300000004</v>
      </c>
    </row>
    <row r="60" spans="1:24">
      <c r="A60" s="163">
        <v>202404</v>
      </c>
      <c r="B60" s="163">
        <v>36400</v>
      </c>
      <c r="C60" s="2">
        <v>0</v>
      </c>
      <c r="D60" s="2">
        <v>0</v>
      </c>
      <c r="E60" s="2">
        <v>0</v>
      </c>
      <c r="F60" s="2">
        <v>570.4</v>
      </c>
      <c r="G60" s="2">
        <v>-32552.23</v>
      </c>
      <c r="H60" s="2">
        <v>-13302.83</v>
      </c>
      <c r="I60" s="2">
        <v>0</v>
      </c>
      <c r="J60" s="2">
        <f t="shared" si="0"/>
        <v>-45284.659999999996</v>
      </c>
      <c r="K60" s="2">
        <f t="shared" si="6"/>
        <v>40747925.259999998</v>
      </c>
      <c r="L60" s="171">
        <f t="shared" si="2"/>
        <v>3.5200000000000002E-2</v>
      </c>
      <c r="M60" s="5">
        <f t="shared" si="7"/>
        <v>119660.08</v>
      </c>
      <c r="N60" s="2">
        <f t="shared" si="13"/>
        <v>3509979.41</v>
      </c>
      <c r="O60" s="2">
        <f t="shared" si="12"/>
        <v>37237945.849999994</v>
      </c>
      <c r="Q60" s="2">
        <v>0</v>
      </c>
      <c r="R60" s="2">
        <v>0</v>
      </c>
      <c r="S60" s="2">
        <f t="shared" si="3"/>
        <v>0</v>
      </c>
      <c r="T60" s="2">
        <f t="shared" si="8"/>
        <v>2923572.47</v>
      </c>
      <c r="U60" s="171">
        <f t="shared" si="4"/>
        <v>3.5200000000000002E-2</v>
      </c>
      <c r="V60" s="5">
        <f t="shared" si="9"/>
        <v>8575.81</v>
      </c>
      <c r="W60" s="2">
        <f t="shared" si="14"/>
        <v>403070.14999999991</v>
      </c>
      <c r="X60" s="2">
        <f t="shared" si="5"/>
        <v>2520502.3200000003</v>
      </c>
    </row>
    <row r="61" spans="1:24">
      <c r="A61" s="163">
        <v>202405</v>
      </c>
      <c r="B61" s="163">
        <v>36400</v>
      </c>
      <c r="C61" s="2">
        <v>0</v>
      </c>
      <c r="D61" s="2">
        <v>0</v>
      </c>
      <c r="E61" s="2">
        <v>0</v>
      </c>
      <c r="F61" s="2">
        <v>835.19</v>
      </c>
      <c r="G61" s="2">
        <v>56864.9</v>
      </c>
      <c r="H61" s="2">
        <v>226015.99</v>
      </c>
      <c r="I61" s="2">
        <v>0</v>
      </c>
      <c r="J61" s="2">
        <f t="shared" si="0"/>
        <v>283716.08</v>
      </c>
      <c r="K61" s="2">
        <f t="shared" si="6"/>
        <v>41031641.339999996</v>
      </c>
      <c r="L61" s="171">
        <f t="shared" si="2"/>
        <v>3.5200000000000002E-2</v>
      </c>
      <c r="M61" s="5">
        <f t="shared" si="7"/>
        <v>119527.25</v>
      </c>
      <c r="N61" s="2">
        <f t="shared" si="13"/>
        <v>3629506.66</v>
      </c>
      <c r="O61" s="2">
        <f t="shared" si="12"/>
        <v>37402134.679999992</v>
      </c>
      <c r="Q61" s="2">
        <v>0</v>
      </c>
      <c r="R61" s="2">
        <v>0</v>
      </c>
      <c r="S61" s="2">
        <f t="shared" si="3"/>
        <v>0</v>
      </c>
      <c r="T61" s="2">
        <f t="shared" si="8"/>
        <v>2923572.47</v>
      </c>
      <c r="U61" s="171">
        <f t="shared" si="4"/>
        <v>3.5200000000000002E-2</v>
      </c>
      <c r="V61" s="5">
        <f t="shared" si="9"/>
        <v>8575.81</v>
      </c>
      <c r="W61" s="2">
        <f t="shared" si="14"/>
        <v>411645.9599999999</v>
      </c>
      <c r="X61" s="2">
        <f t="shared" si="5"/>
        <v>2511926.5100000002</v>
      </c>
    </row>
    <row r="62" spans="1:24">
      <c r="A62" s="163">
        <v>202406</v>
      </c>
      <c r="B62" s="163">
        <v>36400</v>
      </c>
      <c r="C62" s="2">
        <v>0</v>
      </c>
      <c r="D62" s="2">
        <v>0</v>
      </c>
      <c r="E62" s="2">
        <v>0</v>
      </c>
      <c r="F62" s="2">
        <v>664.4</v>
      </c>
      <c r="G62" s="2">
        <v>-50998.45</v>
      </c>
      <c r="H62" s="2">
        <v>353400.36</v>
      </c>
      <c r="I62" s="2">
        <v>0</v>
      </c>
      <c r="J62" s="2">
        <f t="shared" si="0"/>
        <v>303066.31</v>
      </c>
      <c r="K62" s="2">
        <f t="shared" si="6"/>
        <v>41334707.649999999</v>
      </c>
      <c r="L62" s="171">
        <f t="shared" si="2"/>
        <v>3.5200000000000002E-2</v>
      </c>
      <c r="M62" s="5">
        <f t="shared" si="7"/>
        <v>120359.48</v>
      </c>
      <c r="N62" s="2">
        <f t="shared" si="13"/>
        <v>3749866.14</v>
      </c>
      <c r="O62" s="2">
        <f t="shared" si="12"/>
        <v>37584841.509999998</v>
      </c>
      <c r="Q62" s="2">
        <v>0</v>
      </c>
      <c r="R62" s="2">
        <v>0</v>
      </c>
      <c r="S62" s="2">
        <f t="shared" si="3"/>
        <v>0</v>
      </c>
      <c r="T62" s="2">
        <f t="shared" si="8"/>
        <v>2923572.47</v>
      </c>
      <c r="U62" s="171">
        <f t="shared" si="4"/>
        <v>3.5200000000000002E-2</v>
      </c>
      <c r="V62" s="5">
        <f t="shared" si="9"/>
        <v>8575.81</v>
      </c>
      <c r="W62" s="2">
        <f t="shared" si="14"/>
        <v>420221.7699999999</v>
      </c>
      <c r="X62" s="2">
        <f t="shared" si="5"/>
        <v>2503350.7000000002</v>
      </c>
    </row>
    <row r="63" spans="1:24">
      <c r="A63" s="163">
        <v>202407</v>
      </c>
      <c r="B63" s="163">
        <v>36400</v>
      </c>
      <c r="C63" s="2">
        <v>0</v>
      </c>
      <c r="D63" s="2">
        <v>0</v>
      </c>
      <c r="E63" s="2">
        <v>0</v>
      </c>
      <c r="F63" s="2">
        <v>0</v>
      </c>
      <c r="G63" s="2">
        <v>-604.6</v>
      </c>
      <c r="H63" s="2">
        <v>260421.33</v>
      </c>
      <c r="I63" s="2">
        <v>0</v>
      </c>
      <c r="J63" s="2">
        <f t="shared" si="0"/>
        <v>259816.72999999998</v>
      </c>
      <c r="K63" s="2">
        <f t="shared" si="6"/>
        <v>41594524.379999995</v>
      </c>
      <c r="L63" s="171">
        <f t="shared" si="2"/>
        <v>3.5200000000000002E-2</v>
      </c>
      <c r="M63" s="5">
        <f t="shared" si="7"/>
        <v>121248.48</v>
      </c>
      <c r="N63" s="2">
        <f t="shared" si="13"/>
        <v>3871114.62</v>
      </c>
      <c r="O63" s="2">
        <f t="shared" si="12"/>
        <v>37723409.759999998</v>
      </c>
      <c r="Q63" s="2">
        <v>0</v>
      </c>
      <c r="R63" s="2">
        <v>0</v>
      </c>
      <c r="S63" s="2">
        <f t="shared" si="3"/>
        <v>0</v>
      </c>
      <c r="T63" s="2">
        <f t="shared" si="8"/>
        <v>2923572.47</v>
      </c>
      <c r="U63" s="171">
        <f t="shared" si="4"/>
        <v>3.5200000000000002E-2</v>
      </c>
      <c r="V63" s="5">
        <f t="shared" si="9"/>
        <v>8575.81</v>
      </c>
      <c r="W63" s="2">
        <f t="shared" si="14"/>
        <v>428797.5799999999</v>
      </c>
      <c r="X63" s="2">
        <f t="shared" si="5"/>
        <v>2494774.89</v>
      </c>
    </row>
    <row r="64" spans="1:24">
      <c r="A64" s="163">
        <v>202408</v>
      </c>
      <c r="B64" s="163">
        <v>36400</v>
      </c>
      <c r="C64" s="2">
        <v>0</v>
      </c>
      <c r="D64" s="2">
        <v>0</v>
      </c>
      <c r="E64" s="2">
        <v>0</v>
      </c>
      <c r="F64" s="2">
        <v>0</v>
      </c>
      <c r="G64" s="2">
        <v>18344.349999999999</v>
      </c>
      <c r="H64" s="2">
        <v>474290.94</v>
      </c>
      <c r="I64" s="2">
        <v>0</v>
      </c>
      <c r="J64" s="2">
        <f t="shared" si="0"/>
        <v>492635.29</v>
      </c>
      <c r="K64" s="2">
        <f t="shared" si="6"/>
        <v>42087159.669999994</v>
      </c>
      <c r="L64" s="171">
        <f t="shared" si="2"/>
        <v>3.5200000000000002E-2</v>
      </c>
      <c r="M64" s="5">
        <f t="shared" si="7"/>
        <v>122010.6</v>
      </c>
      <c r="N64" s="2">
        <f t="shared" si="13"/>
        <v>3993125.22</v>
      </c>
      <c r="O64" s="2">
        <f t="shared" si="12"/>
        <v>38094034.449999996</v>
      </c>
      <c r="Q64" s="2">
        <v>0</v>
      </c>
      <c r="R64" s="2">
        <v>0</v>
      </c>
      <c r="S64" s="2">
        <f t="shared" si="3"/>
        <v>0</v>
      </c>
      <c r="T64" s="2">
        <f t="shared" si="8"/>
        <v>2923572.47</v>
      </c>
      <c r="U64" s="171">
        <f t="shared" si="4"/>
        <v>3.5200000000000002E-2</v>
      </c>
      <c r="V64" s="5">
        <f t="shared" si="9"/>
        <v>8575.81</v>
      </c>
      <c r="W64" s="2">
        <f t="shared" si="14"/>
        <v>437373.3899999999</v>
      </c>
      <c r="X64" s="2">
        <f t="shared" si="5"/>
        <v>2486199.08</v>
      </c>
    </row>
    <row r="65" spans="1:24">
      <c r="A65" s="163">
        <v>202409</v>
      </c>
      <c r="B65" s="163">
        <v>36400</v>
      </c>
      <c r="C65" s="2">
        <v>0</v>
      </c>
      <c r="D65" s="2">
        <v>0</v>
      </c>
      <c r="E65" s="2">
        <v>0</v>
      </c>
      <c r="F65" s="2">
        <v>0</v>
      </c>
      <c r="G65" s="2">
        <v>-17491.009999999998</v>
      </c>
      <c r="H65" s="2">
        <v>458345.43</v>
      </c>
      <c r="I65" s="2">
        <v>0</v>
      </c>
      <c r="J65" s="2">
        <f t="shared" si="0"/>
        <v>440854.42</v>
      </c>
      <c r="K65" s="2">
        <f t="shared" si="6"/>
        <v>42528014.089999996</v>
      </c>
      <c r="L65" s="171">
        <f t="shared" si="2"/>
        <v>3.5200000000000002E-2</v>
      </c>
      <c r="M65" s="5">
        <f t="shared" si="7"/>
        <v>123455.67</v>
      </c>
      <c r="N65" s="2">
        <f t="shared" si="13"/>
        <v>4116580.89</v>
      </c>
      <c r="O65" s="2">
        <f t="shared" si="12"/>
        <v>38411433.199999996</v>
      </c>
      <c r="Q65" s="2">
        <v>0</v>
      </c>
      <c r="R65" s="2">
        <v>0</v>
      </c>
      <c r="S65" s="2">
        <f t="shared" si="3"/>
        <v>0</v>
      </c>
      <c r="T65" s="2">
        <f t="shared" si="8"/>
        <v>2923572.47</v>
      </c>
      <c r="U65" s="171">
        <f t="shared" si="4"/>
        <v>3.5200000000000002E-2</v>
      </c>
      <c r="V65" s="5">
        <f t="shared" si="9"/>
        <v>8575.81</v>
      </c>
      <c r="W65" s="2">
        <f t="shared" si="14"/>
        <v>445949.1999999999</v>
      </c>
      <c r="X65" s="2">
        <f t="shared" si="5"/>
        <v>2477623.2700000005</v>
      </c>
    </row>
    <row r="66" spans="1:24">
      <c r="A66" s="163">
        <v>202410</v>
      </c>
      <c r="B66" s="163">
        <v>36400</v>
      </c>
      <c r="C66" s="2">
        <v>0</v>
      </c>
      <c r="D66" s="2">
        <v>0</v>
      </c>
      <c r="E66" s="2">
        <v>0</v>
      </c>
      <c r="F66" s="2">
        <v>0</v>
      </c>
      <c r="G66" s="2">
        <v>0</v>
      </c>
      <c r="H66" s="2">
        <v>676259.48</v>
      </c>
      <c r="I66" s="2">
        <v>0</v>
      </c>
      <c r="J66" s="2">
        <f t="shared" si="0"/>
        <v>676259.48</v>
      </c>
      <c r="K66" s="2">
        <f t="shared" si="6"/>
        <v>43204273.569999993</v>
      </c>
      <c r="L66" s="171">
        <f t="shared" si="2"/>
        <v>3.5200000000000002E-2</v>
      </c>
      <c r="M66" s="5">
        <f t="shared" si="7"/>
        <v>124748.84</v>
      </c>
      <c r="N66" s="2">
        <f t="shared" si="13"/>
        <v>4241329.7300000004</v>
      </c>
      <c r="O66" s="2">
        <f t="shared" si="12"/>
        <v>38962943.839999989</v>
      </c>
      <c r="Q66" s="2">
        <v>0</v>
      </c>
      <c r="R66" s="2">
        <v>0</v>
      </c>
      <c r="S66" s="2">
        <f t="shared" si="3"/>
        <v>0</v>
      </c>
      <c r="T66" s="2">
        <f t="shared" si="8"/>
        <v>2923572.47</v>
      </c>
      <c r="U66" s="171">
        <f t="shared" si="4"/>
        <v>3.5200000000000002E-2</v>
      </c>
      <c r="V66" s="5">
        <f t="shared" si="9"/>
        <v>8575.81</v>
      </c>
      <c r="W66" s="2">
        <f t="shared" si="14"/>
        <v>454525.00999999989</v>
      </c>
      <c r="X66" s="2">
        <f t="shared" si="5"/>
        <v>2469047.4600000004</v>
      </c>
    </row>
    <row r="67" spans="1:24">
      <c r="A67" s="163">
        <v>202411</v>
      </c>
      <c r="B67" s="163">
        <v>36400</v>
      </c>
      <c r="C67" s="2">
        <v>0</v>
      </c>
      <c r="D67" s="2">
        <v>0</v>
      </c>
      <c r="E67" s="2">
        <v>0</v>
      </c>
      <c r="F67" s="2">
        <v>0</v>
      </c>
      <c r="G67" s="2">
        <v>1524.28</v>
      </c>
      <c r="H67" s="2">
        <v>798132</v>
      </c>
      <c r="I67" s="2">
        <v>0</v>
      </c>
      <c r="J67" s="2">
        <f t="shared" si="0"/>
        <v>799656.28</v>
      </c>
      <c r="K67" s="2">
        <f t="shared" si="6"/>
        <v>44003929.849999994</v>
      </c>
      <c r="L67" s="171">
        <f t="shared" si="2"/>
        <v>3.5200000000000002E-2</v>
      </c>
      <c r="M67" s="5">
        <f t="shared" si="7"/>
        <v>126732.54</v>
      </c>
      <c r="N67" s="2">
        <f t="shared" si="13"/>
        <v>4368062.2700000005</v>
      </c>
      <c r="O67" s="2">
        <f t="shared" si="12"/>
        <v>39635867.579999991</v>
      </c>
      <c r="Q67" s="2">
        <v>0</v>
      </c>
      <c r="R67" s="2">
        <v>0</v>
      </c>
      <c r="S67" s="2">
        <f t="shared" si="3"/>
        <v>0</v>
      </c>
      <c r="T67" s="2">
        <f t="shared" si="8"/>
        <v>2923572.47</v>
      </c>
      <c r="U67" s="171">
        <f t="shared" si="4"/>
        <v>3.5200000000000002E-2</v>
      </c>
      <c r="V67" s="5">
        <f t="shared" si="9"/>
        <v>8575.81</v>
      </c>
      <c r="W67" s="2">
        <f t="shared" si="14"/>
        <v>463100.81999999989</v>
      </c>
      <c r="X67" s="2">
        <f t="shared" si="5"/>
        <v>2460471.6500000004</v>
      </c>
    </row>
    <row r="68" spans="1:24">
      <c r="A68" s="163">
        <v>202412</v>
      </c>
      <c r="B68" s="163">
        <v>36400</v>
      </c>
      <c r="C68" s="2">
        <v>0</v>
      </c>
      <c r="D68" s="2">
        <v>0</v>
      </c>
      <c r="E68" s="2">
        <v>0</v>
      </c>
      <c r="F68" s="2">
        <v>0</v>
      </c>
      <c r="G68" s="2">
        <v>20737.14</v>
      </c>
      <c r="H68" s="2">
        <v>454041.07</v>
      </c>
      <c r="I68" s="2">
        <v>0</v>
      </c>
      <c r="J68" s="2">
        <f t="shared" ref="J68:J82" si="15">SUM(C68:I68)</f>
        <v>474778.21</v>
      </c>
      <c r="K68" s="2">
        <f t="shared" si="6"/>
        <v>44478708.059999995</v>
      </c>
      <c r="L68" s="171">
        <f t="shared" si="2"/>
        <v>3.5200000000000002E-2</v>
      </c>
      <c r="M68" s="5">
        <f t="shared" si="7"/>
        <v>129078.19</v>
      </c>
      <c r="N68" s="2">
        <f t="shared" si="13"/>
        <v>4497140.4600000009</v>
      </c>
      <c r="O68" s="2">
        <f t="shared" si="12"/>
        <v>39981567.599999994</v>
      </c>
      <c r="Q68" s="2">
        <v>0</v>
      </c>
      <c r="R68" s="2">
        <v>0</v>
      </c>
      <c r="S68" s="2">
        <f t="shared" si="3"/>
        <v>0</v>
      </c>
      <c r="T68" s="2">
        <f t="shared" si="8"/>
        <v>2923572.47</v>
      </c>
      <c r="U68" s="171">
        <f t="shared" si="4"/>
        <v>3.5200000000000002E-2</v>
      </c>
      <c r="V68" s="5">
        <f t="shared" si="9"/>
        <v>8575.81</v>
      </c>
      <c r="W68" s="2">
        <f t="shared" si="14"/>
        <v>471676.62999999989</v>
      </c>
      <c r="X68" s="2">
        <f t="shared" si="5"/>
        <v>2451895.8400000003</v>
      </c>
    </row>
    <row r="69" spans="1:24">
      <c r="A69" s="163">
        <v>202501</v>
      </c>
      <c r="B69" s="163">
        <v>36400</v>
      </c>
      <c r="C69" s="2">
        <v>0</v>
      </c>
      <c r="D69" s="2">
        <v>0</v>
      </c>
      <c r="E69" s="2">
        <v>0</v>
      </c>
      <c r="F69" s="2">
        <v>0</v>
      </c>
      <c r="G69" s="2">
        <v>-17587.72</v>
      </c>
      <c r="H69" s="2">
        <v>142135.57</v>
      </c>
      <c r="I69" s="2">
        <v>0</v>
      </c>
      <c r="J69" s="2">
        <f t="shared" si="15"/>
        <v>124547.85</v>
      </c>
      <c r="K69" s="2">
        <f t="shared" si="6"/>
        <v>44603255.909999996</v>
      </c>
      <c r="L69" s="171">
        <f t="shared" ref="L69:L80" si="16">3.52%</f>
        <v>3.5200000000000002E-2</v>
      </c>
      <c r="M69" s="5">
        <f t="shared" si="7"/>
        <v>130470.88</v>
      </c>
      <c r="N69" s="2">
        <f t="shared" si="13"/>
        <v>4627611.3400000008</v>
      </c>
      <c r="O69" s="2">
        <f t="shared" si="12"/>
        <v>39975644.569999993</v>
      </c>
      <c r="Q69" s="2">
        <v>0</v>
      </c>
      <c r="R69" s="2">
        <v>0</v>
      </c>
      <c r="S69" s="2">
        <f t="shared" ref="S69:S82" si="17">SUM(Q69:R69)</f>
        <v>0</v>
      </c>
      <c r="T69" s="2">
        <f t="shared" si="8"/>
        <v>2923572.47</v>
      </c>
      <c r="U69" s="171">
        <f t="shared" ref="U69:U80" si="18">3.52%</f>
        <v>3.5200000000000002E-2</v>
      </c>
      <c r="V69" s="5">
        <f t="shared" si="9"/>
        <v>8575.81</v>
      </c>
      <c r="W69" s="2">
        <f t="shared" si="14"/>
        <v>480252.43999999989</v>
      </c>
      <c r="X69" s="2">
        <f t="shared" ref="X69:X82" si="19">T69-W69</f>
        <v>2443320.0300000003</v>
      </c>
    </row>
    <row r="70" spans="1:24">
      <c r="A70" s="163">
        <v>202502</v>
      </c>
      <c r="B70" s="163">
        <v>36400</v>
      </c>
      <c r="C70" s="2">
        <v>0</v>
      </c>
      <c r="D70" s="2">
        <v>0</v>
      </c>
      <c r="E70" s="2">
        <v>0</v>
      </c>
      <c r="F70" s="2">
        <v>0</v>
      </c>
      <c r="G70" s="2">
        <v>0</v>
      </c>
      <c r="H70" s="2">
        <v>-114184.17</v>
      </c>
      <c r="I70" s="2">
        <v>0</v>
      </c>
      <c r="J70" s="2">
        <f t="shared" si="15"/>
        <v>-114184.17</v>
      </c>
      <c r="K70" s="2">
        <f t="shared" ref="K70:K82" si="20">K69+J70</f>
        <v>44489071.739999995</v>
      </c>
      <c r="L70" s="171">
        <f t="shared" si="16"/>
        <v>3.5200000000000002E-2</v>
      </c>
      <c r="M70" s="5">
        <f t="shared" ref="M70:M82" si="21">ROUND(((L70*K69)/12),2)</f>
        <v>130836.22</v>
      </c>
      <c r="N70" s="2">
        <f t="shared" si="13"/>
        <v>4758447.5600000005</v>
      </c>
      <c r="O70" s="2">
        <f t="shared" si="12"/>
        <v>39730624.179999992</v>
      </c>
      <c r="Q70" s="2">
        <v>0</v>
      </c>
      <c r="R70" s="2">
        <v>0</v>
      </c>
      <c r="S70" s="2">
        <f t="shared" si="17"/>
        <v>0</v>
      </c>
      <c r="T70" s="2">
        <f t="shared" ref="T70:T82" si="22">T69+S70</f>
        <v>2923572.47</v>
      </c>
      <c r="U70" s="171">
        <f t="shared" si="18"/>
        <v>3.5200000000000002E-2</v>
      </c>
      <c r="V70" s="5">
        <f t="shared" ref="V70:V82" si="23">ROUND(((U70*T69)/12),2)</f>
        <v>8575.81</v>
      </c>
      <c r="W70" s="2">
        <f t="shared" si="14"/>
        <v>488828.24999999988</v>
      </c>
      <c r="X70" s="2">
        <f t="shared" si="19"/>
        <v>2434744.2200000002</v>
      </c>
    </row>
    <row r="71" spans="1:24">
      <c r="A71" s="163">
        <v>202503</v>
      </c>
      <c r="B71" s="163">
        <v>36400</v>
      </c>
      <c r="C71" s="2">
        <v>0</v>
      </c>
      <c r="D71" s="2">
        <v>0</v>
      </c>
      <c r="E71" s="2">
        <v>0</v>
      </c>
      <c r="F71" s="2">
        <v>0</v>
      </c>
      <c r="G71" s="2">
        <v>5899.17</v>
      </c>
      <c r="H71" s="2">
        <v>67685.37</v>
      </c>
      <c r="I71" s="2">
        <v>0</v>
      </c>
      <c r="J71" s="2">
        <f t="shared" si="15"/>
        <v>73584.539999999994</v>
      </c>
      <c r="K71" s="2">
        <f t="shared" si="20"/>
        <v>44562656.279999994</v>
      </c>
      <c r="L71" s="171">
        <f t="shared" si="16"/>
        <v>3.5200000000000002E-2</v>
      </c>
      <c r="M71" s="5">
        <f t="shared" si="21"/>
        <v>130501.28</v>
      </c>
      <c r="N71" s="2">
        <f t="shared" si="13"/>
        <v>4888948.8400000008</v>
      </c>
      <c r="O71" s="2">
        <f t="shared" si="12"/>
        <v>39673707.43999999</v>
      </c>
      <c r="Q71" s="2">
        <v>0</v>
      </c>
      <c r="R71" s="2">
        <v>0</v>
      </c>
      <c r="S71" s="2">
        <f t="shared" si="17"/>
        <v>0</v>
      </c>
      <c r="T71" s="2">
        <f t="shared" si="22"/>
        <v>2923572.47</v>
      </c>
      <c r="U71" s="171">
        <f t="shared" si="18"/>
        <v>3.5200000000000002E-2</v>
      </c>
      <c r="V71" s="5">
        <f t="shared" si="23"/>
        <v>8575.81</v>
      </c>
      <c r="W71" s="2">
        <f t="shared" si="14"/>
        <v>497404.05999999988</v>
      </c>
      <c r="X71" s="2">
        <f t="shared" si="19"/>
        <v>2426168.41</v>
      </c>
    </row>
    <row r="72" spans="1:24">
      <c r="A72" s="163">
        <v>202504</v>
      </c>
      <c r="B72" s="163">
        <v>36400</v>
      </c>
      <c r="C72" s="2">
        <v>0</v>
      </c>
      <c r="D72" s="2">
        <v>0</v>
      </c>
      <c r="E72" s="2">
        <v>0</v>
      </c>
      <c r="F72" s="2">
        <v>0</v>
      </c>
      <c r="G72" s="2">
        <v>-5899.17</v>
      </c>
      <c r="H72" s="2">
        <v>-45108.01</v>
      </c>
      <c r="I72" s="2">
        <v>0</v>
      </c>
      <c r="J72" s="2">
        <f t="shared" si="15"/>
        <v>-51007.18</v>
      </c>
      <c r="K72" s="2">
        <f t="shared" si="20"/>
        <v>44511649.099999994</v>
      </c>
      <c r="L72" s="171">
        <f t="shared" si="16"/>
        <v>3.5200000000000002E-2</v>
      </c>
      <c r="M72" s="5">
        <f t="shared" si="21"/>
        <v>130717.13</v>
      </c>
      <c r="N72" s="2">
        <f t="shared" si="13"/>
        <v>5019665.9700000007</v>
      </c>
      <c r="O72" s="2">
        <f t="shared" si="12"/>
        <v>39491983.129999995</v>
      </c>
      <c r="Q72" s="2">
        <v>0</v>
      </c>
      <c r="R72" s="2">
        <v>0</v>
      </c>
      <c r="S72" s="2">
        <f t="shared" si="17"/>
        <v>0</v>
      </c>
      <c r="T72" s="2">
        <f t="shared" si="22"/>
        <v>2923572.47</v>
      </c>
      <c r="U72" s="171">
        <f t="shared" si="18"/>
        <v>3.5200000000000002E-2</v>
      </c>
      <c r="V72" s="5">
        <f t="shared" si="23"/>
        <v>8575.81</v>
      </c>
      <c r="W72" s="2">
        <f t="shared" si="14"/>
        <v>505979.86999999988</v>
      </c>
      <c r="X72" s="2">
        <f t="shared" si="19"/>
        <v>2417592.6000000006</v>
      </c>
    </row>
    <row r="73" spans="1:24">
      <c r="A73" s="163">
        <v>202505</v>
      </c>
      <c r="B73" s="163">
        <v>36400</v>
      </c>
      <c r="C73" s="2">
        <v>0</v>
      </c>
      <c r="D73" s="2">
        <v>0</v>
      </c>
      <c r="E73" s="2">
        <v>0</v>
      </c>
      <c r="F73" s="2">
        <v>0</v>
      </c>
      <c r="G73" s="2">
        <v>10654.4</v>
      </c>
      <c r="H73" s="2">
        <v>3840</v>
      </c>
      <c r="I73" s="2">
        <v>0</v>
      </c>
      <c r="J73" s="2">
        <f t="shared" si="15"/>
        <v>14494.4</v>
      </c>
      <c r="K73" s="2">
        <f t="shared" si="20"/>
        <v>44526143.499999993</v>
      </c>
      <c r="L73" s="171">
        <f t="shared" si="16"/>
        <v>3.5200000000000002E-2</v>
      </c>
      <c r="M73" s="5">
        <f t="shared" si="21"/>
        <v>130567.5</v>
      </c>
      <c r="N73" s="2">
        <f t="shared" si="13"/>
        <v>5150233.4700000007</v>
      </c>
      <c r="O73" s="2">
        <f t="shared" si="12"/>
        <v>39375910.029999994</v>
      </c>
      <c r="Q73" s="2">
        <v>0</v>
      </c>
      <c r="R73" s="2">
        <v>0</v>
      </c>
      <c r="S73" s="2">
        <f t="shared" si="17"/>
        <v>0</v>
      </c>
      <c r="T73" s="2">
        <f t="shared" si="22"/>
        <v>2923572.47</v>
      </c>
      <c r="U73" s="171">
        <f t="shared" si="18"/>
        <v>3.5200000000000002E-2</v>
      </c>
      <c r="V73" s="5">
        <f t="shared" si="23"/>
        <v>8575.81</v>
      </c>
      <c r="W73" s="2">
        <f t="shared" si="14"/>
        <v>514555.67999999988</v>
      </c>
      <c r="X73" s="2">
        <f t="shared" si="19"/>
        <v>2409016.7900000005</v>
      </c>
    </row>
    <row r="74" spans="1:24">
      <c r="A74" s="163">
        <v>202506</v>
      </c>
      <c r="B74" s="163">
        <v>36400</v>
      </c>
      <c r="C74" s="2">
        <v>0</v>
      </c>
      <c r="D74" s="2">
        <v>0</v>
      </c>
      <c r="E74" s="2">
        <v>0</v>
      </c>
      <c r="F74" s="2">
        <v>0</v>
      </c>
      <c r="G74" s="2">
        <v>-8471.4500000000007</v>
      </c>
      <c r="H74" s="2">
        <v>4657.96</v>
      </c>
      <c r="I74" s="2">
        <v>0</v>
      </c>
      <c r="J74" s="2">
        <f t="shared" si="15"/>
        <v>-3813.4900000000007</v>
      </c>
      <c r="K74" s="2">
        <f t="shared" si="20"/>
        <v>44522330.00999999</v>
      </c>
      <c r="L74" s="171">
        <f t="shared" si="16"/>
        <v>3.5200000000000002E-2</v>
      </c>
      <c r="M74" s="5">
        <f t="shared" si="21"/>
        <v>130610.02</v>
      </c>
      <c r="N74" s="2">
        <f t="shared" si="13"/>
        <v>5280843.49</v>
      </c>
      <c r="O74" s="2">
        <f t="shared" si="12"/>
        <v>39241486.519999988</v>
      </c>
      <c r="Q74" s="2">
        <v>0</v>
      </c>
      <c r="R74" s="2">
        <v>0</v>
      </c>
      <c r="S74" s="2">
        <f t="shared" si="17"/>
        <v>0</v>
      </c>
      <c r="T74" s="2">
        <f t="shared" si="22"/>
        <v>2923572.47</v>
      </c>
      <c r="U74" s="171">
        <f t="shared" si="18"/>
        <v>3.5200000000000002E-2</v>
      </c>
      <c r="V74" s="5">
        <f t="shared" si="23"/>
        <v>8575.81</v>
      </c>
      <c r="W74" s="2">
        <f t="shared" si="14"/>
        <v>523131.48999999987</v>
      </c>
      <c r="X74" s="2">
        <f t="shared" si="19"/>
        <v>2400440.9800000004</v>
      </c>
    </row>
    <row r="75" spans="1:24">
      <c r="A75" s="163">
        <v>202507</v>
      </c>
      <c r="B75" s="163">
        <v>36400</v>
      </c>
      <c r="C75" s="2">
        <v>0</v>
      </c>
      <c r="D75" s="2">
        <v>0</v>
      </c>
      <c r="E75" s="2">
        <v>0</v>
      </c>
      <c r="F75" s="2">
        <v>0</v>
      </c>
      <c r="G75" s="2">
        <v>1544.7</v>
      </c>
      <c r="H75" s="2">
        <v>7916.56</v>
      </c>
      <c r="I75" s="2">
        <v>0</v>
      </c>
      <c r="J75" s="2">
        <f t="shared" si="15"/>
        <v>9461.26</v>
      </c>
      <c r="K75" s="2">
        <f t="shared" si="20"/>
        <v>44531791.269999988</v>
      </c>
      <c r="L75" s="171">
        <f t="shared" si="16"/>
        <v>3.5200000000000002E-2</v>
      </c>
      <c r="M75" s="5">
        <f t="shared" si="21"/>
        <v>130598.83</v>
      </c>
      <c r="N75" s="2">
        <f t="shared" si="13"/>
        <v>5411442.3200000003</v>
      </c>
      <c r="O75" s="2">
        <f t="shared" si="12"/>
        <v>39120348.949999988</v>
      </c>
      <c r="Q75" s="2">
        <v>0</v>
      </c>
      <c r="R75" s="2">
        <v>0</v>
      </c>
      <c r="S75" s="2">
        <f t="shared" si="17"/>
        <v>0</v>
      </c>
      <c r="T75" s="2">
        <f t="shared" si="22"/>
        <v>2923572.47</v>
      </c>
      <c r="U75" s="171">
        <f t="shared" si="18"/>
        <v>3.5200000000000002E-2</v>
      </c>
      <c r="V75" s="5">
        <f t="shared" si="23"/>
        <v>8575.81</v>
      </c>
      <c r="W75" s="2">
        <f t="shared" si="14"/>
        <v>531707.29999999993</v>
      </c>
      <c r="X75" s="2">
        <f t="shared" si="19"/>
        <v>2391865.1700000004</v>
      </c>
    </row>
    <row r="76" spans="1:24">
      <c r="A76" s="163">
        <v>202508</v>
      </c>
      <c r="B76" s="163">
        <v>36400</v>
      </c>
      <c r="C76" s="2">
        <v>0</v>
      </c>
      <c r="D76" s="2">
        <v>0</v>
      </c>
      <c r="E76" s="2">
        <v>0</v>
      </c>
      <c r="F76" s="2">
        <v>0</v>
      </c>
      <c r="G76" s="2">
        <v>-1544.7</v>
      </c>
      <c r="H76" s="2">
        <v>7833.24</v>
      </c>
      <c r="I76" s="2">
        <v>0</v>
      </c>
      <c r="J76" s="2">
        <f t="shared" si="15"/>
        <v>6288.54</v>
      </c>
      <c r="K76" s="2">
        <f t="shared" si="20"/>
        <v>44538079.809999987</v>
      </c>
      <c r="L76" s="171">
        <f t="shared" si="16"/>
        <v>3.5200000000000002E-2</v>
      </c>
      <c r="M76" s="5">
        <f t="shared" si="21"/>
        <v>130626.59</v>
      </c>
      <c r="N76" s="2">
        <f t="shared" si="13"/>
        <v>5542068.9100000001</v>
      </c>
      <c r="O76" s="2">
        <f t="shared" ref="O76:O82" si="24">K76-N76</f>
        <v>38996010.899999991</v>
      </c>
      <c r="Q76" s="2">
        <v>0</v>
      </c>
      <c r="R76" s="2">
        <v>0</v>
      </c>
      <c r="S76" s="2">
        <f t="shared" si="17"/>
        <v>0</v>
      </c>
      <c r="T76" s="2">
        <f t="shared" si="22"/>
        <v>2923572.47</v>
      </c>
      <c r="U76" s="171">
        <f t="shared" si="18"/>
        <v>3.5200000000000002E-2</v>
      </c>
      <c r="V76" s="5">
        <f t="shared" si="23"/>
        <v>8575.81</v>
      </c>
      <c r="W76" s="2">
        <f t="shared" si="14"/>
        <v>540283.11</v>
      </c>
      <c r="X76" s="2">
        <f t="shared" si="19"/>
        <v>2383289.3600000003</v>
      </c>
    </row>
    <row r="77" spans="1:24">
      <c r="A77" s="163">
        <v>202509</v>
      </c>
      <c r="B77" s="163">
        <v>36400</v>
      </c>
      <c r="C77" s="2">
        <v>0</v>
      </c>
      <c r="D77" s="2">
        <v>0</v>
      </c>
      <c r="E77" s="2">
        <v>0</v>
      </c>
      <c r="F77" s="2">
        <v>0</v>
      </c>
      <c r="G77" s="2">
        <v>0</v>
      </c>
      <c r="H77" s="2">
        <v>-4598.5200000000004</v>
      </c>
      <c r="I77" s="2">
        <v>0</v>
      </c>
      <c r="J77" s="2">
        <f t="shared" si="15"/>
        <v>-4598.5200000000004</v>
      </c>
      <c r="K77" s="2">
        <f t="shared" si="20"/>
        <v>44533481.289999984</v>
      </c>
      <c r="L77" s="171">
        <f t="shared" si="16"/>
        <v>3.5200000000000002E-2</v>
      </c>
      <c r="M77" s="5">
        <f t="shared" si="21"/>
        <v>130645.03</v>
      </c>
      <c r="N77" s="2">
        <f t="shared" ref="N77:N82" si="25">M77+N76</f>
        <v>5672713.9400000004</v>
      </c>
      <c r="O77" s="2">
        <f t="shared" si="24"/>
        <v>38860767.349999987</v>
      </c>
      <c r="Q77" s="2">
        <v>0</v>
      </c>
      <c r="R77" s="2">
        <v>0</v>
      </c>
      <c r="S77" s="2">
        <f t="shared" si="17"/>
        <v>0</v>
      </c>
      <c r="T77" s="2">
        <f t="shared" si="22"/>
        <v>2923572.47</v>
      </c>
      <c r="U77" s="171">
        <f t="shared" si="18"/>
        <v>3.5200000000000002E-2</v>
      </c>
      <c r="V77" s="5">
        <f t="shared" si="23"/>
        <v>8575.81</v>
      </c>
      <c r="W77" s="2">
        <f t="shared" ref="W77:W82" si="26">V77+W76</f>
        <v>548858.92000000004</v>
      </c>
      <c r="X77" s="2">
        <f t="shared" si="19"/>
        <v>2374713.5500000003</v>
      </c>
    </row>
    <row r="78" spans="1:24">
      <c r="A78" s="163">
        <v>202510</v>
      </c>
      <c r="B78" s="163">
        <v>36400</v>
      </c>
      <c r="C78" s="2">
        <v>0</v>
      </c>
      <c r="D78" s="2">
        <v>0</v>
      </c>
      <c r="E78" s="2">
        <v>0</v>
      </c>
      <c r="F78" s="2">
        <v>0</v>
      </c>
      <c r="G78" s="2">
        <v>0</v>
      </c>
      <c r="H78" s="2">
        <v>3000.6</v>
      </c>
      <c r="I78" s="2">
        <v>0</v>
      </c>
      <c r="J78" s="2">
        <f t="shared" si="15"/>
        <v>3000.6</v>
      </c>
      <c r="K78" s="2">
        <f t="shared" si="20"/>
        <v>44536481.889999986</v>
      </c>
      <c r="L78" s="171">
        <f t="shared" si="16"/>
        <v>3.5200000000000002E-2</v>
      </c>
      <c r="M78" s="5">
        <f t="shared" si="21"/>
        <v>130631.55</v>
      </c>
      <c r="N78" s="2">
        <f t="shared" si="25"/>
        <v>5803345.4900000002</v>
      </c>
      <c r="O78" s="2">
        <f t="shared" si="24"/>
        <v>38733136.399999984</v>
      </c>
      <c r="Q78" s="2">
        <v>0</v>
      </c>
      <c r="R78" s="2">
        <v>0</v>
      </c>
      <c r="S78" s="2">
        <f t="shared" si="17"/>
        <v>0</v>
      </c>
      <c r="T78" s="2">
        <f t="shared" si="22"/>
        <v>2923572.47</v>
      </c>
      <c r="U78" s="171">
        <f t="shared" si="18"/>
        <v>3.5200000000000002E-2</v>
      </c>
      <c r="V78" s="5">
        <f t="shared" si="23"/>
        <v>8575.81</v>
      </c>
      <c r="W78" s="2">
        <f t="shared" si="26"/>
        <v>557434.7300000001</v>
      </c>
      <c r="X78" s="2">
        <f t="shared" si="19"/>
        <v>2366137.7400000002</v>
      </c>
    </row>
    <row r="79" spans="1:24">
      <c r="A79" s="163">
        <v>202511</v>
      </c>
      <c r="B79" s="163">
        <v>36400</v>
      </c>
      <c r="C79" s="2">
        <v>0</v>
      </c>
      <c r="D79" s="2">
        <v>0</v>
      </c>
      <c r="E79" s="2">
        <v>0</v>
      </c>
      <c r="F79" s="2">
        <v>0</v>
      </c>
      <c r="G79" s="2">
        <v>1727.7</v>
      </c>
      <c r="H79" s="2">
        <v>3607.1</v>
      </c>
      <c r="I79" s="2">
        <v>0</v>
      </c>
      <c r="J79" s="2">
        <f t="shared" si="15"/>
        <v>5334.8</v>
      </c>
      <c r="K79" s="2">
        <f t="shared" si="20"/>
        <v>44541816.689999983</v>
      </c>
      <c r="L79" s="171">
        <f t="shared" si="16"/>
        <v>3.5200000000000002E-2</v>
      </c>
      <c r="M79" s="5">
        <f t="shared" si="21"/>
        <v>130640.35</v>
      </c>
      <c r="N79" s="2">
        <f t="shared" si="25"/>
        <v>5933985.8399999999</v>
      </c>
      <c r="O79" s="2">
        <f t="shared" si="24"/>
        <v>38607830.849999979</v>
      </c>
      <c r="Q79" s="2">
        <v>0</v>
      </c>
      <c r="R79" s="2">
        <v>0</v>
      </c>
      <c r="S79" s="2">
        <f t="shared" si="17"/>
        <v>0</v>
      </c>
      <c r="T79" s="2">
        <f t="shared" si="22"/>
        <v>2923572.47</v>
      </c>
      <c r="U79" s="171">
        <f t="shared" si="18"/>
        <v>3.5200000000000002E-2</v>
      </c>
      <c r="V79" s="5">
        <f t="shared" si="23"/>
        <v>8575.81</v>
      </c>
      <c r="W79" s="2">
        <f t="shared" si="26"/>
        <v>566010.54000000015</v>
      </c>
      <c r="X79" s="2">
        <f t="shared" si="19"/>
        <v>2357561.9300000002</v>
      </c>
    </row>
    <row r="80" spans="1:24">
      <c r="A80" s="163">
        <v>202512</v>
      </c>
      <c r="B80" s="163">
        <v>36400</v>
      </c>
      <c r="C80" s="2">
        <v>0</v>
      </c>
      <c r="D80" s="2">
        <v>0</v>
      </c>
      <c r="E80" s="2">
        <v>0</v>
      </c>
      <c r="F80" s="2">
        <v>0</v>
      </c>
      <c r="G80" s="2">
        <v>0</v>
      </c>
      <c r="H80" s="2">
        <v>1336.3</v>
      </c>
      <c r="I80" s="2">
        <v>18157875.41</v>
      </c>
      <c r="J80" s="2">
        <f t="shared" si="15"/>
        <v>18159211.710000001</v>
      </c>
      <c r="K80" s="2">
        <f t="shared" si="20"/>
        <v>62701028.399999984</v>
      </c>
      <c r="L80" s="171">
        <f t="shared" si="16"/>
        <v>3.5200000000000002E-2</v>
      </c>
      <c r="M80" s="5">
        <f t="shared" si="21"/>
        <v>130656</v>
      </c>
      <c r="N80" s="2">
        <f t="shared" si="25"/>
        <v>6064641.8399999999</v>
      </c>
      <c r="O80" s="2">
        <f t="shared" si="24"/>
        <v>56636386.559999987</v>
      </c>
      <c r="Q80" s="2">
        <v>0</v>
      </c>
      <c r="R80" s="2">
        <v>0</v>
      </c>
      <c r="S80" s="2">
        <f t="shared" si="17"/>
        <v>0</v>
      </c>
      <c r="T80" s="2">
        <f t="shared" si="22"/>
        <v>2923572.47</v>
      </c>
      <c r="U80" s="171">
        <f t="shared" si="18"/>
        <v>3.5200000000000002E-2</v>
      </c>
      <c r="V80" s="5">
        <f t="shared" si="23"/>
        <v>8575.81</v>
      </c>
      <c r="W80" s="2">
        <f t="shared" si="26"/>
        <v>574586.35000000021</v>
      </c>
      <c r="X80" s="2">
        <f t="shared" si="19"/>
        <v>2348986.12</v>
      </c>
    </row>
    <row r="81" spans="1:27">
      <c r="A81" s="163">
        <v>202601</v>
      </c>
      <c r="B81" s="163">
        <v>36400</v>
      </c>
      <c r="C81" s="2">
        <v>0</v>
      </c>
      <c r="D81" s="2">
        <v>0</v>
      </c>
      <c r="E81" s="2">
        <v>0</v>
      </c>
      <c r="F81" s="2">
        <v>0</v>
      </c>
      <c r="G81" s="2">
        <v>47.3</v>
      </c>
      <c r="H81" s="2">
        <v>1664</v>
      </c>
      <c r="I81" s="2">
        <v>215578</v>
      </c>
      <c r="J81" s="2">
        <f t="shared" si="15"/>
        <v>217289.3</v>
      </c>
      <c r="K81" s="2">
        <f t="shared" si="20"/>
        <v>62918317.699999981</v>
      </c>
      <c r="L81" s="171">
        <f>3.52%</f>
        <v>3.5200000000000002E-2</v>
      </c>
      <c r="M81" s="5">
        <f t="shared" si="21"/>
        <v>183923.02</v>
      </c>
      <c r="N81" s="2">
        <f t="shared" si="25"/>
        <v>6248564.8599999994</v>
      </c>
      <c r="O81" s="2">
        <f t="shared" si="24"/>
        <v>56669752.839999981</v>
      </c>
      <c r="Q81" s="2">
        <v>0</v>
      </c>
      <c r="R81" s="2">
        <v>0</v>
      </c>
      <c r="S81" s="2">
        <f t="shared" si="17"/>
        <v>0</v>
      </c>
      <c r="T81" s="2">
        <f t="shared" si="22"/>
        <v>2923572.47</v>
      </c>
      <c r="U81" s="171">
        <f>3.52%</f>
        <v>3.5200000000000002E-2</v>
      </c>
      <c r="V81" s="5">
        <f t="shared" si="23"/>
        <v>8575.81</v>
      </c>
      <c r="W81" s="2">
        <f t="shared" si="26"/>
        <v>583162.16000000027</v>
      </c>
      <c r="X81" s="2">
        <f t="shared" si="19"/>
        <v>2340410.31</v>
      </c>
    </row>
    <row r="82" spans="1:27">
      <c r="A82" s="163">
        <v>202602</v>
      </c>
      <c r="B82" s="163">
        <v>36400</v>
      </c>
      <c r="C82" s="2">
        <v>0</v>
      </c>
      <c r="D82" s="2">
        <v>0</v>
      </c>
      <c r="E82" s="2">
        <v>0</v>
      </c>
      <c r="F82" s="2">
        <v>0</v>
      </c>
      <c r="G82" s="2">
        <v>-591.9</v>
      </c>
      <c r="H82" s="2">
        <v>2560</v>
      </c>
      <c r="I82" s="2">
        <v>13415.64</v>
      </c>
      <c r="J82" s="2">
        <f t="shared" si="15"/>
        <v>15383.74</v>
      </c>
      <c r="K82" s="2">
        <f t="shared" si="20"/>
        <v>62933701.439999983</v>
      </c>
      <c r="L82" s="171">
        <f>3.52%</f>
        <v>3.5200000000000002E-2</v>
      </c>
      <c r="M82" s="5">
        <f t="shared" si="21"/>
        <v>184560.4</v>
      </c>
      <c r="N82" s="2">
        <f t="shared" si="25"/>
        <v>6433125.2599999998</v>
      </c>
      <c r="O82" s="2">
        <f t="shared" si="24"/>
        <v>56500576.179999985</v>
      </c>
      <c r="Q82" s="2">
        <v>0</v>
      </c>
      <c r="R82" s="2">
        <v>0</v>
      </c>
      <c r="S82" s="2">
        <f t="shared" si="17"/>
        <v>0</v>
      </c>
      <c r="T82" s="2">
        <f t="shared" si="22"/>
        <v>2923572.47</v>
      </c>
      <c r="U82" s="171">
        <f>3.52%</f>
        <v>3.5200000000000002E-2</v>
      </c>
      <c r="V82" s="5">
        <f t="shared" si="23"/>
        <v>8575.81</v>
      </c>
      <c r="W82" s="2">
        <f t="shared" si="26"/>
        <v>591737.97000000032</v>
      </c>
      <c r="X82" s="2">
        <f t="shared" si="19"/>
        <v>2331834.5</v>
      </c>
    </row>
    <row r="83" spans="1:27">
      <c r="A83" s="163"/>
      <c r="B83" s="163"/>
      <c r="C83" s="2"/>
      <c r="D83" s="2"/>
      <c r="E83" s="2"/>
      <c r="F83" s="2"/>
      <c r="G83" s="2"/>
      <c r="H83" s="2"/>
      <c r="I83" s="2"/>
      <c r="J83" s="2"/>
      <c r="K83" s="2"/>
      <c r="L83" s="171"/>
      <c r="M83" s="5"/>
      <c r="N83" s="2"/>
      <c r="Q83" s="163"/>
      <c r="R83" s="2"/>
      <c r="S83" s="2"/>
      <c r="T83" s="2"/>
      <c r="U83" s="171"/>
      <c r="V83" s="5"/>
      <c r="W83" s="2"/>
    </row>
    <row r="84" spans="1:27">
      <c r="A84" s="172" t="s">
        <v>830</v>
      </c>
      <c r="B84" s="172"/>
      <c r="C84" s="2">
        <f>SUM(C4:C82)</f>
        <v>4341.1499999999996</v>
      </c>
      <c r="D84" s="2">
        <f t="shared" ref="D84:J84" si="27">SUM(D4:D82)</f>
        <v>12136663.91</v>
      </c>
      <c r="E84" s="2">
        <f t="shared" si="27"/>
        <v>7553853.1299999999</v>
      </c>
      <c r="F84" s="2">
        <f t="shared" si="27"/>
        <v>13456312.860000003</v>
      </c>
      <c r="G84" s="2">
        <f t="shared" si="27"/>
        <v>6724375.75</v>
      </c>
      <c r="H84" s="2">
        <f t="shared" si="27"/>
        <v>4671285.59</v>
      </c>
      <c r="I84" s="2">
        <f t="shared" si="27"/>
        <v>18386869.050000001</v>
      </c>
      <c r="J84" s="173">
        <f t="shared" si="27"/>
        <v>62933701.439999983</v>
      </c>
      <c r="M84" s="173"/>
      <c r="O84" s="173"/>
      <c r="P84" s="173"/>
      <c r="Q84" s="2">
        <f t="shared" ref="Q84:S84" si="28">SUM(Q4:Q82)</f>
        <v>0</v>
      </c>
      <c r="R84" s="2">
        <f>SUM(R4:R82)</f>
        <v>2923572.47</v>
      </c>
      <c r="S84" s="173">
        <f t="shared" si="28"/>
        <v>2923572.47</v>
      </c>
      <c r="V84" s="173"/>
      <c r="X84" s="173"/>
    </row>
    <row r="87" spans="1:27">
      <c r="A87" s="174" t="s">
        <v>831</v>
      </c>
      <c r="B87" s="174"/>
      <c r="C87" s="174"/>
      <c r="D87" s="174"/>
      <c r="E87" s="174"/>
      <c r="F87" s="174"/>
      <c r="G87" s="174"/>
      <c r="H87" s="174"/>
      <c r="I87" s="174"/>
      <c r="J87" s="174"/>
      <c r="K87" s="174"/>
      <c r="L87" s="174"/>
      <c r="M87" s="174"/>
      <c r="N87" s="174"/>
      <c r="O87" s="174"/>
      <c r="P87" s="169"/>
      <c r="Q87" s="174"/>
      <c r="R87" s="174"/>
      <c r="S87" s="174"/>
      <c r="T87" s="174"/>
      <c r="U87" s="174"/>
      <c r="V87" s="174"/>
      <c r="W87" s="174"/>
      <c r="X87" s="174"/>
    </row>
    <row r="88" spans="1:27">
      <c r="A88" s="163">
        <v>201803</v>
      </c>
      <c r="B88" s="163">
        <v>36500</v>
      </c>
      <c r="C88" s="2">
        <v>0</v>
      </c>
      <c r="D88" s="2">
        <v>0</v>
      </c>
      <c r="E88" s="2">
        <v>0</v>
      </c>
      <c r="F88" s="2">
        <v>0</v>
      </c>
      <c r="G88" s="2">
        <v>0</v>
      </c>
      <c r="H88" s="2">
        <v>0</v>
      </c>
      <c r="I88" s="2">
        <v>0</v>
      </c>
      <c r="J88" s="2">
        <f t="shared" ref="J88:J151" si="29">SUM(C88:I88)</f>
        <v>0</v>
      </c>
      <c r="K88" s="2">
        <f>J88</f>
        <v>0</v>
      </c>
      <c r="L88" s="171">
        <f>3.52%</f>
        <v>3.5200000000000002E-2</v>
      </c>
      <c r="M88" s="1">
        <v>0</v>
      </c>
      <c r="N88" s="2">
        <f>M88</f>
        <v>0</v>
      </c>
      <c r="O88" s="2">
        <f t="shared" ref="O88:O151" si="30">K88-N88</f>
        <v>0</v>
      </c>
      <c r="P88" s="169"/>
      <c r="Q88" s="175">
        <v>802438.52</v>
      </c>
      <c r="R88" s="2">
        <v>0</v>
      </c>
      <c r="S88" s="2">
        <f t="shared" ref="S88:S151" si="31">SUM(Q88:R88)</f>
        <v>802438.52</v>
      </c>
      <c r="T88" s="2">
        <f>S88</f>
        <v>802438.52</v>
      </c>
      <c r="U88" s="171">
        <f>3.52%</f>
        <v>3.5200000000000002E-2</v>
      </c>
      <c r="V88" s="5">
        <v>0</v>
      </c>
      <c r="W88" s="2">
        <f>V88</f>
        <v>0</v>
      </c>
      <c r="X88" s="2">
        <f t="shared" ref="X88:X151" si="32">T88-W88</f>
        <v>802438.52</v>
      </c>
    </row>
    <row r="89" spans="1:27">
      <c r="A89" s="163">
        <v>201804</v>
      </c>
      <c r="B89" s="163">
        <v>36500</v>
      </c>
      <c r="C89" s="2">
        <v>0</v>
      </c>
      <c r="D89" s="2">
        <v>0</v>
      </c>
      <c r="E89" s="2">
        <v>0</v>
      </c>
      <c r="F89" s="2">
        <v>0</v>
      </c>
      <c r="G89" s="2">
        <v>0</v>
      </c>
      <c r="H89" s="2">
        <v>0</v>
      </c>
      <c r="I89" s="2">
        <v>0</v>
      </c>
      <c r="J89" s="2">
        <f t="shared" si="29"/>
        <v>0</v>
      </c>
      <c r="K89" s="2">
        <f>K88+J89</f>
        <v>0</v>
      </c>
      <c r="L89" s="171">
        <f t="shared" ref="L89:L101" si="33">3.52%</f>
        <v>3.5200000000000002E-2</v>
      </c>
      <c r="M89" s="1">
        <f>ROUND(((L89*K88)/12),2)</f>
        <v>0</v>
      </c>
      <c r="N89" s="2">
        <f>M89+N88</f>
        <v>0</v>
      </c>
      <c r="O89" s="2">
        <f t="shared" si="30"/>
        <v>0</v>
      </c>
      <c r="P89" s="169"/>
      <c r="Q89" s="175">
        <v>159643.56</v>
      </c>
      <c r="R89" s="2">
        <v>0</v>
      </c>
      <c r="S89" s="2">
        <f t="shared" si="31"/>
        <v>159643.56</v>
      </c>
      <c r="T89" s="2">
        <f>T88+S89</f>
        <v>962082.08000000007</v>
      </c>
      <c r="U89" s="171">
        <f t="shared" ref="U89:U152" si="34">3.52%</f>
        <v>3.5200000000000002E-2</v>
      </c>
      <c r="V89" s="5">
        <f>ROUND(((U89*T88)/12),2)</f>
        <v>2353.8200000000002</v>
      </c>
      <c r="W89" s="2">
        <f>V89+W88</f>
        <v>2353.8200000000002</v>
      </c>
      <c r="X89" s="2">
        <f t="shared" si="32"/>
        <v>959728.26000000013</v>
      </c>
      <c r="AA89">
        <v>159643.56</v>
      </c>
    </row>
    <row r="90" spans="1:27">
      <c r="A90" s="163">
        <v>201805</v>
      </c>
      <c r="B90" s="163">
        <v>36500</v>
      </c>
      <c r="C90" s="2">
        <v>0</v>
      </c>
      <c r="D90" s="2">
        <v>0</v>
      </c>
      <c r="E90" s="2">
        <v>0</v>
      </c>
      <c r="F90" s="2">
        <v>0</v>
      </c>
      <c r="G90" s="2">
        <v>0</v>
      </c>
      <c r="H90" s="2">
        <v>0</v>
      </c>
      <c r="I90" s="2">
        <v>0</v>
      </c>
      <c r="J90" s="2">
        <f t="shared" si="29"/>
        <v>0</v>
      </c>
      <c r="K90" s="2">
        <f t="shared" ref="K90:K153" si="35">K89+J90</f>
        <v>0</v>
      </c>
      <c r="L90" s="171">
        <f t="shared" si="33"/>
        <v>3.5200000000000002E-2</v>
      </c>
      <c r="M90" s="1">
        <f t="shared" ref="M90:M153" si="36">ROUND(((L90*K89)/12),2)</f>
        <v>0</v>
      </c>
      <c r="N90" s="2">
        <f t="shared" ref="N90:N153" si="37">M90+N89</f>
        <v>0</v>
      </c>
      <c r="O90" s="2">
        <f t="shared" si="30"/>
        <v>0</v>
      </c>
      <c r="P90" s="169"/>
      <c r="Q90" s="175">
        <v>301546.87</v>
      </c>
      <c r="R90" s="2">
        <v>0</v>
      </c>
      <c r="S90" s="2">
        <f t="shared" si="31"/>
        <v>301546.87</v>
      </c>
      <c r="T90" s="2">
        <f t="shared" ref="T90:T153" si="38">T89+S90</f>
        <v>1263628.9500000002</v>
      </c>
      <c r="U90" s="171">
        <f t="shared" si="34"/>
        <v>3.5200000000000002E-2</v>
      </c>
      <c r="V90" s="5">
        <f t="shared" ref="V90:V153" si="39">ROUND(((U90*T89)/12),2)</f>
        <v>2822.11</v>
      </c>
      <c r="W90" s="2">
        <f>V90+W89</f>
        <v>5175.93</v>
      </c>
      <c r="X90" s="2">
        <f t="shared" si="32"/>
        <v>1258453.0200000003</v>
      </c>
      <c r="AA90">
        <v>301546.87</v>
      </c>
    </row>
    <row r="91" spans="1:27">
      <c r="A91" s="163">
        <v>201806</v>
      </c>
      <c r="B91" s="163">
        <v>36500</v>
      </c>
      <c r="C91" s="2">
        <v>0</v>
      </c>
      <c r="D91" s="2">
        <v>0</v>
      </c>
      <c r="E91" s="2">
        <v>0</v>
      </c>
      <c r="F91" s="2">
        <v>0</v>
      </c>
      <c r="G91" s="2">
        <v>0</v>
      </c>
      <c r="H91" s="2">
        <v>0</v>
      </c>
      <c r="I91" s="2">
        <v>0</v>
      </c>
      <c r="J91" s="2">
        <f t="shared" si="29"/>
        <v>0</v>
      </c>
      <c r="K91" s="2">
        <f t="shared" si="35"/>
        <v>0</v>
      </c>
      <c r="L91" s="171">
        <f t="shared" si="33"/>
        <v>3.5200000000000002E-2</v>
      </c>
      <c r="M91" s="1">
        <f t="shared" si="36"/>
        <v>0</v>
      </c>
      <c r="N91" s="2">
        <f t="shared" si="37"/>
        <v>0</v>
      </c>
      <c r="O91" s="2">
        <f t="shared" si="30"/>
        <v>0</v>
      </c>
      <c r="P91" s="169"/>
      <c r="Q91" s="175">
        <v>186398.46</v>
      </c>
      <c r="R91" s="2">
        <v>0</v>
      </c>
      <c r="S91" s="2">
        <f t="shared" si="31"/>
        <v>186398.46</v>
      </c>
      <c r="T91" s="2">
        <f t="shared" si="38"/>
        <v>1450027.4100000001</v>
      </c>
      <c r="U91" s="171">
        <f t="shared" si="34"/>
        <v>3.5200000000000002E-2</v>
      </c>
      <c r="V91" s="5">
        <f t="shared" si="39"/>
        <v>3706.64</v>
      </c>
      <c r="W91" s="2">
        <f t="shared" ref="W91:W154" si="40">V91+W90</f>
        <v>8882.57</v>
      </c>
      <c r="X91" s="2">
        <f t="shared" si="32"/>
        <v>1441144.84</v>
      </c>
      <c r="AA91">
        <v>186398.46</v>
      </c>
    </row>
    <row r="92" spans="1:27">
      <c r="A92" s="163">
        <v>201807</v>
      </c>
      <c r="B92" s="163">
        <v>36500</v>
      </c>
      <c r="C92" s="2">
        <v>0</v>
      </c>
      <c r="D92" s="2">
        <v>0</v>
      </c>
      <c r="E92" s="2">
        <v>0</v>
      </c>
      <c r="F92" s="2">
        <v>0</v>
      </c>
      <c r="G92" s="2">
        <v>0</v>
      </c>
      <c r="H92" s="2">
        <v>0</v>
      </c>
      <c r="I92" s="2">
        <v>0</v>
      </c>
      <c r="J92" s="2">
        <f t="shared" si="29"/>
        <v>0</v>
      </c>
      <c r="K92" s="2">
        <f t="shared" si="35"/>
        <v>0</v>
      </c>
      <c r="L92" s="171">
        <f t="shared" si="33"/>
        <v>3.5200000000000002E-2</v>
      </c>
      <c r="M92" s="1">
        <f t="shared" si="36"/>
        <v>0</v>
      </c>
      <c r="N92" s="2">
        <f t="shared" si="37"/>
        <v>0</v>
      </c>
      <c r="O92" s="2">
        <f t="shared" si="30"/>
        <v>0</v>
      </c>
      <c r="P92" s="169"/>
      <c r="Q92" s="175">
        <v>254307.01</v>
      </c>
      <c r="R92" s="2">
        <v>0</v>
      </c>
      <c r="S92" s="2">
        <f t="shared" si="31"/>
        <v>254307.01</v>
      </c>
      <c r="T92" s="2">
        <f t="shared" si="38"/>
        <v>1704334.4200000002</v>
      </c>
      <c r="U92" s="171">
        <f t="shared" si="34"/>
        <v>3.5200000000000002E-2</v>
      </c>
      <c r="V92" s="5">
        <f t="shared" si="39"/>
        <v>4253.41</v>
      </c>
      <c r="W92" s="2">
        <f t="shared" si="40"/>
        <v>13135.98</v>
      </c>
      <c r="X92" s="2">
        <f t="shared" si="32"/>
        <v>1691198.4400000002</v>
      </c>
      <c r="AA92">
        <v>254307.01</v>
      </c>
    </row>
    <row r="93" spans="1:27">
      <c r="A93" s="163">
        <v>201808</v>
      </c>
      <c r="B93" s="163">
        <v>36500</v>
      </c>
      <c r="C93" s="2">
        <v>0</v>
      </c>
      <c r="D93" s="2">
        <v>0</v>
      </c>
      <c r="E93" s="2">
        <v>0</v>
      </c>
      <c r="F93" s="2">
        <v>0</v>
      </c>
      <c r="G93" s="2">
        <v>0</v>
      </c>
      <c r="H93" s="2">
        <v>0</v>
      </c>
      <c r="I93" s="2">
        <v>0</v>
      </c>
      <c r="J93" s="2">
        <f t="shared" si="29"/>
        <v>0</v>
      </c>
      <c r="K93" s="2">
        <f t="shared" si="35"/>
        <v>0</v>
      </c>
      <c r="L93" s="171">
        <f t="shared" si="33"/>
        <v>3.5200000000000002E-2</v>
      </c>
      <c r="M93" s="1">
        <f t="shared" si="36"/>
        <v>0</v>
      </c>
      <c r="N93" s="2">
        <f t="shared" si="37"/>
        <v>0</v>
      </c>
      <c r="O93" s="2">
        <f t="shared" si="30"/>
        <v>0</v>
      </c>
      <c r="P93" s="169"/>
      <c r="Q93" s="175">
        <v>70881.39</v>
      </c>
      <c r="R93" s="2">
        <v>0</v>
      </c>
      <c r="S93" s="2">
        <f t="shared" si="31"/>
        <v>70881.39</v>
      </c>
      <c r="T93" s="2">
        <f t="shared" si="38"/>
        <v>1775215.81</v>
      </c>
      <c r="U93" s="171">
        <f t="shared" si="34"/>
        <v>3.5200000000000002E-2</v>
      </c>
      <c r="V93" s="5">
        <f t="shared" si="39"/>
        <v>4999.38</v>
      </c>
      <c r="W93" s="2">
        <f t="shared" si="40"/>
        <v>18135.36</v>
      </c>
      <c r="X93" s="2">
        <f t="shared" si="32"/>
        <v>1757080.45</v>
      </c>
      <c r="AA93">
        <v>70881.39</v>
      </c>
    </row>
    <row r="94" spans="1:27">
      <c r="A94" s="163">
        <v>201809</v>
      </c>
      <c r="B94" s="163">
        <v>36500</v>
      </c>
      <c r="C94" s="2">
        <v>0</v>
      </c>
      <c r="D94" s="2">
        <v>0</v>
      </c>
      <c r="E94" s="2">
        <v>0</v>
      </c>
      <c r="F94" s="2">
        <v>0</v>
      </c>
      <c r="G94" s="2">
        <v>0</v>
      </c>
      <c r="H94" s="2">
        <v>0</v>
      </c>
      <c r="I94" s="2">
        <v>0</v>
      </c>
      <c r="J94" s="2">
        <f t="shared" si="29"/>
        <v>0</v>
      </c>
      <c r="K94" s="2">
        <f t="shared" si="35"/>
        <v>0</v>
      </c>
      <c r="L94" s="171">
        <f t="shared" si="33"/>
        <v>3.5200000000000002E-2</v>
      </c>
      <c r="M94" s="1">
        <f t="shared" si="36"/>
        <v>0</v>
      </c>
      <c r="N94" s="2">
        <f t="shared" si="37"/>
        <v>0</v>
      </c>
      <c r="O94" s="2">
        <f t="shared" si="30"/>
        <v>0</v>
      </c>
      <c r="P94" s="169"/>
      <c r="Q94" s="175">
        <v>169633.29</v>
      </c>
      <c r="R94" s="2">
        <v>0</v>
      </c>
      <c r="S94" s="2">
        <f t="shared" si="31"/>
        <v>169633.29</v>
      </c>
      <c r="T94" s="2">
        <f t="shared" si="38"/>
        <v>1944849.1</v>
      </c>
      <c r="U94" s="171">
        <f t="shared" si="34"/>
        <v>3.5200000000000002E-2</v>
      </c>
      <c r="V94" s="5">
        <f t="shared" si="39"/>
        <v>5207.3</v>
      </c>
      <c r="W94" s="2">
        <f t="shared" si="40"/>
        <v>23342.66</v>
      </c>
      <c r="X94" s="2">
        <f t="shared" si="32"/>
        <v>1921506.4400000002</v>
      </c>
      <c r="AA94">
        <v>169633.29</v>
      </c>
    </row>
    <row r="95" spans="1:27">
      <c r="A95" s="163">
        <v>201810</v>
      </c>
      <c r="B95" s="163">
        <v>36500</v>
      </c>
      <c r="C95" s="2">
        <v>0</v>
      </c>
      <c r="D95" s="2">
        <v>0</v>
      </c>
      <c r="E95" s="2">
        <v>0</v>
      </c>
      <c r="F95" s="2">
        <v>0</v>
      </c>
      <c r="G95" s="2">
        <v>0</v>
      </c>
      <c r="H95" s="2">
        <v>0</v>
      </c>
      <c r="I95" s="2">
        <v>0</v>
      </c>
      <c r="J95" s="2">
        <f t="shared" si="29"/>
        <v>0</v>
      </c>
      <c r="K95" s="2">
        <f t="shared" si="35"/>
        <v>0</v>
      </c>
      <c r="L95" s="171">
        <f t="shared" si="33"/>
        <v>3.5200000000000002E-2</v>
      </c>
      <c r="M95" s="1">
        <f t="shared" si="36"/>
        <v>0</v>
      </c>
      <c r="N95" s="2">
        <f t="shared" si="37"/>
        <v>0</v>
      </c>
      <c r="O95" s="2">
        <f t="shared" si="30"/>
        <v>0</v>
      </c>
      <c r="P95" s="169"/>
      <c r="Q95" s="175">
        <v>236019.58</v>
      </c>
      <c r="R95" s="2">
        <v>0</v>
      </c>
      <c r="S95" s="2">
        <f t="shared" si="31"/>
        <v>236019.58</v>
      </c>
      <c r="T95" s="2">
        <f t="shared" si="38"/>
        <v>2180868.6800000002</v>
      </c>
      <c r="U95" s="171">
        <f t="shared" si="34"/>
        <v>3.5200000000000002E-2</v>
      </c>
      <c r="V95" s="5">
        <f t="shared" si="39"/>
        <v>5704.89</v>
      </c>
      <c r="W95" s="2">
        <f t="shared" si="40"/>
        <v>29047.55</v>
      </c>
      <c r="X95" s="2">
        <f t="shared" si="32"/>
        <v>2151821.1300000004</v>
      </c>
      <c r="AA95">
        <v>236019.58</v>
      </c>
    </row>
    <row r="96" spans="1:27">
      <c r="A96" s="163">
        <v>201811</v>
      </c>
      <c r="B96" s="163">
        <v>36500</v>
      </c>
      <c r="C96" s="2">
        <v>0</v>
      </c>
      <c r="D96" s="2">
        <v>0</v>
      </c>
      <c r="E96" s="2">
        <v>0</v>
      </c>
      <c r="F96" s="2">
        <v>0</v>
      </c>
      <c r="G96" s="2">
        <v>0</v>
      </c>
      <c r="H96" s="2">
        <v>0</v>
      </c>
      <c r="I96" s="2">
        <v>0</v>
      </c>
      <c r="J96" s="2">
        <f t="shared" si="29"/>
        <v>0</v>
      </c>
      <c r="K96" s="2">
        <f t="shared" si="35"/>
        <v>0</v>
      </c>
      <c r="L96" s="171">
        <f t="shared" si="33"/>
        <v>3.5200000000000002E-2</v>
      </c>
      <c r="M96" s="1">
        <f t="shared" si="36"/>
        <v>0</v>
      </c>
      <c r="N96" s="2">
        <f t="shared" si="37"/>
        <v>0</v>
      </c>
      <c r="O96" s="2">
        <f t="shared" si="30"/>
        <v>0</v>
      </c>
      <c r="P96" s="169"/>
      <c r="Q96" s="175">
        <v>185030.5</v>
      </c>
      <c r="R96" s="2">
        <v>0</v>
      </c>
      <c r="S96" s="2">
        <f t="shared" si="31"/>
        <v>185030.5</v>
      </c>
      <c r="T96" s="2">
        <f t="shared" si="38"/>
        <v>2365899.1800000002</v>
      </c>
      <c r="U96" s="171">
        <f t="shared" si="34"/>
        <v>3.5200000000000002E-2</v>
      </c>
      <c r="V96" s="5">
        <f t="shared" si="39"/>
        <v>6397.21</v>
      </c>
      <c r="W96" s="2">
        <f t="shared" si="40"/>
        <v>35444.76</v>
      </c>
      <c r="X96" s="2">
        <f t="shared" si="32"/>
        <v>2330454.4200000004</v>
      </c>
      <c r="AA96">
        <v>185030.5</v>
      </c>
    </row>
    <row r="97" spans="1:27">
      <c r="A97" s="163">
        <v>201812</v>
      </c>
      <c r="B97" s="163">
        <v>36500</v>
      </c>
      <c r="C97" s="2">
        <v>0</v>
      </c>
      <c r="D97" s="2">
        <v>0</v>
      </c>
      <c r="E97" s="2">
        <v>0</v>
      </c>
      <c r="F97" s="2">
        <v>0</v>
      </c>
      <c r="G97" s="2">
        <v>0</v>
      </c>
      <c r="H97" s="2">
        <v>0</v>
      </c>
      <c r="I97" s="2">
        <v>0</v>
      </c>
      <c r="J97" s="2">
        <f t="shared" si="29"/>
        <v>0</v>
      </c>
      <c r="K97" s="2">
        <f t="shared" si="35"/>
        <v>0</v>
      </c>
      <c r="L97" s="171">
        <f t="shared" si="33"/>
        <v>3.5200000000000002E-2</v>
      </c>
      <c r="M97" s="1">
        <f t="shared" si="36"/>
        <v>0</v>
      </c>
      <c r="N97" s="2">
        <f t="shared" si="37"/>
        <v>0</v>
      </c>
      <c r="O97" s="2">
        <f t="shared" si="30"/>
        <v>0</v>
      </c>
      <c r="P97" s="169"/>
      <c r="Q97" s="175">
        <v>660980.27</v>
      </c>
      <c r="R97" s="2">
        <v>0</v>
      </c>
      <c r="S97" s="2">
        <f t="shared" si="31"/>
        <v>660980.27</v>
      </c>
      <c r="T97" s="2">
        <f t="shared" si="38"/>
        <v>3026879.45</v>
      </c>
      <c r="U97" s="171">
        <f t="shared" si="34"/>
        <v>3.5200000000000002E-2</v>
      </c>
      <c r="V97" s="5">
        <f t="shared" si="39"/>
        <v>6939.97</v>
      </c>
      <c r="W97" s="2">
        <f t="shared" si="40"/>
        <v>42384.73</v>
      </c>
      <c r="X97" s="2">
        <f t="shared" si="32"/>
        <v>2984494.72</v>
      </c>
      <c r="AA97">
        <v>660980.27</v>
      </c>
    </row>
    <row r="98" spans="1:27">
      <c r="A98" s="163">
        <v>201901</v>
      </c>
      <c r="B98" s="163">
        <v>36500</v>
      </c>
      <c r="C98" s="2">
        <v>0</v>
      </c>
      <c r="D98" s="2">
        <v>0</v>
      </c>
      <c r="E98" s="2">
        <v>0</v>
      </c>
      <c r="F98" s="2">
        <v>0</v>
      </c>
      <c r="G98" s="2">
        <v>0</v>
      </c>
      <c r="H98" s="2">
        <v>0</v>
      </c>
      <c r="I98" s="2">
        <v>0</v>
      </c>
      <c r="J98" s="2">
        <f t="shared" si="29"/>
        <v>0</v>
      </c>
      <c r="K98" s="2">
        <f t="shared" si="35"/>
        <v>0</v>
      </c>
      <c r="L98" s="171">
        <f t="shared" si="33"/>
        <v>3.5200000000000002E-2</v>
      </c>
      <c r="M98" s="1">
        <f t="shared" si="36"/>
        <v>0</v>
      </c>
      <c r="N98" s="2">
        <f t="shared" si="37"/>
        <v>0</v>
      </c>
      <c r="O98" s="2">
        <f t="shared" si="30"/>
        <v>0</v>
      </c>
      <c r="P98" s="169"/>
      <c r="Q98" s="175">
        <v>88905.3</v>
      </c>
      <c r="R98" s="2">
        <v>0</v>
      </c>
      <c r="S98" s="2">
        <f t="shared" si="31"/>
        <v>88905.3</v>
      </c>
      <c r="T98" s="2">
        <f t="shared" si="38"/>
        <v>3115784.75</v>
      </c>
      <c r="U98" s="171">
        <f t="shared" si="34"/>
        <v>3.5200000000000002E-2</v>
      </c>
      <c r="V98" s="5">
        <f t="shared" si="39"/>
        <v>8878.85</v>
      </c>
      <c r="W98" s="2">
        <f t="shared" si="40"/>
        <v>51263.58</v>
      </c>
      <c r="X98" s="2">
        <f t="shared" si="32"/>
        <v>3064521.17</v>
      </c>
      <c r="AA98">
        <v>88905.3</v>
      </c>
    </row>
    <row r="99" spans="1:27">
      <c r="A99" s="163">
        <v>201902</v>
      </c>
      <c r="B99" s="163">
        <v>36500</v>
      </c>
      <c r="C99" s="2">
        <v>0</v>
      </c>
      <c r="D99" s="2">
        <v>0</v>
      </c>
      <c r="E99" s="2">
        <v>0</v>
      </c>
      <c r="F99" s="2">
        <v>0</v>
      </c>
      <c r="G99" s="2">
        <v>0</v>
      </c>
      <c r="H99" s="2">
        <v>0</v>
      </c>
      <c r="I99" s="2">
        <v>0</v>
      </c>
      <c r="J99" s="2">
        <f t="shared" si="29"/>
        <v>0</v>
      </c>
      <c r="K99" s="2">
        <f t="shared" si="35"/>
        <v>0</v>
      </c>
      <c r="L99" s="171">
        <f t="shared" si="33"/>
        <v>3.5200000000000002E-2</v>
      </c>
      <c r="M99" s="1">
        <f t="shared" si="36"/>
        <v>0</v>
      </c>
      <c r="N99" s="2">
        <f t="shared" si="37"/>
        <v>0</v>
      </c>
      <c r="O99" s="2">
        <f t="shared" si="30"/>
        <v>0</v>
      </c>
      <c r="P99" s="169"/>
      <c r="Q99" s="175">
        <v>80169.91</v>
      </c>
      <c r="R99" s="2">
        <v>0</v>
      </c>
      <c r="S99" s="2">
        <f t="shared" si="31"/>
        <v>80169.91</v>
      </c>
      <c r="T99" s="2">
        <f t="shared" si="38"/>
        <v>3195954.66</v>
      </c>
      <c r="U99" s="171">
        <f t="shared" si="34"/>
        <v>3.5200000000000002E-2</v>
      </c>
      <c r="V99" s="5">
        <f t="shared" si="39"/>
        <v>9139.64</v>
      </c>
      <c r="W99" s="2">
        <f t="shared" si="40"/>
        <v>60403.22</v>
      </c>
      <c r="X99" s="2">
        <f t="shared" si="32"/>
        <v>3135551.44</v>
      </c>
      <c r="AA99">
        <v>80169.91</v>
      </c>
    </row>
    <row r="100" spans="1:27">
      <c r="A100" s="163">
        <v>201903</v>
      </c>
      <c r="B100" s="163">
        <v>36500</v>
      </c>
      <c r="C100" s="2">
        <v>0</v>
      </c>
      <c r="D100" s="2">
        <v>0</v>
      </c>
      <c r="E100" s="2">
        <v>0</v>
      </c>
      <c r="F100" s="2">
        <v>0</v>
      </c>
      <c r="G100" s="2">
        <v>0</v>
      </c>
      <c r="H100" s="2">
        <v>0</v>
      </c>
      <c r="I100" s="2">
        <v>0</v>
      </c>
      <c r="J100" s="2">
        <f t="shared" si="29"/>
        <v>0</v>
      </c>
      <c r="K100" s="2">
        <f t="shared" si="35"/>
        <v>0</v>
      </c>
      <c r="L100" s="171">
        <f t="shared" si="33"/>
        <v>3.5200000000000002E-2</v>
      </c>
      <c r="M100" s="1">
        <f t="shared" si="36"/>
        <v>0</v>
      </c>
      <c r="N100" s="2">
        <f t="shared" si="37"/>
        <v>0</v>
      </c>
      <c r="O100" s="2">
        <f t="shared" si="30"/>
        <v>0</v>
      </c>
      <c r="P100" s="169"/>
      <c r="Q100" s="175">
        <v>9143.0499999999993</v>
      </c>
      <c r="R100" s="2">
        <v>0</v>
      </c>
      <c r="S100" s="2">
        <f t="shared" si="31"/>
        <v>9143.0499999999993</v>
      </c>
      <c r="T100" s="2">
        <f t="shared" si="38"/>
        <v>3205097.71</v>
      </c>
      <c r="U100" s="171">
        <f t="shared" si="34"/>
        <v>3.5200000000000002E-2</v>
      </c>
      <c r="V100" s="5">
        <f t="shared" si="39"/>
        <v>9374.7999999999993</v>
      </c>
      <c r="W100" s="2">
        <f t="shared" si="40"/>
        <v>69778.02</v>
      </c>
      <c r="X100" s="2">
        <f t="shared" si="32"/>
        <v>3135319.69</v>
      </c>
      <c r="AA100">
        <v>9143.0499999999993</v>
      </c>
    </row>
    <row r="101" spans="1:27">
      <c r="A101" s="163">
        <v>201904</v>
      </c>
      <c r="B101" s="163">
        <v>36500</v>
      </c>
      <c r="C101" s="2">
        <v>0</v>
      </c>
      <c r="D101" s="2">
        <v>0</v>
      </c>
      <c r="E101" s="2">
        <v>0</v>
      </c>
      <c r="F101" s="2">
        <v>0</v>
      </c>
      <c r="G101" s="2">
        <v>0</v>
      </c>
      <c r="H101" s="2">
        <v>0</v>
      </c>
      <c r="I101" s="2">
        <v>0</v>
      </c>
      <c r="J101" s="2">
        <f t="shared" si="29"/>
        <v>0</v>
      </c>
      <c r="K101" s="2">
        <f t="shared" si="35"/>
        <v>0</v>
      </c>
      <c r="L101" s="171">
        <f t="shared" si="33"/>
        <v>3.5200000000000002E-2</v>
      </c>
      <c r="M101" s="1">
        <f t="shared" si="36"/>
        <v>0</v>
      </c>
      <c r="N101" s="2">
        <f t="shared" si="37"/>
        <v>0</v>
      </c>
      <c r="O101" s="2">
        <f t="shared" si="30"/>
        <v>0</v>
      </c>
      <c r="P101" s="169"/>
      <c r="Q101" s="175">
        <v>3046.48</v>
      </c>
      <c r="R101" s="2">
        <v>0</v>
      </c>
      <c r="S101" s="2">
        <f t="shared" si="31"/>
        <v>3046.48</v>
      </c>
      <c r="T101" s="2">
        <f t="shared" si="38"/>
        <v>3208144.19</v>
      </c>
      <c r="U101" s="171">
        <f t="shared" si="34"/>
        <v>3.5200000000000002E-2</v>
      </c>
      <c r="V101" s="5">
        <f t="shared" si="39"/>
        <v>9401.6200000000008</v>
      </c>
      <c r="W101" s="2">
        <f t="shared" si="40"/>
        <v>79179.64</v>
      </c>
      <c r="X101" s="2">
        <f t="shared" si="32"/>
        <v>3128964.55</v>
      </c>
      <c r="AA101">
        <v>3046.48</v>
      </c>
    </row>
    <row r="102" spans="1:27">
      <c r="A102" s="163">
        <v>201908</v>
      </c>
      <c r="B102" s="163">
        <v>36500</v>
      </c>
      <c r="C102" s="2">
        <v>5995105.7300000004</v>
      </c>
      <c r="D102" s="2">
        <v>0</v>
      </c>
      <c r="E102" s="2">
        <v>0</v>
      </c>
      <c r="F102" s="2">
        <v>0</v>
      </c>
      <c r="G102" s="2">
        <v>0</v>
      </c>
      <c r="H102" s="2">
        <v>0</v>
      </c>
      <c r="I102" s="2">
        <v>0</v>
      </c>
      <c r="J102" s="2">
        <f t="shared" si="29"/>
        <v>5995105.7300000004</v>
      </c>
      <c r="K102" s="2">
        <f t="shared" si="35"/>
        <v>5995105.7300000004</v>
      </c>
      <c r="L102" s="171">
        <f>3.52%</f>
        <v>3.5200000000000002E-2</v>
      </c>
      <c r="M102" s="1">
        <f t="shared" si="36"/>
        <v>0</v>
      </c>
      <c r="N102" s="2">
        <f t="shared" si="37"/>
        <v>0</v>
      </c>
      <c r="O102" s="2">
        <f t="shared" si="30"/>
        <v>5995105.7300000004</v>
      </c>
      <c r="Q102" s="2">
        <v>0</v>
      </c>
      <c r="R102" s="2">
        <v>0</v>
      </c>
      <c r="S102" s="2">
        <f t="shared" si="31"/>
        <v>0</v>
      </c>
      <c r="T102" s="2">
        <f t="shared" si="38"/>
        <v>3208144.19</v>
      </c>
      <c r="U102" s="171">
        <f t="shared" si="34"/>
        <v>3.5200000000000002E-2</v>
      </c>
      <c r="V102" s="5">
        <f t="shared" si="39"/>
        <v>9410.56</v>
      </c>
      <c r="W102" s="2">
        <f t="shared" si="40"/>
        <v>88590.2</v>
      </c>
      <c r="X102" s="2">
        <f t="shared" si="32"/>
        <v>3119553.9899999998</v>
      </c>
      <c r="AA102">
        <v>0</v>
      </c>
    </row>
    <row r="103" spans="1:27">
      <c r="A103" s="163">
        <v>201909</v>
      </c>
      <c r="B103" s="163">
        <v>36500</v>
      </c>
      <c r="C103" s="2">
        <v>0</v>
      </c>
      <c r="D103" s="2">
        <v>0</v>
      </c>
      <c r="E103" s="2">
        <v>0</v>
      </c>
      <c r="F103" s="2">
        <v>0</v>
      </c>
      <c r="G103" s="2">
        <v>0</v>
      </c>
      <c r="H103" s="2">
        <v>0</v>
      </c>
      <c r="I103" s="2">
        <v>0</v>
      </c>
      <c r="J103" s="2">
        <f t="shared" si="29"/>
        <v>0</v>
      </c>
      <c r="K103" s="2">
        <f t="shared" si="35"/>
        <v>5995105.7300000004</v>
      </c>
      <c r="L103" s="171">
        <f t="shared" ref="L103:L166" si="41">3.52%</f>
        <v>3.5200000000000002E-2</v>
      </c>
      <c r="M103" s="1">
        <f t="shared" si="36"/>
        <v>17585.64</v>
      </c>
      <c r="N103" s="2">
        <f t="shared" si="37"/>
        <v>17585.64</v>
      </c>
      <c r="O103" s="2">
        <f t="shared" si="30"/>
        <v>5977520.0900000008</v>
      </c>
      <c r="Q103" s="2">
        <v>0</v>
      </c>
      <c r="R103" s="2">
        <v>0</v>
      </c>
      <c r="S103" s="2">
        <f t="shared" si="31"/>
        <v>0</v>
      </c>
      <c r="T103" s="2">
        <f t="shared" si="38"/>
        <v>3208144.19</v>
      </c>
      <c r="U103" s="171">
        <f t="shared" si="34"/>
        <v>3.5200000000000002E-2</v>
      </c>
      <c r="V103" s="5">
        <f t="shared" si="39"/>
        <v>9410.56</v>
      </c>
      <c r="W103" s="2">
        <f t="shared" si="40"/>
        <v>98000.76</v>
      </c>
      <c r="X103" s="2">
        <f t="shared" si="32"/>
        <v>3110143.43</v>
      </c>
      <c r="AA103">
        <v>0</v>
      </c>
    </row>
    <row r="104" spans="1:27">
      <c r="A104" s="163">
        <v>201910</v>
      </c>
      <c r="B104" s="163">
        <v>36500</v>
      </c>
      <c r="C104" s="2">
        <v>0</v>
      </c>
      <c r="D104" s="2">
        <v>0</v>
      </c>
      <c r="E104" s="2">
        <v>0</v>
      </c>
      <c r="F104" s="2">
        <v>0</v>
      </c>
      <c r="G104" s="2">
        <v>0</v>
      </c>
      <c r="H104" s="2">
        <v>0</v>
      </c>
      <c r="I104" s="2">
        <v>0</v>
      </c>
      <c r="J104" s="2">
        <f t="shared" si="29"/>
        <v>0</v>
      </c>
      <c r="K104" s="2">
        <f t="shared" si="35"/>
        <v>5995105.7300000004</v>
      </c>
      <c r="L104" s="171">
        <f t="shared" si="41"/>
        <v>3.5200000000000002E-2</v>
      </c>
      <c r="M104" s="1">
        <f t="shared" si="36"/>
        <v>17585.64</v>
      </c>
      <c r="N104" s="2">
        <f t="shared" si="37"/>
        <v>35171.279999999999</v>
      </c>
      <c r="O104" s="2">
        <f t="shared" si="30"/>
        <v>5959934.4500000002</v>
      </c>
      <c r="Q104" s="2">
        <v>0</v>
      </c>
      <c r="R104" s="2">
        <v>0</v>
      </c>
      <c r="S104" s="2">
        <f t="shared" si="31"/>
        <v>0</v>
      </c>
      <c r="T104" s="2">
        <f t="shared" si="38"/>
        <v>3208144.19</v>
      </c>
      <c r="U104" s="171">
        <f t="shared" si="34"/>
        <v>3.5200000000000002E-2</v>
      </c>
      <c r="V104" s="5">
        <f t="shared" si="39"/>
        <v>9410.56</v>
      </c>
      <c r="W104" s="2">
        <f t="shared" si="40"/>
        <v>107411.31999999999</v>
      </c>
      <c r="X104" s="2">
        <f t="shared" si="32"/>
        <v>3100732.87</v>
      </c>
      <c r="AA104">
        <v>0</v>
      </c>
    </row>
    <row r="105" spans="1:27">
      <c r="A105" s="163">
        <v>201911</v>
      </c>
      <c r="B105" s="163">
        <v>36500</v>
      </c>
      <c r="C105" s="2">
        <v>0</v>
      </c>
      <c r="D105" s="2">
        <v>0</v>
      </c>
      <c r="E105" s="2">
        <v>0</v>
      </c>
      <c r="F105" s="2">
        <v>0</v>
      </c>
      <c r="G105" s="2">
        <v>0</v>
      </c>
      <c r="H105" s="2">
        <v>0</v>
      </c>
      <c r="I105" s="2">
        <v>0</v>
      </c>
      <c r="J105" s="2">
        <f t="shared" si="29"/>
        <v>0</v>
      </c>
      <c r="K105" s="2">
        <f t="shared" si="35"/>
        <v>5995105.7300000004</v>
      </c>
      <c r="L105" s="171">
        <f t="shared" si="41"/>
        <v>3.5200000000000002E-2</v>
      </c>
      <c r="M105" s="1">
        <f t="shared" si="36"/>
        <v>17585.64</v>
      </c>
      <c r="N105" s="2">
        <f t="shared" si="37"/>
        <v>52756.92</v>
      </c>
      <c r="O105" s="2">
        <f t="shared" si="30"/>
        <v>5942348.8100000005</v>
      </c>
      <c r="Q105" s="2">
        <v>0</v>
      </c>
      <c r="R105" s="2">
        <v>0</v>
      </c>
      <c r="S105" s="2">
        <f t="shared" si="31"/>
        <v>0</v>
      </c>
      <c r="T105" s="2">
        <f t="shared" si="38"/>
        <v>3208144.19</v>
      </c>
      <c r="U105" s="171">
        <f t="shared" si="34"/>
        <v>3.5200000000000002E-2</v>
      </c>
      <c r="V105" s="5">
        <f t="shared" si="39"/>
        <v>9410.56</v>
      </c>
      <c r="W105" s="2">
        <f t="shared" si="40"/>
        <v>116821.87999999999</v>
      </c>
      <c r="X105" s="2">
        <f t="shared" si="32"/>
        <v>3091322.31</v>
      </c>
      <c r="AA105">
        <v>0</v>
      </c>
    </row>
    <row r="106" spans="1:27">
      <c r="A106" s="163">
        <v>201912</v>
      </c>
      <c r="B106" s="163">
        <v>36500</v>
      </c>
      <c r="C106" s="2">
        <v>0</v>
      </c>
      <c r="D106" s="2">
        <v>0</v>
      </c>
      <c r="E106" s="2">
        <v>0</v>
      </c>
      <c r="F106" s="2">
        <v>0</v>
      </c>
      <c r="G106" s="2">
        <v>0</v>
      </c>
      <c r="H106" s="2">
        <v>0</v>
      </c>
      <c r="I106" s="2">
        <v>0</v>
      </c>
      <c r="J106" s="2">
        <f t="shared" si="29"/>
        <v>0</v>
      </c>
      <c r="K106" s="2">
        <f t="shared" si="35"/>
        <v>5995105.7300000004</v>
      </c>
      <c r="L106" s="171">
        <f t="shared" si="41"/>
        <v>3.5200000000000002E-2</v>
      </c>
      <c r="M106" s="1">
        <f t="shared" si="36"/>
        <v>17585.64</v>
      </c>
      <c r="N106" s="2">
        <f t="shared" si="37"/>
        <v>70342.559999999998</v>
      </c>
      <c r="O106" s="2">
        <f t="shared" si="30"/>
        <v>5924763.1700000009</v>
      </c>
      <c r="Q106" s="2">
        <v>0</v>
      </c>
      <c r="R106" s="2">
        <v>0</v>
      </c>
      <c r="S106" s="2">
        <f t="shared" si="31"/>
        <v>0</v>
      </c>
      <c r="T106" s="2">
        <f t="shared" si="38"/>
        <v>3208144.19</v>
      </c>
      <c r="U106" s="171">
        <f t="shared" si="34"/>
        <v>3.5200000000000002E-2</v>
      </c>
      <c r="V106" s="5">
        <f t="shared" si="39"/>
        <v>9410.56</v>
      </c>
      <c r="W106" s="2">
        <f t="shared" si="40"/>
        <v>126232.43999999999</v>
      </c>
      <c r="X106" s="2">
        <f t="shared" si="32"/>
        <v>3081911.75</v>
      </c>
      <c r="AA106">
        <v>0</v>
      </c>
    </row>
    <row r="107" spans="1:27">
      <c r="A107" s="163">
        <v>202001</v>
      </c>
      <c r="B107" s="163">
        <v>36500</v>
      </c>
      <c r="C107" s="2">
        <v>0</v>
      </c>
      <c r="D107" s="2">
        <v>0</v>
      </c>
      <c r="E107" s="2">
        <v>0</v>
      </c>
      <c r="F107" s="2">
        <v>0</v>
      </c>
      <c r="G107" s="2">
        <v>0</v>
      </c>
      <c r="H107" s="2">
        <v>0</v>
      </c>
      <c r="I107" s="2">
        <v>0</v>
      </c>
      <c r="J107" s="2">
        <f t="shared" si="29"/>
        <v>0</v>
      </c>
      <c r="K107" s="2">
        <f t="shared" si="35"/>
        <v>5995105.7300000004</v>
      </c>
      <c r="L107" s="171">
        <f t="shared" si="41"/>
        <v>3.5200000000000002E-2</v>
      </c>
      <c r="M107" s="1">
        <f t="shared" si="36"/>
        <v>17585.64</v>
      </c>
      <c r="N107" s="2">
        <f t="shared" si="37"/>
        <v>87928.2</v>
      </c>
      <c r="O107" s="2">
        <f t="shared" si="30"/>
        <v>5907177.5300000003</v>
      </c>
      <c r="Q107" s="2">
        <v>0</v>
      </c>
      <c r="R107" s="2">
        <v>0</v>
      </c>
      <c r="S107" s="2">
        <f t="shared" si="31"/>
        <v>0</v>
      </c>
      <c r="T107" s="2">
        <f t="shared" si="38"/>
        <v>3208144.19</v>
      </c>
      <c r="U107" s="171">
        <f t="shared" si="34"/>
        <v>3.5200000000000002E-2</v>
      </c>
      <c r="V107" s="5">
        <f t="shared" si="39"/>
        <v>9410.56</v>
      </c>
      <c r="W107" s="2">
        <f t="shared" si="40"/>
        <v>135643</v>
      </c>
      <c r="X107" s="2">
        <f t="shared" si="32"/>
        <v>3072501.19</v>
      </c>
      <c r="AA107">
        <v>0</v>
      </c>
    </row>
    <row r="108" spans="1:27">
      <c r="A108" s="163">
        <v>202002</v>
      </c>
      <c r="B108" s="163">
        <v>36500</v>
      </c>
      <c r="C108" s="2">
        <v>0</v>
      </c>
      <c r="D108" s="2">
        <v>0</v>
      </c>
      <c r="E108" s="2">
        <v>0</v>
      </c>
      <c r="F108" s="2">
        <v>0</v>
      </c>
      <c r="G108" s="2">
        <v>0</v>
      </c>
      <c r="H108" s="2">
        <v>0</v>
      </c>
      <c r="I108" s="2">
        <v>0</v>
      </c>
      <c r="J108" s="2">
        <f t="shared" si="29"/>
        <v>0</v>
      </c>
      <c r="K108" s="2">
        <f t="shared" si="35"/>
        <v>5995105.7300000004</v>
      </c>
      <c r="L108" s="171">
        <f t="shared" si="41"/>
        <v>3.5200000000000002E-2</v>
      </c>
      <c r="M108" s="1">
        <f t="shared" si="36"/>
        <v>17585.64</v>
      </c>
      <c r="N108" s="2">
        <f t="shared" si="37"/>
        <v>105513.84</v>
      </c>
      <c r="O108" s="2">
        <f t="shared" si="30"/>
        <v>5889591.8900000006</v>
      </c>
      <c r="Q108" s="2">
        <v>0</v>
      </c>
      <c r="R108" s="2">
        <v>0</v>
      </c>
      <c r="S108" s="2">
        <f t="shared" si="31"/>
        <v>0</v>
      </c>
      <c r="T108" s="2">
        <f t="shared" si="38"/>
        <v>3208144.19</v>
      </c>
      <c r="U108" s="171">
        <f t="shared" si="34"/>
        <v>3.5200000000000002E-2</v>
      </c>
      <c r="V108" s="5">
        <f t="shared" si="39"/>
        <v>9410.56</v>
      </c>
      <c r="W108" s="2">
        <f t="shared" si="40"/>
        <v>145053.56</v>
      </c>
      <c r="X108" s="2">
        <f t="shared" si="32"/>
        <v>3063090.63</v>
      </c>
      <c r="AA108">
        <v>0</v>
      </c>
    </row>
    <row r="109" spans="1:27">
      <c r="A109" s="163">
        <v>202003</v>
      </c>
      <c r="B109" s="163">
        <v>36500</v>
      </c>
      <c r="C109" s="2">
        <v>0</v>
      </c>
      <c r="D109" s="2">
        <v>0</v>
      </c>
      <c r="E109" s="2">
        <v>0</v>
      </c>
      <c r="F109" s="2">
        <v>0</v>
      </c>
      <c r="G109" s="2">
        <v>0</v>
      </c>
      <c r="H109" s="2">
        <v>0</v>
      </c>
      <c r="I109" s="2">
        <v>0</v>
      </c>
      <c r="J109" s="2">
        <f t="shared" si="29"/>
        <v>0</v>
      </c>
      <c r="K109" s="2">
        <f t="shared" si="35"/>
        <v>5995105.7300000004</v>
      </c>
      <c r="L109" s="171">
        <f t="shared" si="41"/>
        <v>3.5200000000000002E-2</v>
      </c>
      <c r="M109" s="1">
        <f t="shared" si="36"/>
        <v>17585.64</v>
      </c>
      <c r="N109" s="2">
        <f t="shared" si="37"/>
        <v>123099.48</v>
      </c>
      <c r="O109" s="2">
        <f t="shared" si="30"/>
        <v>5872006.25</v>
      </c>
      <c r="Q109" s="2">
        <v>0</v>
      </c>
      <c r="R109" s="2">
        <v>0</v>
      </c>
      <c r="S109" s="2">
        <f t="shared" si="31"/>
        <v>0</v>
      </c>
      <c r="T109" s="2">
        <f t="shared" si="38"/>
        <v>3208144.19</v>
      </c>
      <c r="U109" s="171">
        <f t="shared" si="34"/>
        <v>3.5200000000000002E-2</v>
      </c>
      <c r="V109" s="5">
        <f t="shared" si="39"/>
        <v>9410.56</v>
      </c>
      <c r="W109" s="2">
        <f t="shared" si="40"/>
        <v>154464.12</v>
      </c>
      <c r="X109" s="2">
        <f t="shared" si="32"/>
        <v>3053680.07</v>
      </c>
      <c r="AA109">
        <v>0</v>
      </c>
    </row>
    <row r="110" spans="1:27">
      <c r="A110" s="163">
        <v>202004</v>
      </c>
      <c r="B110" s="163">
        <v>36500</v>
      </c>
      <c r="C110" s="2">
        <v>0</v>
      </c>
      <c r="D110" s="2">
        <v>0</v>
      </c>
      <c r="E110" s="2">
        <v>0</v>
      </c>
      <c r="F110" s="2">
        <v>0</v>
      </c>
      <c r="G110" s="2">
        <v>0</v>
      </c>
      <c r="H110" s="2">
        <v>0</v>
      </c>
      <c r="I110" s="2">
        <v>0</v>
      </c>
      <c r="J110" s="2">
        <f t="shared" si="29"/>
        <v>0</v>
      </c>
      <c r="K110" s="2">
        <f t="shared" si="35"/>
        <v>5995105.7300000004</v>
      </c>
      <c r="L110" s="171">
        <f t="shared" si="41"/>
        <v>3.5200000000000002E-2</v>
      </c>
      <c r="M110" s="1">
        <f t="shared" si="36"/>
        <v>17585.64</v>
      </c>
      <c r="N110" s="2">
        <f t="shared" si="37"/>
        <v>140685.12</v>
      </c>
      <c r="O110" s="2">
        <f t="shared" si="30"/>
        <v>5854420.6100000003</v>
      </c>
      <c r="Q110" s="2">
        <v>0</v>
      </c>
      <c r="R110" s="2">
        <v>0</v>
      </c>
      <c r="S110" s="2">
        <f t="shared" si="31"/>
        <v>0</v>
      </c>
      <c r="T110" s="2">
        <f t="shared" si="38"/>
        <v>3208144.19</v>
      </c>
      <c r="U110" s="171">
        <f t="shared" si="34"/>
        <v>3.5200000000000002E-2</v>
      </c>
      <c r="V110" s="5">
        <f t="shared" si="39"/>
        <v>9410.56</v>
      </c>
      <c r="W110" s="2">
        <f t="shared" si="40"/>
        <v>163874.68</v>
      </c>
      <c r="X110" s="2">
        <f t="shared" si="32"/>
        <v>3044269.51</v>
      </c>
      <c r="AA110">
        <v>0</v>
      </c>
    </row>
    <row r="111" spans="1:27">
      <c r="A111" s="163">
        <v>202005</v>
      </c>
      <c r="B111" s="163">
        <v>36500</v>
      </c>
      <c r="C111" s="2">
        <v>0</v>
      </c>
      <c r="D111" s="2">
        <v>0</v>
      </c>
      <c r="E111" s="2">
        <v>0</v>
      </c>
      <c r="F111" s="2">
        <v>0</v>
      </c>
      <c r="G111" s="2">
        <v>0</v>
      </c>
      <c r="H111" s="2">
        <v>0</v>
      </c>
      <c r="I111" s="2">
        <v>0</v>
      </c>
      <c r="J111" s="2">
        <f t="shared" si="29"/>
        <v>0</v>
      </c>
      <c r="K111" s="2">
        <f t="shared" si="35"/>
        <v>5995105.7300000004</v>
      </c>
      <c r="L111" s="171">
        <f t="shared" si="41"/>
        <v>3.5200000000000002E-2</v>
      </c>
      <c r="M111" s="1">
        <f t="shared" si="36"/>
        <v>17585.64</v>
      </c>
      <c r="N111" s="2">
        <f t="shared" si="37"/>
        <v>158270.76</v>
      </c>
      <c r="O111" s="2">
        <f t="shared" si="30"/>
        <v>5836834.9700000007</v>
      </c>
      <c r="Q111" s="2">
        <v>0</v>
      </c>
      <c r="R111" s="2">
        <v>0</v>
      </c>
      <c r="S111" s="2">
        <f t="shared" si="31"/>
        <v>0</v>
      </c>
      <c r="T111" s="2">
        <f t="shared" si="38"/>
        <v>3208144.19</v>
      </c>
      <c r="U111" s="171">
        <f t="shared" si="34"/>
        <v>3.5200000000000002E-2</v>
      </c>
      <c r="V111" s="5">
        <f t="shared" si="39"/>
        <v>9410.56</v>
      </c>
      <c r="W111" s="2">
        <f t="shared" si="40"/>
        <v>173285.24</v>
      </c>
      <c r="X111" s="2">
        <f t="shared" si="32"/>
        <v>3034858.95</v>
      </c>
      <c r="AA111">
        <v>0</v>
      </c>
    </row>
    <row r="112" spans="1:27">
      <c r="A112" s="163">
        <v>202006</v>
      </c>
      <c r="B112" s="163">
        <v>36500</v>
      </c>
      <c r="C112" s="2">
        <v>0</v>
      </c>
      <c r="D112" s="2">
        <v>0</v>
      </c>
      <c r="E112" s="2">
        <v>0</v>
      </c>
      <c r="F112" s="2">
        <v>0</v>
      </c>
      <c r="G112" s="2">
        <v>0</v>
      </c>
      <c r="H112" s="2">
        <v>0</v>
      </c>
      <c r="I112" s="2">
        <v>0</v>
      </c>
      <c r="J112" s="2">
        <f t="shared" si="29"/>
        <v>0</v>
      </c>
      <c r="K112" s="2">
        <f t="shared" si="35"/>
        <v>5995105.7300000004</v>
      </c>
      <c r="L112" s="171">
        <f t="shared" si="41"/>
        <v>3.5200000000000002E-2</v>
      </c>
      <c r="M112" s="1">
        <f t="shared" si="36"/>
        <v>17585.64</v>
      </c>
      <c r="N112" s="2">
        <f t="shared" si="37"/>
        <v>175856.40000000002</v>
      </c>
      <c r="O112" s="2">
        <f t="shared" si="30"/>
        <v>5819249.3300000001</v>
      </c>
      <c r="Q112" s="2">
        <v>0</v>
      </c>
      <c r="R112" s="2">
        <v>0</v>
      </c>
      <c r="S112" s="2">
        <f t="shared" si="31"/>
        <v>0</v>
      </c>
      <c r="T112" s="2">
        <f t="shared" si="38"/>
        <v>3208144.19</v>
      </c>
      <c r="U112" s="171">
        <f t="shared" si="34"/>
        <v>3.5200000000000002E-2</v>
      </c>
      <c r="V112" s="5">
        <f t="shared" si="39"/>
        <v>9410.56</v>
      </c>
      <c r="W112" s="2">
        <f t="shared" si="40"/>
        <v>182695.8</v>
      </c>
      <c r="X112" s="2">
        <f t="shared" si="32"/>
        <v>3025448.39</v>
      </c>
      <c r="AA112">
        <v>0</v>
      </c>
    </row>
    <row r="113" spans="1:27">
      <c r="A113" s="163">
        <v>202007</v>
      </c>
      <c r="B113" s="163">
        <v>36500</v>
      </c>
      <c r="C113" s="2">
        <v>0</v>
      </c>
      <c r="D113" s="2">
        <v>0</v>
      </c>
      <c r="E113" s="2">
        <v>0</v>
      </c>
      <c r="F113" s="2">
        <v>0</v>
      </c>
      <c r="G113" s="2">
        <v>0</v>
      </c>
      <c r="H113" s="2">
        <v>0</v>
      </c>
      <c r="I113" s="2">
        <v>0</v>
      </c>
      <c r="J113" s="2">
        <f t="shared" si="29"/>
        <v>0</v>
      </c>
      <c r="K113" s="2">
        <f t="shared" si="35"/>
        <v>5995105.7300000004</v>
      </c>
      <c r="L113" s="171">
        <f t="shared" si="41"/>
        <v>3.5200000000000002E-2</v>
      </c>
      <c r="M113" s="1">
        <f t="shared" si="36"/>
        <v>17585.64</v>
      </c>
      <c r="N113" s="2">
        <f t="shared" si="37"/>
        <v>193442.04000000004</v>
      </c>
      <c r="O113" s="2">
        <f t="shared" si="30"/>
        <v>5801663.6900000004</v>
      </c>
      <c r="Q113" s="2">
        <v>0</v>
      </c>
      <c r="R113" s="2">
        <v>0</v>
      </c>
      <c r="S113" s="2">
        <f t="shared" si="31"/>
        <v>0</v>
      </c>
      <c r="T113" s="2">
        <f t="shared" si="38"/>
        <v>3208144.19</v>
      </c>
      <c r="U113" s="171">
        <f t="shared" si="34"/>
        <v>3.5200000000000002E-2</v>
      </c>
      <c r="V113" s="5">
        <f t="shared" si="39"/>
        <v>9410.56</v>
      </c>
      <c r="W113" s="2">
        <f t="shared" si="40"/>
        <v>192106.36</v>
      </c>
      <c r="X113" s="2">
        <f t="shared" si="32"/>
        <v>3016037.83</v>
      </c>
      <c r="AA113">
        <v>0</v>
      </c>
    </row>
    <row r="114" spans="1:27">
      <c r="A114" s="163">
        <v>202008</v>
      </c>
      <c r="B114" s="163">
        <v>36500</v>
      </c>
      <c r="C114" s="2">
        <v>0</v>
      </c>
      <c r="D114" s="2">
        <v>0</v>
      </c>
      <c r="E114" s="2">
        <v>0</v>
      </c>
      <c r="F114" s="2">
        <v>0</v>
      </c>
      <c r="G114" s="2">
        <v>0</v>
      </c>
      <c r="H114" s="2">
        <v>0</v>
      </c>
      <c r="I114" s="2">
        <v>0</v>
      </c>
      <c r="J114" s="2">
        <f t="shared" si="29"/>
        <v>0</v>
      </c>
      <c r="K114" s="2">
        <f t="shared" si="35"/>
        <v>5995105.7300000004</v>
      </c>
      <c r="L114" s="171">
        <f t="shared" si="41"/>
        <v>3.5200000000000002E-2</v>
      </c>
      <c r="M114" s="1">
        <f t="shared" si="36"/>
        <v>17585.64</v>
      </c>
      <c r="N114" s="2">
        <f t="shared" si="37"/>
        <v>211027.68000000005</v>
      </c>
      <c r="O114" s="2">
        <f t="shared" si="30"/>
        <v>5784078.0500000007</v>
      </c>
      <c r="Q114" s="2">
        <v>0</v>
      </c>
      <c r="R114" s="2">
        <v>0</v>
      </c>
      <c r="S114" s="2">
        <f t="shared" si="31"/>
        <v>0</v>
      </c>
      <c r="T114" s="2">
        <f t="shared" si="38"/>
        <v>3208144.19</v>
      </c>
      <c r="U114" s="171">
        <f t="shared" si="34"/>
        <v>3.5200000000000002E-2</v>
      </c>
      <c r="V114" s="5">
        <f t="shared" si="39"/>
        <v>9410.56</v>
      </c>
      <c r="W114" s="2">
        <f t="shared" si="40"/>
        <v>201516.91999999998</v>
      </c>
      <c r="X114" s="2">
        <f t="shared" si="32"/>
        <v>3006627.27</v>
      </c>
      <c r="AA114">
        <v>0</v>
      </c>
    </row>
    <row r="115" spans="1:27">
      <c r="A115" s="163">
        <v>202009</v>
      </c>
      <c r="B115" s="163">
        <v>36500</v>
      </c>
      <c r="C115" s="2">
        <v>0</v>
      </c>
      <c r="D115" s="2">
        <v>0</v>
      </c>
      <c r="E115" s="2">
        <v>0</v>
      </c>
      <c r="F115" s="2">
        <v>0</v>
      </c>
      <c r="G115" s="2">
        <v>0</v>
      </c>
      <c r="H115" s="2">
        <v>0</v>
      </c>
      <c r="I115" s="2">
        <v>0</v>
      </c>
      <c r="J115" s="2">
        <f t="shared" si="29"/>
        <v>0</v>
      </c>
      <c r="K115" s="2">
        <f t="shared" si="35"/>
        <v>5995105.7300000004</v>
      </c>
      <c r="L115" s="171">
        <f t="shared" si="41"/>
        <v>3.5200000000000002E-2</v>
      </c>
      <c r="M115" s="1">
        <f t="shared" si="36"/>
        <v>17585.64</v>
      </c>
      <c r="N115" s="2">
        <f t="shared" si="37"/>
        <v>228613.32000000007</v>
      </c>
      <c r="O115" s="2">
        <f t="shared" si="30"/>
        <v>5766492.4100000001</v>
      </c>
      <c r="Q115" s="2">
        <v>0</v>
      </c>
      <c r="R115" s="2">
        <v>0</v>
      </c>
      <c r="S115" s="2">
        <f t="shared" si="31"/>
        <v>0</v>
      </c>
      <c r="T115" s="2">
        <f t="shared" si="38"/>
        <v>3208144.19</v>
      </c>
      <c r="U115" s="171">
        <f t="shared" si="34"/>
        <v>3.5200000000000002E-2</v>
      </c>
      <c r="V115" s="5">
        <f t="shared" si="39"/>
        <v>9410.56</v>
      </c>
      <c r="W115" s="2">
        <f t="shared" si="40"/>
        <v>210927.47999999998</v>
      </c>
      <c r="X115" s="2">
        <f t="shared" si="32"/>
        <v>2997216.71</v>
      </c>
      <c r="AA115">
        <v>0</v>
      </c>
    </row>
    <row r="116" spans="1:27">
      <c r="A116" s="163">
        <v>202010</v>
      </c>
      <c r="B116" s="163">
        <v>36500</v>
      </c>
      <c r="C116" s="2">
        <v>0</v>
      </c>
      <c r="D116" s="2">
        <v>0</v>
      </c>
      <c r="E116" s="2">
        <v>0</v>
      </c>
      <c r="F116" s="2">
        <v>0</v>
      </c>
      <c r="G116" s="2">
        <v>0</v>
      </c>
      <c r="H116" s="2">
        <v>0</v>
      </c>
      <c r="I116" s="2">
        <v>0</v>
      </c>
      <c r="J116" s="2">
        <f t="shared" si="29"/>
        <v>0</v>
      </c>
      <c r="K116" s="2">
        <f t="shared" si="35"/>
        <v>5995105.7300000004</v>
      </c>
      <c r="L116" s="171">
        <f t="shared" si="41"/>
        <v>3.5200000000000002E-2</v>
      </c>
      <c r="M116" s="1">
        <f t="shared" si="36"/>
        <v>17585.64</v>
      </c>
      <c r="N116" s="2">
        <f t="shared" si="37"/>
        <v>246198.96000000008</v>
      </c>
      <c r="O116" s="2">
        <f t="shared" si="30"/>
        <v>5748906.7700000005</v>
      </c>
      <c r="Q116" s="2">
        <v>0</v>
      </c>
      <c r="R116" s="2">
        <v>0</v>
      </c>
      <c r="S116" s="2">
        <f t="shared" si="31"/>
        <v>0</v>
      </c>
      <c r="T116" s="2">
        <f t="shared" si="38"/>
        <v>3208144.19</v>
      </c>
      <c r="U116" s="171">
        <f t="shared" si="34"/>
        <v>3.5200000000000002E-2</v>
      </c>
      <c r="V116" s="5">
        <f t="shared" si="39"/>
        <v>9410.56</v>
      </c>
      <c r="W116" s="2">
        <f t="shared" si="40"/>
        <v>220338.03999999998</v>
      </c>
      <c r="X116" s="2">
        <f t="shared" si="32"/>
        <v>2987806.15</v>
      </c>
      <c r="AA116">
        <v>0</v>
      </c>
    </row>
    <row r="117" spans="1:27">
      <c r="A117" s="163">
        <v>202011</v>
      </c>
      <c r="B117" s="163">
        <v>36500</v>
      </c>
      <c r="C117" s="2">
        <v>0</v>
      </c>
      <c r="D117" s="2">
        <v>0</v>
      </c>
      <c r="E117" s="2">
        <v>0</v>
      </c>
      <c r="F117" s="2">
        <v>0</v>
      </c>
      <c r="G117" s="2">
        <v>0</v>
      </c>
      <c r="H117" s="2">
        <v>0</v>
      </c>
      <c r="I117" s="2">
        <v>0</v>
      </c>
      <c r="J117" s="2">
        <f t="shared" si="29"/>
        <v>0</v>
      </c>
      <c r="K117" s="2">
        <f t="shared" si="35"/>
        <v>5995105.7300000004</v>
      </c>
      <c r="L117" s="171">
        <f t="shared" si="41"/>
        <v>3.5200000000000002E-2</v>
      </c>
      <c r="M117" s="1">
        <f t="shared" si="36"/>
        <v>17585.64</v>
      </c>
      <c r="N117" s="2">
        <f t="shared" si="37"/>
        <v>263784.60000000009</v>
      </c>
      <c r="O117" s="2">
        <f t="shared" si="30"/>
        <v>5731321.1300000008</v>
      </c>
      <c r="Q117" s="2">
        <v>0</v>
      </c>
      <c r="R117" s="2">
        <v>0</v>
      </c>
      <c r="S117" s="2">
        <f t="shared" si="31"/>
        <v>0</v>
      </c>
      <c r="T117" s="2">
        <f t="shared" si="38"/>
        <v>3208144.19</v>
      </c>
      <c r="U117" s="171">
        <f t="shared" si="34"/>
        <v>3.5200000000000002E-2</v>
      </c>
      <c r="V117" s="5">
        <f t="shared" si="39"/>
        <v>9410.56</v>
      </c>
      <c r="W117" s="2">
        <f t="shared" si="40"/>
        <v>229748.59999999998</v>
      </c>
      <c r="X117" s="2">
        <f t="shared" si="32"/>
        <v>2978395.59</v>
      </c>
      <c r="AA117">
        <v>0</v>
      </c>
    </row>
    <row r="118" spans="1:27">
      <c r="A118" s="163">
        <v>202012</v>
      </c>
      <c r="B118" s="163">
        <v>36500</v>
      </c>
      <c r="C118" s="2">
        <v>0</v>
      </c>
      <c r="D118" s="2">
        <v>0</v>
      </c>
      <c r="E118" s="2">
        <v>0</v>
      </c>
      <c r="F118" s="2">
        <v>0</v>
      </c>
      <c r="G118" s="2">
        <v>0</v>
      </c>
      <c r="H118" s="2">
        <v>0</v>
      </c>
      <c r="I118" s="2">
        <v>0</v>
      </c>
      <c r="J118" s="2">
        <f t="shared" si="29"/>
        <v>0</v>
      </c>
      <c r="K118" s="2">
        <f t="shared" si="35"/>
        <v>5995105.7300000004</v>
      </c>
      <c r="L118" s="171">
        <f t="shared" si="41"/>
        <v>3.5200000000000002E-2</v>
      </c>
      <c r="M118" s="1">
        <f t="shared" si="36"/>
        <v>17585.64</v>
      </c>
      <c r="N118" s="2">
        <f t="shared" si="37"/>
        <v>281370.24000000011</v>
      </c>
      <c r="O118" s="2">
        <f t="shared" si="30"/>
        <v>5713735.4900000002</v>
      </c>
      <c r="Q118" s="2">
        <v>0</v>
      </c>
      <c r="R118" s="2">
        <v>0</v>
      </c>
      <c r="S118" s="2">
        <f t="shared" si="31"/>
        <v>0</v>
      </c>
      <c r="T118" s="2">
        <f t="shared" si="38"/>
        <v>3208144.19</v>
      </c>
      <c r="U118" s="171">
        <f t="shared" si="34"/>
        <v>3.5200000000000002E-2</v>
      </c>
      <c r="V118" s="5">
        <f t="shared" si="39"/>
        <v>9410.56</v>
      </c>
      <c r="W118" s="2">
        <f t="shared" si="40"/>
        <v>239159.15999999997</v>
      </c>
      <c r="X118" s="2">
        <f t="shared" si="32"/>
        <v>2968985.03</v>
      </c>
      <c r="AA118">
        <v>0</v>
      </c>
    </row>
    <row r="119" spans="1:27">
      <c r="A119" s="163">
        <v>202101</v>
      </c>
      <c r="B119" s="163">
        <v>36500</v>
      </c>
      <c r="C119" s="2">
        <v>0</v>
      </c>
      <c r="D119" s="2">
        <v>0</v>
      </c>
      <c r="E119" s="2">
        <v>0</v>
      </c>
      <c r="F119" s="2">
        <v>0</v>
      </c>
      <c r="G119" s="2">
        <v>0</v>
      </c>
      <c r="H119" s="2">
        <v>0</v>
      </c>
      <c r="I119" s="2">
        <v>0</v>
      </c>
      <c r="J119" s="2">
        <f t="shared" si="29"/>
        <v>0</v>
      </c>
      <c r="K119" s="2">
        <f t="shared" si="35"/>
        <v>5995105.7300000004</v>
      </c>
      <c r="L119" s="171">
        <f t="shared" si="41"/>
        <v>3.5200000000000002E-2</v>
      </c>
      <c r="M119" s="1">
        <f t="shared" si="36"/>
        <v>17585.64</v>
      </c>
      <c r="N119" s="2">
        <f t="shared" si="37"/>
        <v>298955.88000000012</v>
      </c>
      <c r="O119" s="2">
        <f t="shared" si="30"/>
        <v>5696149.8500000006</v>
      </c>
      <c r="Q119" s="2">
        <v>0</v>
      </c>
      <c r="R119" s="5">
        <v>3659014.18</v>
      </c>
      <c r="S119" s="2">
        <f t="shared" si="31"/>
        <v>3659014.18</v>
      </c>
      <c r="T119" s="2">
        <f t="shared" si="38"/>
        <v>6867158.3700000001</v>
      </c>
      <c r="U119" s="171">
        <f t="shared" si="34"/>
        <v>3.5200000000000002E-2</v>
      </c>
      <c r="V119" s="5">
        <f t="shared" si="39"/>
        <v>9410.56</v>
      </c>
      <c r="W119" s="2">
        <f t="shared" si="40"/>
        <v>248569.71999999997</v>
      </c>
      <c r="X119" s="2">
        <f t="shared" si="32"/>
        <v>6618588.6500000004</v>
      </c>
      <c r="AA119">
        <v>3659014.18</v>
      </c>
    </row>
    <row r="120" spans="1:27">
      <c r="A120" s="163">
        <v>202102</v>
      </c>
      <c r="B120" s="163">
        <v>36500</v>
      </c>
      <c r="C120" s="2">
        <v>0</v>
      </c>
      <c r="D120" s="2">
        <v>0</v>
      </c>
      <c r="E120" s="2">
        <v>0</v>
      </c>
      <c r="F120" s="2">
        <v>0</v>
      </c>
      <c r="G120" s="2">
        <v>0</v>
      </c>
      <c r="H120" s="2">
        <v>0</v>
      </c>
      <c r="I120" s="2">
        <v>0</v>
      </c>
      <c r="J120" s="2">
        <f t="shared" si="29"/>
        <v>0</v>
      </c>
      <c r="K120" s="2">
        <f t="shared" si="35"/>
        <v>5995105.7300000004</v>
      </c>
      <c r="L120" s="171">
        <f t="shared" si="41"/>
        <v>3.5200000000000002E-2</v>
      </c>
      <c r="M120" s="1">
        <f t="shared" si="36"/>
        <v>17585.64</v>
      </c>
      <c r="N120" s="2">
        <f t="shared" si="37"/>
        <v>316541.52000000014</v>
      </c>
      <c r="O120" s="2">
        <f t="shared" si="30"/>
        <v>5678564.21</v>
      </c>
      <c r="Q120" s="2">
        <v>0</v>
      </c>
      <c r="R120" s="5">
        <v>167271.51</v>
      </c>
      <c r="S120" s="2">
        <f t="shared" si="31"/>
        <v>167271.51</v>
      </c>
      <c r="T120" s="2">
        <f t="shared" si="38"/>
        <v>7034429.8799999999</v>
      </c>
      <c r="U120" s="171">
        <f t="shared" si="34"/>
        <v>3.5200000000000002E-2</v>
      </c>
      <c r="V120" s="5">
        <f t="shared" si="39"/>
        <v>20143.66</v>
      </c>
      <c r="W120" s="2">
        <f t="shared" si="40"/>
        <v>268713.37999999995</v>
      </c>
      <c r="X120" s="2">
        <f t="shared" si="32"/>
        <v>6765716.5</v>
      </c>
      <c r="AA120">
        <v>167271.51</v>
      </c>
    </row>
    <row r="121" spans="1:27">
      <c r="A121" s="163">
        <v>202103</v>
      </c>
      <c r="B121" s="163">
        <v>36500</v>
      </c>
      <c r="C121" s="2">
        <v>0</v>
      </c>
      <c r="D121" s="2">
        <v>0</v>
      </c>
      <c r="E121" s="2">
        <v>0</v>
      </c>
      <c r="F121" s="2">
        <v>0</v>
      </c>
      <c r="G121" s="2">
        <v>0</v>
      </c>
      <c r="H121" s="2">
        <v>0</v>
      </c>
      <c r="I121" s="2">
        <v>0</v>
      </c>
      <c r="J121" s="2">
        <f t="shared" si="29"/>
        <v>0</v>
      </c>
      <c r="K121" s="2">
        <f t="shared" si="35"/>
        <v>5995105.7300000004</v>
      </c>
      <c r="L121" s="171">
        <f t="shared" si="41"/>
        <v>3.5200000000000002E-2</v>
      </c>
      <c r="M121" s="1">
        <f t="shared" si="36"/>
        <v>17585.64</v>
      </c>
      <c r="N121" s="2">
        <f t="shared" si="37"/>
        <v>334127.16000000015</v>
      </c>
      <c r="O121" s="2">
        <f t="shared" si="30"/>
        <v>5660978.5700000003</v>
      </c>
      <c r="Q121" s="2">
        <v>0</v>
      </c>
      <c r="R121" s="5">
        <v>217725.19</v>
      </c>
      <c r="S121" s="2">
        <f t="shared" si="31"/>
        <v>217725.19</v>
      </c>
      <c r="T121" s="2">
        <f t="shared" si="38"/>
        <v>7252155.0700000003</v>
      </c>
      <c r="U121" s="171">
        <f t="shared" si="34"/>
        <v>3.5200000000000002E-2</v>
      </c>
      <c r="V121" s="5">
        <f t="shared" si="39"/>
        <v>20634.330000000002</v>
      </c>
      <c r="W121" s="2">
        <f t="shared" si="40"/>
        <v>289347.70999999996</v>
      </c>
      <c r="X121" s="2">
        <f t="shared" si="32"/>
        <v>6962807.3600000003</v>
      </c>
      <c r="AA121">
        <v>217725.19</v>
      </c>
    </row>
    <row r="122" spans="1:27">
      <c r="A122" s="163">
        <v>202104</v>
      </c>
      <c r="B122" s="163">
        <v>36500</v>
      </c>
      <c r="C122" s="2">
        <v>0</v>
      </c>
      <c r="D122" s="2">
        <v>0</v>
      </c>
      <c r="E122" s="2">
        <v>0</v>
      </c>
      <c r="F122" s="2">
        <v>0</v>
      </c>
      <c r="G122" s="2">
        <v>0</v>
      </c>
      <c r="H122" s="2">
        <v>0</v>
      </c>
      <c r="I122" s="2">
        <v>0</v>
      </c>
      <c r="J122" s="2">
        <f t="shared" si="29"/>
        <v>0</v>
      </c>
      <c r="K122" s="2">
        <f t="shared" si="35"/>
        <v>5995105.7300000004</v>
      </c>
      <c r="L122" s="171">
        <f t="shared" si="41"/>
        <v>3.5200000000000002E-2</v>
      </c>
      <c r="M122" s="1">
        <f t="shared" si="36"/>
        <v>17585.64</v>
      </c>
      <c r="N122" s="2">
        <f t="shared" si="37"/>
        <v>351712.80000000016</v>
      </c>
      <c r="O122" s="2">
        <f t="shared" si="30"/>
        <v>5643392.9300000006</v>
      </c>
      <c r="Q122" s="2">
        <v>0</v>
      </c>
      <c r="R122" s="5">
        <v>136193.22</v>
      </c>
      <c r="S122" s="2">
        <f t="shared" si="31"/>
        <v>136193.22</v>
      </c>
      <c r="T122" s="2">
        <f t="shared" si="38"/>
        <v>7388348.29</v>
      </c>
      <c r="U122" s="171">
        <f t="shared" si="34"/>
        <v>3.5200000000000002E-2</v>
      </c>
      <c r="V122" s="5">
        <f t="shared" si="39"/>
        <v>21272.99</v>
      </c>
      <c r="W122" s="2">
        <f t="shared" si="40"/>
        <v>310620.69999999995</v>
      </c>
      <c r="X122" s="2">
        <f t="shared" si="32"/>
        <v>7077727.5899999999</v>
      </c>
      <c r="AA122">
        <v>136193.22</v>
      </c>
    </row>
    <row r="123" spans="1:27">
      <c r="A123" s="163">
        <v>202105</v>
      </c>
      <c r="B123" s="163">
        <v>36500</v>
      </c>
      <c r="C123" s="2">
        <v>0</v>
      </c>
      <c r="D123" s="2">
        <v>0</v>
      </c>
      <c r="E123" s="2">
        <v>0</v>
      </c>
      <c r="F123" s="2">
        <v>0</v>
      </c>
      <c r="G123" s="2">
        <v>0</v>
      </c>
      <c r="H123" s="2">
        <v>0</v>
      </c>
      <c r="I123" s="2">
        <v>0</v>
      </c>
      <c r="J123" s="2">
        <f t="shared" si="29"/>
        <v>0</v>
      </c>
      <c r="K123" s="2">
        <f t="shared" si="35"/>
        <v>5995105.7300000004</v>
      </c>
      <c r="L123" s="171">
        <f t="shared" si="41"/>
        <v>3.5200000000000002E-2</v>
      </c>
      <c r="M123" s="1">
        <f t="shared" si="36"/>
        <v>17585.64</v>
      </c>
      <c r="N123" s="2">
        <f t="shared" si="37"/>
        <v>369298.44000000018</v>
      </c>
      <c r="O123" s="2">
        <f t="shared" si="30"/>
        <v>5625807.29</v>
      </c>
      <c r="Q123" s="2">
        <v>0</v>
      </c>
      <c r="R123" s="5">
        <v>208198.75</v>
      </c>
      <c r="S123" s="2">
        <f t="shared" si="31"/>
        <v>208198.75</v>
      </c>
      <c r="T123" s="2">
        <f t="shared" si="38"/>
        <v>7596547.04</v>
      </c>
      <c r="U123" s="171">
        <f t="shared" si="34"/>
        <v>3.5200000000000002E-2</v>
      </c>
      <c r="V123" s="5">
        <f t="shared" si="39"/>
        <v>21672.49</v>
      </c>
      <c r="W123" s="2">
        <f t="shared" si="40"/>
        <v>332293.18999999994</v>
      </c>
      <c r="X123" s="2">
        <f t="shared" si="32"/>
        <v>7264253.8499999996</v>
      </c>
      <c r="AA123">
        <v>208198.75</v>
      </c>
    </row>
    <row r="124" spans="1:27">
      <c r="A124" s="163">
        <v>202106</v>
      </c>
      <c r="B124" s="163">
        <v>36500</v>
      </c>
      <c r="C124" s="2">
        <v>0</v>
      </c>
      <c r="D124" s="2">
        <v>0</v>
      </c>
      <c r="E124" s="2">
        <v>0</v>
      </c>
      <c r="F124" s="2">
        <v>0</v>
      </c>
      <c r="G124" s="2">
        <v>0</v>
      </c>
      <c r="H124" s="2">
        <v>0</v>
      </c>
      <c r="I124" s="2">
        <v>0</v>
      </c>
      <c r="J124" s="2">
        <f t="shared" si="29"/>
        <v>0</v>
      </c>
      <c r="K124" s="2">
        <f t="shared" si="35"/>
        <v>5995105.7300000004</v>
      </c>
      <c r="L124" s="171">
        <f t="shared" si="41"/>
        <v>3.5200000000000002E-2</v>
      </c>
      <c r="M124" s="1">
        <f t="shared" si="36"/>
        <v>17585.64</v>
      </c>
      <c r="N124" s="2">
        <f t="shared" si="37"/>
        <v>386884.08000000019</v>
      </c>
      <c r="O124" s="2">
        <f t="shared" si="30"/>
        <v>5608221.6500000004</v>
      </c>
      <c r="Q124" s="2">
        <v>0</v>
      </c>
      <c r="R124" s="5">
        <v>167565.87</v>
      </c>
      <c r="S124" s="2">
        <f t="shared" si="31"/>
        <v>167565.87</v>
      </c>
      <c r="T124" s="2">
        <f t="shared" si="38"/>
        <v>7764112.9100000001</v>
      </c>
      <c r="U124" s="171">
        <f t="shared" si="34"/>
        <v>3.5200000000000002E-2</v>
      </c>
      <c r="V124" s="5">
        <f t="shared" si="39"/>
        <v>22283.200000000001</v>
      </c>
      <c r="W124" s="2">
        <f t="shared" si="40"/>
        <v>354576.38999999996</v>
      </c>
      <c r="X124" s="2">
        <f t="shared" si="32"/>
        <v>7409536.5200000005</v>
      </c>
      <c r="AA124">
        <v>167565.87</v>
      </c>
    </row>
    <row r="125" spans="1:27">
      <c r="A125" s="163">
        <v>202107</v>
      </c>
      <c r="B125" s="163">
        <v>36500</v>
      </c>
      <c r="C125" s="2">
        <v>0</v>
      </c>
      <c r="D125" s="2">
        <v>0</v>
      </c>
      <c r="E125" s="2">
        <v>0</v>
      </c>
      <c r="F125" s="2">
        <v>0</v>
      </c>
      <c r="G125" s="2">
        <v>0</v>
      </c>
      <c r="H125" s="2">
        <v>0</v>
      </c>
      <c r="I125" s="2">
        <v>0</v>
      </c>
      <c r="J125" s="2">
        <f t="shared" si="29"/>
        <v>0</v>
      </c>
      <c r="K125" s="2">
        <f t="shared" si="35"/>
        <v>5995105.7300000004</v>
      </c>
      <c r="L125" s="171">
        <f t="shared" si="41"/>
        <v>3.5200000000000002E-2</v>
      </c>
      <c r="M125" s="1">
        <f t="shared" si="36"/>
        <v>17585.64</v>
      </c>
      <c r="N125" s="2">
        <f t="shared" si="37"/>
        <v>404469.7200000002</v>
      </c>
      <c r="O125" s="2">
        <f t="shared" si="30"/>
        <v>5590636.0099999998</v>
      </c>
      <c r="Q125" s="2">
        <v>0</v>
      </c>
      <c r="R125" s="5">
        <v>215132.13</v>
      </c>
      <c r="S125" s="2">
        <f t="shared" si="31"/>
        <v>215132.13</v>
      </c>
      <c r="T125" s="2">
        <f t="shared" si="38"/>
        <v>7979245.04</v>
      </c>
      <c r="U125" s="171">
        <f t="shared" si="34"/>
        <v>3.5200000000000002E-2</v>
      </c>
      <c r="V125" s="5">
        <f t="shared" si="39"/>
        <v>22774.73</v>
      </c>
      <c r="W125" s="2">
        <f t="shared" si="40"/>
        <v>377351.11999999994</v>
      </c>
      <c r="X125" s="2">
        <f t="shared" si="32"/>
        <v>7601893.9199999999</v>
      </c>
      <c r="AA125">
        <v>215132.13</v>
      </c>
    </row>
    <row r="126" spans="1:27">
      <c r="A126" s="163">
        <v>202108</v>
      </c>
      <c r="B126" s="163">
        <v>36500</v>
      </c>
      <c r="C126" s="2">
        <v>0</v>
      </c>
      <c r="D126" s="2">
        <v>0</v>
      </c>
      <c r="E126" s="2">
        <v>0</v>
      </c>
      <c r="F126" s="2">
        <v>0</v>
      </c>
      <c r="G126" s="2">
        <v>0</v>
      </c>
      <c r="H126" s="2">
        <v>0</v>
      </c>
      <c r="I126" s="2">
        <v>0</v>
      </c>
      <c r="J126" s="2">
        <f t="shared" si="29"/>
        <v>0</v>
      </c>
      <c r="K126" s="2">
        <f t="shared" si="35"/>
        <v>5995105.7300000004</v>
      </c>
      <c r="L126" s="171">
        <f t="shared" si="41"/>
        <v>3.5200000000000002E-2</v>
      </c>
      <c r="M126" s="1">
        <f t="shared" si="36"/>
        <v>17585.64</v>
      </c>
      <c r="N126" s="2">
        <f t="shared" si="37"/>
        <v>422055.36000000022</v>
      </c>
      <c r="O126" s="2">
        <f t="shared" si="30"/>
        <v>5573050.3700000001</v>
      </c>
      <c r="Q126" s="2">
        <v>0</v>
      </c>
      <c r="R126" s="5">
        <v>199483.89</v>
      </c>
      <c r="S126" s="2">
        <f t="shared" si="31"/>
        <v>199483.89</v>
      </c>
      <c r="T126" s="2">
        <f t="shared" si="38"/>
        <v>8178728.9299999997</v>
      </c>
      <c r="U126" s="171">
        <f t="shared" si="34"/>
        <v>3.5200000000000002E-2</v>
      </c>
      <c r="V126" s="5">
        <f t="shared" si="39"/>
        <v>23405.79</v>
      </c>
      <c r="W126" s="2">
        <f t="shared" si="40"/>
        <v>400756.90999999992</v>
      </c>
      <c r="X126" s="2">
        <f t="shared" si="32"/>
        <v>7777972.0199999996</v>
      </c>
      <c r="AA126">
        <v>199483.89</v>
      </c>
    </row>
    <row r="127" spans="1:27">
      <c r="A127" s="163">
        <v>202109</v>
      </c>
      <c r="B127" s="163">
        <v>36500</v>
      </c>
      <c r="C127" s="2">
        <v>0</v>
      </c>
      <c r="D127" s="2">
        <v>0</v>
      </c>
      <c r="E127" s="2">
        <v>0</v>
      </c>
      <c r="F127" s="2">
        <v>0</v>
      </c>
      <c r="G127" s="2">
        <v>0</v>
      </c>
      <c r="H127" s="2">
        <v>0</v>
      </c>
      <c r="I127" s="2">
        <v>0</v>
      </c>
      <c r="J127" s="2">
        <f t="shared" si="29"/>
        <v>0</v>
      </c>
      <c r="K127" s="2">
        <f t="shared" si="35"/>
        <v>5995105.7300000004</v>
      </c>
      <c r="L127" s="171">
        <f t="shared" si="41"/>
        <v>3.5200000000000002E-2</v>
      </c>
      <c r="M127" s="1">
        <f t="shared" si="36"/>
        <v>17585.64</v>
      </c>
      <c r="N127" s="2">
        <f t="shared" si="37"/>
        <v>439641.00000000023</v>
      </c>
      <c r="O127" s="2">
        <f t="shared" si="30"/>
        <v>5555464.7300000004</v>
      </c>
      <c r="Q127" s="2">
        <v>0</v>
      </c>
      <c r="R127" s="5">
        <v>313146.84999999998</v>
      </c>
      <c r="S127" s="2">
        <f t="shared" si="31"/>
        <v>313146.84999999998</v>
      </c>
      <c r="T127" s="2">
        <f t="shared" si="38"/>
        <v>8491875.7799999993</v>
      </c>
      <c r="U127" s="171">
        <f t="shared" si="34"/>
        <v>3.5200000000000002E-2</v>
      </c>
      <c r="V127" s="5">
        <f t="shared" si="39"/>
        <v>23990.94</v>
      </c>
      <c r="W127" s="2">
        <f t="shared" si="40"/>
        <v>424747.84999999992</v>
      </c>
      <c r="X127" s="2">
        <f t="shared" si="32"/>
        <v>8067127.9299999997</v>
      </c>
      <c r="AA127">
        <v>313146.84999999998</v>
      </c>
    </row>
    <row r="128" spans="1:27">
      <c r="A128" s="163">
        <v>202110</v>
      </c>
      <c r="B128" s="163">
        <v>36500</v>
      </c>
      <c r="C128" s="2">
        <v>0</v>
      </c>
      <c r="D128" s="2">
        <v>0</v>
      </c>
      <c r="E128" s="2">
        <v>0</v>
      </c>
      <c r="F128" s="2">
        <v>0</v>
      </c>
      <c r="G128" s="2">
        <v>0</v>
      </c>
      <c r="H128" s="2">
        <v>0</v>
      </c>
      <c r="I128" s="2">
        <v>0</v>
      </c>
      <c r="J128" s="2">
        <f t="shared" si="29"/>
        <v>0</v>
      </c>
      <c r="K128" s="2">
        <f t="shared" si="35"/>
        <v>5995105.7300000004</v>
      </c>
      <c r="L128" s="171">
        <f t="shared" si="41"/>
        <v>3.5200000000000002E-2</v>
      </c>
      <c r="M128" s="1">
        <f t="shared" si="36"/>
        <v>17585.64</v>
      </c>
      <c r="N128" s="2">
        <f t="shared" si="37"/>
        <v>457226.64000000025</v>
      </c>
      <c r="O128" s="2">
        <f t="shared" si="30"/>
        <v>5537879.0899999999</v>
      </c>
      <c r="Q128" s="2">
        <v>0</v>
      </c>
      <c r="R128" s="5">
        <v>148655.5</v>
      </c>
      <c r="S128" s="2">
        <f t="shared" si="31"/>
        <v>148655.5</v>
      </c>
      <c r="T128" s="2">
        <f t="shared" si="38"/>
        <v>8640531.2799999993</v>
      </c>
      <c r="U128" s="171">
        <f t="shared" si="34"/>
        <v>3.5200000000000002E-2</v>
      </c>
      <c r="V128" s="5">
        <f t="shared" si="39"/>
        <v>24909.5</v>
      </c>
      <c r="W128" s="2">
        <f t="shared" si="40"/>
        <v>449657.34999999992</v>
      </c>
      <c r="X128" s="2">
        <f t="shared" si="32"/>
        <v>8190873.9299999997</v>
      </c>
      <c r="AA128">
        <v>148655.5</v>
      </c>
    </row>
    <row r="129" spans="1:27">
      <c r="A129" s="163">
        <v>202111</v>
      </c>
      <c r="B129" s="163">
        <v>36500</v>
      </c>
      <c r="C129" s="2">
        <v>0</v>
      </c>
      <c r="D129" s="2">
        <v>0</v>
      </c>
      <c r="E129" s="2">
        <v>0</v>
      </c>
      <c r="F129" s="2">
        <v>0</v>
      </c>
      <c r="G129" s="2">
        <v>0</v>
      </c>
      <c r="H129" s="2">
        <v>0</v>
      </c>
      <c r="I129" s="2">
        <v>0</v>
      </c>
      <c r="J129" s="2">
        <f t="shared" si="29"/>
        <v>0</v>
      </c>
      <c r="K129" s="2">
        <f t="shared" si="35"/>
        <v>5995105.7300000004</v>
      </c>
      <c r="L129" s="171">
        <f t="shared" si="41"/>
        <v>3.5200000000000002E-2</v>
      </c>
      <c r="M129" s="1">
        <f t="shared" si="36"/>
        <v>17585.64</v>
      </c>
      <c r="N129" s="2">
        <f t="shared" si="37"/>
        <v>474812.28000000026</v>
      </c>
      <c r="O129" s="2">
        <f t="shared" si="30"/>
        <v>5520293.4500000002</v>
      </c>
      <c r="Q129" s="2">
        <v>0</v>
      </c>
      <c r="R129" s="5">
        <v>286410.01</v>
      </c>
      <c r="S129" s="2">
        <f t="shared" si="31"/>
        <v>286410.01</v>
      </c>
      <c r="T129" s="2">
        <f t="shared" si="38"/>
        <v>8926941.2899999991</v>
      </c>
      <c r="U129" s="171">
        <f t="shared" si="34"/>
        <v>3.5200000000000002E-2</v>
      </c>
      <c r="V129" s="5">
        <f t="shared" si="39"/>
        <v>25345.56</v>
      </c>
      <c r="W129" s="2">
        <f t="shared" si="40"/>
        <v>475002.90999999992</v>
      </c>
      <c r="X129" s="2">
        <f t="shared" si="32"/>
        <v>8451938.379999999</v>
      </c>
      <c r="AA129">
        <v>286410.01</v>
      </c>
    </row>
    <row r="130" spans="1:27">
      <c r="A130" s="163">
        <v>202112</v>
      </c>
      <c r="B130" s="163">
        <v>36500</v>
      </c>
      <c r="C130" s="2">
        <v>0</v>
      </c>
      <c r="D130" s="2">
        <v>0</v>
      </c>
      <c r="E130" s="2">
        <v>0</v>
      </c>
      <c r="F130" s="2">
        <v>0</v>
      </c>
      <c r="G130" s="2">
        <v>0</v>
      </c>
      <c r="H130" s="2">
        <v>0</v>
      </c>
      <c r="I130" s="2">
        <v>0</v>
      </c>
      <c r="J130" s="2">
        <f t="shared" si="29"/>
        <v>0</v>
      </c>
      <c r="K130" s="2">
        <f t="shared" si="35"/>
        <v>5995105.7300000004</v>
      </c>
      <c r="L130" s="171">
        <f t="shared" si="41"/>
        <v>3.5200000000000002E-2</v>
      </c>
      <c r="M130" s="1">
        <f t="shared" si="36"/>
        <v>17585.64</v>
      </c>
      <c r="N130" s="2">
        <f t="shared" si="37"/>
        <v>492397.92000000027</v>
      </c>
      <c r="O130" s="2">
        <f t="shared" si="30"/>
        <v>5502707.8100000005</v>
      </c>
      <c r="Q130" s="2">
        <v>0</v>
      </c>
      <c r="R130" s="5">
        <v>146342.59</v>
      </c>
      <c r="S130" s="2">
        <f t="shared" si="31"/>
        <v>146342.59</v>
      </c>
      <c r="T130" s="2">
        <f t="shared" si="38"/>
        <v>9073283.879999999</v>
      </c>
      <c r="U130" s="171">
        <f t="shared" si="34"/>
        <v>3.5200000000000002E-2</v>
      </c>
      <c r="V130" s="5">
        <f t="shared" si="39"/>
        <v>26185.69</v>
      </c>
      <c r="W130" s="2">
        <f t="shared" si="40"/>
        <v>501188.59999999992</v>
      </c>
      <c r="X130" s="2">
        <f t="shared" si="32"/>
        <v>8572095.2799999993</v>
      </c>
      <c r="AA130">
        <v>146342.59</v>
      </c>
    </row>
    <row r="131" spans="1:27">
      <c r="A131" s="163">
        <v>202201</v>
      </c>
      <c r="B131" s="163">
        <v>36500</v>
      </c>
      <c r="C131" s="2">
        <v>0</v>
      </c>
      <c r="D131" s="2">
        <v>0</v>
      </c>
      <c r="E131" s="2">
        <v>0</v>
      </c>
      <c r="F131" s="2">
        <v>0</v>
      </c>
      <c r="G131" s="2">
        <v>0</v>
      </c>
      <c r="H131" s="2">
        <v>0</v>
      </c>
      <c r="I131" s="2">
        <v>0</v>
      </c>
      <c r="J131" s="2">
        <f t="shared" si="29"/>
        <v>0</v>
      </c>
      <c r="K131" s="2">
        <f t="shared" si="35"/>
        <v>5995105.7300000004</v>
      </c>
      <c r="L131" s="171">
        <f t="shared" si="41"/>
        <v>3.5200000000000002E-2</v>
      </c>
      <c r="M131" s="1">
        <f t="shared" si="36"/>
        <v>17585.64</v>
      </c>
      <c r="N131" s="2">
        <f t="shared" si="37"/>
        <v>509983.56000000029</v>
      </c>
      <c r="O131" s="2">
        <f t="shared" si="30"/>
        <v>5485122.1699999999</v>
      </c>
      <c r="Q131" s="2">
        <v>0</v>
      </c>
      <c r="R131" s="5">
        <v>158691.79999999999</v>
      </c>
      <c r="S131" s="2">
        <f t="shared" si="31"/>
        <v>158691.79999999999</v>
      </c>
      <c r="T131" s="2">
        <f t="shared" si="38"/>
        <v>9231975.6799999997</v>
      </c>
      <c r="U131" s="171">
        <f t="shared" si="34"/>
        <v>3.5200000000000002E-2</v>
      </c>
      <c r="V131" s="5">
        <f t="shared" si="39"/>
        <v>26614.97</v>
      </c>
      <c r="W131" s="2">
        <f t="shared" si="40"/>
        <v>527803.56999999995</v>
      </c>
      <c r="X131" s="2">
        <f t="shared" si="32"/>
        <v>8704172.1099999994</v>
      </c>
      <c r="AA131">
        <v>158691.79999999999</v>
      </c>
    </row>
    <row r="132" spans="1:27">
      <c r="A132" s="163">
        <v>202202</v>
      </c>
      <c r="B132" s="163">
        <v>36500</v>
      </c>
      <c r="C132" s="2">
        <v>0</v>
      </c>
      <c r="D132" s="2">
        <v>0</v>
      </c>
      <c r="E132" s="2">
        <v>0</v>
      </c>
      <c r="F132" s="2">
        <v>0</v>
      </c>
      <c r="G132" s="2">
        <v>0</v>
      </c>
      <c r="H132" s="2">
        <v>0</v>
      </c>
      <c r="I132" s="2">
        <v>0</v>
      </c>
      <c r="J132" s="2">
        <f t="shared" si="29"/>
        <v>0</v>
      </c>
      <c r="K132" s="2">
        <f t="shared" si="35"/>
        <v>5995105.7300000004</v>
      </c>
      <c r="L132" s="171">
        <f t="shared" si="41"/>
        <v>3.5200000000000002E-2</v>
      </c>
      <c r="M132" s="1">
        <f t="shared" si="36"/>
        <v>17585.64</v>
      </c>
      <c r="N132" s="2">
        <f t="shared" si="37"/>
        <v>527569.2000000003</v>
      </c>
      <c r="O132" s="2">
        <f t="shared" si="30"/>
        <v>5467536.5300000003</v>
      </c>
      <c r="Q132" s="2">
        <v>0</v>
      </c>
      <c r="R132" s="5">
        <v>172685.86000000002</v>
      </c>
      <c r="S132" s="2">
        <f t="shared" si="31"/>
        <v>172685.86000000002</v>
      </c>
      <c r="T132" s="2">
        <f t="shared" si="38"/>
        <v>9404661.5399999991</v>
      </c>
      <c r="U132" s="171">
        <f t="shared" si="34"/>
        <v>3.5200000000000002E-2</v>
      </c>
      <c r="V132" s="5">
        <f t="shared" si="39"/>
        <v>27080.46</v>
      </c>
      <c r="W132" s="2">
        <f t="shared" si="40"/>
        <v>554884.02999999991</v>
      </c>
      <c r="X132" s="2">
        <f t="shared" si="32"/>
        <v>8849777.5099999998</v>
      </c>
      <c r="AA132">
        <v>172685.86000000002</v>
      </c>
    </row>
    <row r="133" spans="1:27">
      <c r="A133" s="163">
        <v>202203</v>
      </c>
      <c r="B133" s="163">
        <v>36500</v>
      </c>
      <c r="C133" s="2">
        <v>0</v>
      </c>
      <c r="D133" s="2">
        <v>0</v>
      </c>
      <c r="E133" s="2">
        <v>0</v>
      </c>
      <c r="F133" s="2">
        <v>0</v>
      </c>
      <c r="G133" s="2">
        <v>0</v>
      </c>
      <c r="H133" s="2">
        <v>0</v>
      </c>
      <c r="I133" s="2">
        <v>0</v>
      </c>
      <c r="J133" s="2">
        <f t="shared" si="29"/>
        <v>0</v>
      </c>
      <c r="K133" s="2">
        <f t="shared" si="35"/>
        <v>5995105.7300000004</v>
      </c>
      <c r="L133" s="171">
        <f t="shared" si="41"/>
        <v>3.5200000000000002E-2</v>
      </c>
      <c r="M133" s="1">
        <f t="shared" si="36"/>
        <v>17585.64</v>
      </c>
      <c r="N133" s="2">
        <f t="shared" si="37"/>
        <v>545154.84000000032</v>
      </c>
      <c r="O133" s="2">
        <f t="shared" si="30"/>
        <v>5449950.8900000006</v>
      </c>
      <c r="Q133" s="2">
        <v>0</v>
      </c>
      <c r="R133" s="5">
        <v>265334.96000000002</v>
      </c>
      <c r="S133" s="2">
        <f t="shared" si="31"/>
        <v>265334.96000000002</v>
      </c>
      <c r="T133" s="2">
        <f t="shared" si="38"/>
        <v>9669996.5</v>
      </c>
      <c r="U133" s="171">
        <f t="shared" si="34"/>
        <v>3.5200000000000002E-2</v>
      </c>
      <c r="V133" s="5">
        <f t="shared" si="39"/>
        <v>27587.01</v>
      </c>
      <c r="W133" s="2">
        <f t="shared" si="40"/>
        <v>582471.03999999992</v>
      </c>
      <c r="X133" s="2">
        <f t="shared" si="32"/>
        <v>9087525.4600000009</v>
      </c>
      <c r="AA133">
        <v>265334.96000000002</v>
      </c>
    </row>
    <row r="134" spans="1:27">
      <c r="A134" s="163">
        <v>202204</v>
      </c>
      <c r="B134" s="163">
        <v>36500</v>
      </c>
      <c r="C134" s="2">
        <v>0</v>
      </c>
      <c r="D134" s="2">
        <v>0</v>
      </c>
      <c r="E134" s="2">
        <v>0</v>
      </c>
      <c r="F134" s="2">
        <v>0</v>
      </c>
      <c r="G134" s="2">
        <v>0</v>
      </c>
      <c r="H134" s="2">
        <v>0</v>
      </c>
      <c r="I134" s="2">
        <v>0</v>
      </c>
      <c r="J134" s="2">
        <f t="shared" si="29"/>
        <v>0</v>
      </c>
      <c r="K134" s="2">
        <f t="shared" si="35"/>
        <v>5995105.7300000004</v>
      </c>
      <c r="L134" s="171">
        <f t="shared" si="41"/>
        <v>3.5200000000000002E-2</v>
      </c>
      <c r="M134" s="1">
        <f t="shared" si="36"/>
        <v>17585.64</v>
      </c>
      <c r="N134" s="2">
        <f t="shared" si="37"/>
        <v>562740.48000000033</v>
      </c>
      <c r="O134" s="2">
        <f t="shared" si="30"/>
        <v>5432365.25</v>
      </c>
      <c r="Q134" s="2">
        <v>0</v>
      </c>
      <c r="R134" s="5">
        <v>288026.25</v>
      </c>
      <c r="S134" s="2">
        <f t="shared" si="31"/>
        <v>288026.25</v>
      </c>
      <c r="T134" s="2">
        <f t="shared" si="38"/>
        <v>9958022.75</v>
      </c>
      <c r="U134" s="171">
        <f t="shared" si="34"/>
        <v>3.5200000000000002E-2</v>
      </c>
      <c r="V134" s="5">
        <f t="shared" si="39"/>
        <v>28365.32</v>
      </c>
      <c r="W134" s="2">
        <f t="shared" si="40"/>
        <v>610836.35999999987</v>
      </c>
      <c r="X134" s="2">
        <f t="shared" si="32"/>
        <v>9347186.3900000006</v>
      </c>
      <c r="AA134">
        <v>288026.25</v>
      </c>
    </row>
    <row r="135" spans="1:27">
      <c r="A135" s="163">
        <v>202205</v>
      </c>
      <c r="B135" s="163">
        <v>36500</v>
      </c>
      <c r="C135" s="2">
        <v>0</v>
      </c>
      <c r="D135" s="2">
        <v>0</v>
      </c>
      <c r="E135" s="2">
        <v>0</v>
      </c>
      <c r="F135" s="2">
        <v>0</v>
      </c>
      <c r="G135" s="2">
        <v>0</v>
      </c>
      <c r="H135" s="2">
        <v>0</v>
      </c>
      <c r="I135" s="2">
        <v>0</v>
      </c>
      <c r="J135" s="2">
        <f t="shared" si="29"/>
        <v>0</v>
      </c>
      <c r="K135" s="2">
        <f t="shared" si="35"/>
        <v>5995105.7300000004</v>
      </c>
      <c r="L135" s="171">
        <f t="shared" si="41"/>
        <v>3.5200000000000002E-2</v>
      </c>
      <c r="M135" s="1">
        <f t="shared" si="36"/>
        <v>17585.64</v>
      </c>
      <c r="N135" s="2">
        <f t="shared" si="37"/>
        <v>580326.12000000034</v>
      </c>
      <c r="O135" s="2">
        <f t="shared" si="30"/>
        <v>5414779.6100000003</v>
      </c>
      <c r="Q135" s="2">
        <v>0</v>
      </c>
      <c r="R135" s="5">
        <v>279667.71000000002</v>
      </c>
      <c r="S135" s="2">
        <f t="shared" si="31"/>
        <v>279667.71000000002</v>
      </c>
      <c r="T135" s="2">
        <f t="shared" si="38"/>
        <v>10237690.460000001</v>
      </c>
      <c r="U135" s="171">
        <f t="shared" si="34"/>
        <v>3.5200000000000002E-2</v>
      </c>
      <c r="V135" s="5">
        <f t="shared" si="39"/>
        <v>29210.2</v>
      </c>
      <c r="W135" s="2">
        <f t="shared" si="40"/>
        <v>640046.55999999982</v>
      </c>
      <c r="X135" s="2">
        <f t="shared" si="32"/>
        <v>9597643.9000000004</v>
      </c>
      <c r="AA135">
        <v>279667.71000000002</v>
      </c>
    </row>
    <row r="136" spans="1:27">
      <c r="A136" s="163">
        <v>202206</v>
      </c>
      <c r="B136" s="163">
        <v>36500</v>
      </c>
      <c r="C136" s="2">
        <v>0</v>
      </c>
      <c r="D136" s="2">
        <v>0</v>
      </c>
      <c r="E136" s="2">
        <v>0</v>
      </c>
      <c r="F136" s="2">
        <v>0</v>
      </c>
      <c r="G136" s="2">
        <v>0</v>
      </c>
      <c r="H136" s="2">
        <v>0</v>
      </c>
      <c r="I136" s="2">
        <v>0</v>
      </c>
      <c r="J136" s="2">
        <f t="shared" si="29"/>
        <v>0</v>
      </c>
      <c r="K136" s="2">
        <f t="shared" si="35"/>
        <v>5995105.7300000004</v>
      </c>
      <c r="L136" s="171">
        <f t="shared" si="41"/>
        <v>3.5200000000000002E-2</v>
      </c>
      <c r="M136" s="1">
        <f t="shared" si="36"/>
        <v>17585.64</v>
      </c>
      <c r="N136" s="2">
        <f t="shared" si="37"/>
        <v>597911.76000000036</v>
      </c>
      <c r="O136" s="2">
        <f t="shared" si="30"/>
        <v>5397193.9699999997</v>
      </c>
      <c r="Q136" s="2">
        <v>0</v>
      </c>
      <c r="R136" s="5">
        <v>386216.68</v>
      </c>
      <c r="S136" s="2">
        <f t="shared" si="31"/>
        <v>386216.68</v>
      </c>
      <c r="T136" s="2">
        <f t="shared" si="38"/>
        <v>10623907.140000001</v>
      </c>
      <c r="U136" s="171">
        <f t="shared" si="34"/>
        <v>3.5200000000000002E-2</v>
      </c>
      <c r="V136" s="5">
        <f t="shared" si="39"/>
        <v>30030.560000000001</v>
      </c>
      <c r="W136" s="2">
        <f t="shared" si="40"/>
        <v>670077.11999999988</v>
      </c>
      <c r="X136" s="2">
        <f t="shared" si="32"/>
        <v>9953830.0200000014</v>
      </c>
      <c r="AA136">
        <v>386216.68</v>
      </c>
    </row>
    <row r="137" spans="1:27">
      <c r="A137" s="163">
        <v>202207</v>
      </c>
      <c r="B137" s="163">
        <v>36500</v>
      </c>
      <c r="C137" s="2">
        <v>0</v>
      </c>
      <c r="D137" s="2">
        <v>0</v>
      </c>
      <c r="E137" s="2">
        <v>0</v>
      </c>
      <c r="F137" s="2">
        <v>0</v>
      </c>
      <c r="G137" s="2">
        <v>0</v>
      </c>
      <c r="H137" s="2">
        <v>0</v>
      </c>
      <c r="I137" s="2">
        <v>0</v>
      </c>
      <c r="J137" s="2">
        <f t="shared" si="29"/>
        <v>0</v>
      </c>
      <c r="K137" s="2">
        <f t="shared" si="35"/>
        <v>5995105.7300000004</v>
      </c>
      <c r="L137" s="171">
        <f t="shared" si="41"/>
        <v>3.5200000000000002E-2</v>
      </c>
      <c r="M137" s="1">
        <f t="shared" si="36"/>
        <v>17585.64</v>
      </c>
      <c r="N137" s="2">
        <f t="shared" si="37"/>
        <v>615497.40000000037</v>
      </c>
      <c r="O137" s="2">
        <f t="shared" si="30"/>
        <v>5379608.3300000001</v>
      </c>
      <c r="Q137" s="2">
        <v>0</v>
      </c>
      <c r="R137" s="5">
        <v>199592.11</v>
      </c>
      <c r="S137" s="2">
        <f t="shared" si="31"/>
        <v>199592.11</v>
      </c>
      <c r="T137" s="2">
        <f t="shared" si="38"/>
        <v>10823499.25</v>
      </c>
      <c r="U137" s="171">
        <f t="shared" si="34"/>
        <v>3.5200000000000002E-2</v>
      </c>
      <c r="V137" s="5">
        <f t="shared" si="39"/>
        <v>31163.46</v>
      </c>
      <c r="W137" s="2">
        <f t="shared" si="40"/>
        <v>701240.57999999984</v>
      </c>
      <c r="X137" s="2">
        <f t="shared" si="32"/>
        <v>10122258.67</v>
      </c>
      <c r="AA137">
        <v>199592.11</v>
      </c>
    </row>
    <row r="138" spans="1:27">
      <c r="A138" s="163">
        <v>202208</v>
      </c>
      <c r="B138" s="163">
        <v>36500</v>
      </c>
      <c r="C138" s="2">
        <v>0</v>
      </c>
      <c r="D138" s="2">
        <v>0</v>
      </c>
      <c r="E138" s="2">
        <v>0</v>
      </c>
      <c r="F138" s="2">
        <v>0</v>
      </c>
      <c r="G138" s="2">
        <v>0</v>
      </c>
      <c r="H138" s="2">
        <v>0</v>
      </c>
      <c r="I138" s="2">
        <v>0</v>
      </c>
      <c r="J138" s="2">
        <f t="shared" si="29"/>
        <v>0</v>
      </c>
      <c r="K138" s="2">
        <f t="shared" si="35"/>
        <v>5995105.7300000004</v>
      </c>
      <c r="L138" s="171">
        <f t="shared" si="41"/>
        <v>3.5200000000000002E-2</v>
      </c>
      <c r="M138" s="1">
        <f t="shared" si="36"/>
        <v>17585.64</v>
      </c>
      <c r="N138" s="2">
        <f t="shared" si="37"/>
        <v>633083.04000000039</v>
      </c>
      <c r="O138" s="2">
        <f t="shared" si="30"/>
        <v>5362022.6900000004</v>
      </c>
      <c r="Q138" s="2">
        <v>0</v>
      </c>
      <c r="R138" s="5">
        <v>189315.13</v>
      </c>
      <c r="S138" s="2">
        <f t="shared" si="31"/>
        <v>189315.13</v>
      </c>
      <c r="T138" s="2">
        <f t="shared" si="38"/>
        <v>11012814.380000001</v>
      </c>
      <c r="U138" s="171">
        <f t="shared" si="34"/>
        <v>3.5200000000000002E-2</v>
      </c>
      <c r="V138" s="5">
        <f t="shared" si="39"/>
        <v>31748.93</v>
      </c>
      <c r="W138" s="2">
        <f t="shared" si="40"/>
        <v>732989.50999999989</v>
      </c>
      <c r="X138" s="2">
        <f t="shared" si="32"/>
        <v>10279824.870000001</v>
      </c>
      <c r="AA138">
        <v>189315.13</v>
      </c>
    </row>
    <row r="139" spans="1:27">
      <c r="A139" s="163">
        <v>202209</v>
      </c>
      <c r="B139" s="163">
        <v>36500</v>
      </c>
      <c r="C139" s="2">
        <v>0</v>
      </c>
      <c r="D139" s="2">
        <v>0</v>
      </c>
      <c r="E139" s="2">
        <v>0</v>
      </c>
      <c r="F139" s="2">
        <v>0</v>
      </c>
      <c r="G139" s="2">
        <v>0</v>
      </c>
      <c r="H139" s="2">
        <v>0</v>
      </c>
      <c r="I139" s="2">
        <v>0</v>
      </c>
      <c r="J139" s="2">
        <f t="shared" si="29"/>
        <v>0</v>
      </c>
      <c r="K139" s="2">
        <f t="shared" si="35"/>
        <v>5995105.7300000004</v>
      </c>
      <c r="L139" s="171">
        <f t="shared" si="41"/>
        <v>3.5200000000000002E-2</v>
      </c>
      <c r="M139" s="1">
        <f t="shared" si="36"/>
        <v>17585.64</v>
      </c>
      <c r="N139" s="2">
        <f t="shared" si="37"/>
        <v>650668.6800000004</v>
      </c>
      <c r="O139" s="2">
        <f t="shared" si="30"/>
        <v>5344437.05</v>
      </c>
      <c r="Q139" s="2">
        <v>0</v>
      </c>
      <c r="R139" s="5">
        <v>201230.11</v>
      </c>
      <c r="S139" s="2">
        <f t="shared" si="31"/>
        <v>201230.11</v>
      </c>
      <c r="T139" s="2">
        <f t="shared" si="38"/>
        <v>11214044.49</v>
      </c>
      <c r="U139" s="171">
        <f t="shared" si="34"/>
        <v>3.5200000000000002E-2</v>
      </c>
      <c r="V139" s="5">
        <f t="shared" si="39"/>
        <v>32304.26</v>
      </c>
      <c r="W139" s="2">
        <f t="shared" si="40"/>
        <v>765293.7699999999</v>
      </c>
      <c r="X139" s="2">
        <f t="shared" si="32"/>
        <v>10448750.720000001</v>
      </c>
      <c r="AA139">
        <v>201230.11</v>
      </c>
    </row>
    <row r="140" spans="1:27">
      <c r="A140" s="163">
        <v>202210</v>
      </c>
      <c r="B140" s="163">
        <v>36500</v>
      </c>
      <c r="C140" s="2">
        <v>0</v>
      </c>
      <c r="D140" s="2">
        <v>0</v>
      </c>
      <c r="E140" s="2">
        <v>0</v>
      </c>
      <c r="F140" s="2">
        <v>0</v>
      </c>
      <c r="G140" s="2">
        <v>0</v>
      </c>
      <c r="H140" s="2">
        <v>0</v>
      </c>
      <c r="I140" s="2">
        <v>0</v>
      </c>
      <c r="J140" s="2">
        <f t="shared" si="29"/>
        <v>0</v>
      </c>
      <c r="K140" s="2">
        <f t="shared" si="35"/>
        <v>5995105.7300000004</v>
      </c>
      <c r="L140" s="171">
        <f t="shared" si="41"/>
        <v>3.5200000000000002E-2</v>
      </c>
      <c r="M140" s="1">
        <f t="shared" si="36"/>
        <v>17585.64</v>
      </c>
      <c r="N140" s="2">
        <f t="shared" si="37"/>
        <v>668254.32000000041</v>
      </c>
      <c r="O140" s="2">
        <f t="shared" si="30"/>
        <v>5326851.41</v>
      </c>
      <c r="Q140" s="2">
        <v>0</v>
      </c>
      <c r="R140" s="5">
        <v>234815.04</v>
      </c>
      <c r="S140" s="2">
        <f t="shared" si="31"/>
        <v>234815.04</v>
      </c>
      <c r="T140" s="2">
        <f t="shared" si="38"/>
        <v>11448859.529999999</v>
      </c>
      <c r="U140" s="171">
        <f t="shared" si="34"/>
        <v>3.5200000000000002E-2</v>
      </c>
      <c r="V140" s="5">
        <f t="shared" si="39"/>
        <v>32894.53</v>
      </c>
      <c r="W140" s="2">
        <f t="shared" si="40"/>
        <v>798188.29999999993</v>
      </c>
      <c r="X140" s="2">
        <f t="shared" si="32"/>
        <v>10650671.229999999</v>
      </c>
      <c r="AA140">
        <v>234815.04</v>
      </c>
    </row>
    <row r="141" spans="1:27">
      <c r="A141" s="163">
        <v>202211</v>
      </c>
      <c r="B141" s="163">
        <v>36500</v>
      </c>
      <c r="C141" s="2">
        <v>0</v>
      </c>
      <c r="D141" s="2">
        <v>0</v>
      </c>
      <c r="E141" s="2">
        <v>0</v>
      </c>
      <c r="F141" s="2">
        <v>0</v>
      </c>
      <c r="G141" s="2">
        <v>0</v>
      </c>
      <c r="H141" s="2">
        <v>0</v>
      </c>
      <c r="I141" s="2">
        <v>0</v>
      </c>
      <c r="J141" s="2">
        <f t="shared" si="29"/>
        <v>0</v>
      </c>
      <c r="K141" s="2">
        <f t="shared" si="35"/>
        <v>5995105.7300000004</v>
      </c>
      <c r="L141" s="171">
        <f t="shared" si="41"/>
        <v>3.5200000000000002E-2</v>
      </c>
      <c r="M141" s="1">
        <f t="shared" si="36"/>
        <v>17585.64</v>
      </c>
      <c r="N141" s="2">
        <f t="shared" si="37"/>
        <v>685839.96000000043</v>
      </c>
      <c r="O141" s="2">
        <f t="shared" si="30"/>
        <v>5309265.7699999996</v>
      </c>
      <c r="Q141" s="2">
        <v>0</v>
      </c>
      <c r="R141" s="5">
        <v>243316.73</v>
      </c>
      <c r="S141" s="2">
        <f t="shared" si="31"/>
        <v>243316.73</v>
      </c>
      <c r="T141" s="2">
        <f t="shared" si="38"/>
        <v>11692176.26</v>
      </c>
      <c r="U141" s="171">
        <f t="shared" si="34"/>
        <v>3.5200000000000002E-2</v>
      </c>
      <c r="V141" s="5">
        <f t="shared" si="39"/>
        <v>33583.32</v>
      </c>
      <c r="W141" s="2">
        <f t="shared" si="40"/>
        <v>831771.61999999988</v>
      </c>
      <c r="X141" s="2">
        <f t="shared" si="32"/>
        <v>10860404.640000001</v>
      </c>
      <c r="AA141">
        <v>243316.73</v>
      </c>
    </row>
    <row r="142" spans="1:27">
      <c r="A142" s="163">
        <v>202212</v>
      </c>
      <c r="B142" s="163">
        <v>36500</v>
      </c>
      <c r="C142" s="2">
        <v>0</v>
      </c>
      <c r="D142" s="2">
        <v>0</v>
      </c>
      <c r="E142" s="2">
        <v>0</v>
      </c>
      <c r="F142" s="2">
        <v>0</v>
      </c>
      <c r="G142" s="2">
        <v>0</v>
      </c>
      <c r="H142" s="2">
        <v>0</v>
      </c>
      <c r="I142" s="2">
        <v>0</v>
      </c>
      <c r="J142" s="2">
        <f t="shared" si="29"/>
        <v>0</v>
      </c>
      <c r="K142" s="2">
        <f t="shared" si="35"/>
        <v>5995105.7300000004</v>
      </c>
      <c r="L142" s="171">
        <f t="shared" si="41"/>
        <v>3.5200000000000002E-2</v>
      </c>
      <c r="M142" s="1">
        <f t="shared" si="36"/>
        <v>17585.64</v>
      </c>
      <c r="N142" s="2">
        <f t="shared" si="37"/>
        <v>703425.60000000044</v>
      </c>
      <c r="O142" s="2">
        <f t="shared" si="30"/>
        <v>5291680.13</v>
      </c>
      <c r="Q142" s="2">
        <v>0</v>
      </c>
      <c r="R142" s="5">
        <v>132709.62</v>
      </c>
      <c r="S142" s="2">
        <f t="shared" si="31"/>
        <v>132709.62</v>
      </c>
      <c r="T142" s="2">
        <f t="shared" si="38"/>
        <v>11824885.879999999</v>
      </c>
      <c r="U142" s="171">
        <f t="shared" si="34"/>
        <v>3.5200000000000002E-2</v>
      </c>
      <c r="V142" s="5">
        <f t="shared" si="39"/>
        <v>34297.050000000003</v>
      </c>
      <c r="W142" s="2">
        <f t="shared" si="40"/>
        <v>866068.66999999993</v>
      </c>
      <c r="X142" s="2">
        <f t="shared" si="32"/>
        <v>10958817.209999999</v>
      </c>
      <c r="AA142">
        <v>132709.62</v>
      </c>
    </row>
    <row r="143" spans="1:27">
      <c r="A143" s="163">
        <v>202301</v>
      </c>
      <c r="B143" s="163">
        <v>36500</v>
      </c>
      <c r="C143" s="2">
        <v>0</v>
      </c>
      <c r="D143" s="2">
        <v>0</v>
      </c>
      <c r="E143" s="2">
        <v>0</v>
      </c>
      <c r="F143" s="2">
        <v>0</v>
      </c>
      <c r="G143" s="2">
        <v>0</v>
      </c>
      <c r="H143" s="2">
        <v>0</v>
      </c>
      <c r="I143" s="2">
        <v>0</v>
      </c>
      <c r="J143" s="2">
        <f t="shared" si="29"/>
        <v>0</v>
      </c>
      <c r="K143" s="2">
        <f t="shared" si="35"/>
        <v>5995105.7300000004</v>
      </c>
      <c r="L143" s="171">
        <f t="shared" si="41"/>
        <v>3.5200000000000002E-2</v>
      </c>
      <c r="M143" s="1">
        <f t="shared" si="36"/>
        <v>17585.64</v>
      </c>
      <c r="N143" s="2">
        <f t="shared" si="37"/>
        <v>721011.24000000046</v>
      </c>
      <c r="O143" s="2">
        <f t="shared" si="30"/>
        <v>5274094.49</v>
      </c>
      <c r="Q143" s="2">
        <v>0</v>
      </c>
      <c r="R143" s="5">
        <v>313996.43</v>
      </c>
      <c r="S143" s="2">
        <f t="shared" si="31"/>
        <v>313996.43</v>
      </c>
      <c r="T143" s="2">
        <f t="shared" si="38"/>
        <v>12138882.309999999</v>
      </c>
      <c r="U143" s="171">
        <f t="shared" si="34"/>
        <v>3.5200000000000002E-2</v>
      </c>
      <c r="V143" s="5">
        <f t="shared" si="39"/>
        <v>34686.33</v>
      </c>
      <c r="W143" s="2">
        <f t="shared" si="40"/>
        <v>900754.99999999988</v>
      </c>
      <c r="X143" s="2">
        <f t="shared" si="32"/>
        <v>11238127.309999999</v>
      </c>
      <c r="AA143">
        <v>313996.43</v>
      </c>
    </row>
    <row r="144" spans="1:27">
      <c r="A144" s="163">
        <v>202302</v>
      </c>
      <c r="B144" s="163">
        <v>36500</v>
      </c>
      <c r="C144" s="2">
        <v>0</v>
      </c>
      <c r="D144" s="2">
        <v>0</v>
      </c>
      <c r="E144" s="2">
        <v>0</v>
      </c>
      <c r="F144" s="2">
        <v>0</v>
      </c>
      <c r="G144" s="2">
        <v>0</v>
      </c>
      <c r="H144" s="2">
        <v>0</v>
      </c>
      <c r="I144" s="2">
        <v>0</v>
      </c>
      <c r="J144" s="2">
        <f t="shared" si="29"/>
        <v>0</v>
      </c>
      <c r="K144" s="2">
        <f t="shared" si="35"/>
        <v>5995105.7300000004</v>
      </c>
      <c r="L144" s="171">
        <f t="shared" si="41"/>
        <v>3.5200000000000002E-2</v>
      </c>
      <c r="M144" s="1">
        <f t="shared" si="36"/>
        <v>17585.64</v>
      </c>
      <c r="N144" s="2">
        <f t="shared" si="37"/>
        <v>738596.88000000047</v>
      </c>
      <c r="O144" s="2">
        <f t="shared" si="30"/>
        <v>5256508.8499999996</v>
      </c>
      <c r="Q144" s="2">
        <v>0</v>
      </c>
      <c r="R144" s="5">
        <v>226271.46</v>
      </c>
      <c r="S144" s="2">
        <f t="shared" si="31"/>
        <v>226271.46</v>
      </c>
      <c r="T144" s="2">
        <f t="shared" si="38"/>
        <v>12365153.77</v>
      </c>
      <c r="U144" s="171">
        <f t="shared" si="34"/>
        <v>3.5200000000000002E-2</v>
      </c>
      <c r="V144" s="5">
        <f t="shared" si="39"/>
        <v>35607.39</v>
      </c>
      <c r="W144" s="2">
        <f t="shared" si="40"/>
        <v>936362.3899999999</v>
      </c>
      <c r="X144" s="2">
        <f t="shared" si="32"/>
        <v>11428791.379999999</v>
      </c>
      <c r="AA144">
        <v>226271.46</v>
      </c>
    </row>
    <row r="145" spans="1:27">
      <c r="A145" s="163">
        <v>202303</v>
      </c>
      <c r="B145" s="163">
        <v>36500</v>
      </c>
      <c r="C145" s="2">
        <v>0</v>
      </c>
      <c r="D145" s="2">
        <v>0</v>
      </c>
      <c r="E145" s="2">
        <v>0</v>
      </c>
      <c r="F145" s="2">
        <v>0</v>
      </c>
      <c r="G145" s="2">
        <v>0</v>
      </c>
      <c r="H145" s="2">
        <v>0</v>
      </c>
      <c r="I145" s="2">
        <v>0</v>
      </c>
      <c r="J145" s="2">
        <f t="shared" si="29"/>
        <v>0</v>
      </c>
      <c r="K145" s="2">
        <f t="shared" si="35"/>
        <v>5995105.7300000004</v>
      </c>
      <c r="L145" s="171">
        <f t="shared" si="41"/>
        <v>3.5200000000000002E-2</v>
      </c>
      <c r="M145" s="1">
        <f t="shared" si="36"/>
        <v>17585.64</v>
      </c>
      <c r="N145" s="2">
        <f t="shared" si="37"/>
        <v>756182.52000000048</v>
      </c>
      <c r="O145" s="2">
        <f t="shared" si="30"/>
        <v>5238923.21</v>
      </c>
      <c r="Q145" s="2">
        <v>0</v>
      </c>
      <c r="R145" s="5">
        <v>343246.03</v>
      </c>
      <c r="S145" s="2">
        <f t="shared" si="31"/>
        <v>343246.03</v>
      </c>
      <c r="T145" s="2">
        <f t="shared" si="38"/>
        <v>12708399.799999999</v>
      </c>
      <c r="U145" s="171">
        <f t="shared" si="34"/>
        <v>3.5200000000000002E-2</v>
      </c>
      <c r="V145" s="5">
        <f t="shared" si="39"/>
        <v>36271.120000000003</v>
      </c>
      <c r="W145" s="2">
        <f t="shared" si="40"/>
        <v>972633.50999999989</v>
      </c>
      <c r="X145" s="2">
        <f t="shared" si="32"/>
        <v>11735766.289999999</v>
      </c>
      <c r="AA145">
        <v>343246.03</v>
      </c>
    </row>
    <row r="146" spans="1:27">
      <c r="A146" s="163">
        <v>202304</v>
      </c>
      <c r="B146" s="163">
        <v>36500</v>
      </c>
      <c r="C146" s="2">
        <v>0</v>
      </c>
      <c r="D146" s="2">
        <v>0</v>
      </c>
      <c r="E146" s="2">
        <v>0</v>
      </c>
      <c r="F146" s="2">
        <v>0</v>
      </c>
      <c r="G146" s="2">
        <v>0</v>
      </c>
      <c r="H146" s="2">
        <v>0</v>
      </c>
      <c r="I146" s="2">
        <v>0</v>
      </c>
      <c r="J146" s="2">
        <f t="shared" si="29"/>
        <v>0</v>
      </c>
      <c r="K146" s="2">
        <f t="shared" si="35"/>
        <v>5995105.7300000004</v>
      </c>
      <c r="L146" s="171">
        <f t="shared" si="41"/>
        <v>3.5200000000000002E-2</v>
      </c>
      <c r="M146" s="1">
        <f t="shared" si="36"/>
        <v>17585.64</v>
      </c>
      <c r="N146" s="2">
        <f t="shared" si="37"/>
        <v>773768.1600000005</v>
      </c>
      <c r="O146" s="2">
        <f t="shared" si="30"/>
        <v>5221337.57</v>
      </c>
      <c r="Q146" s="2">
        <v>0</v>
      </c>
      <c r="R146" s="5">
        <v>453265.93</v>
      </c>
      <c r="S146" s="2">
        <f t="shared" si="31"/>
        <v>453265.93</v>
      </c>
      <c r="T146" s="2">
        <f t="shared" si="38"/>
        <v>13161665.729999999</v>
      </c>
      <c r="U146" s="171">
        <f t="shared" si="34"/>
        <v>3.5200000000000002E-2</v>
      </c>
      <c r="V146" s="5">
        <f t="shared" si="39"/>
        <v>37277.97</v>
      </c>
      <c r="W146" s="2">
        <f t="shared" si="40"/>
        <v>1009911.4799999999</v>
      </c>
      <c r="X146" s="2">
        <f t="shared" si="32"/>
        <v>12151754.249999998</v>
      </c>
      <c r="AA146">
        <v>453265.93</v>
      </c>
    </row>
    <row r="147" spans="1:27">
      <c r="A147" s="163">
        <v>202305</v>
      </c>
      <c r="B147" s="163">
        <v>36500</v>
      </c>
      <c r="C147" s="2">
        <v>0</v>
      </c>
      <c r="D147" s="2">
        <v>0</v>
      </c>
      <c r="E147" s="2">
        <v>0</v>
      </c>
      <c r="F147" s="2">
        <v>0</v>
      </c>
      <c r="G147" s="2">
        <v>0</v>
      </c>
      <c r="H147" s="2">
        <v>0</v>
      </c>
      <c r="I147" s="2">
        <v>0</v>
      </c>
      <c r="J147" s="2">
        <f t="shared" si="29"/>
        <v>0</v>
      </c>
      <c r="K147" s="2">
        <f t="shared" si="35"/>
        <v>5995105.7300000004</v>
      </c>
      <c r="L147" s="171">
        <f t="shared" si="41"/>
        <v>3.5200000000000002E-2</v>
      </c>
      <c r="M147" s="1">
        <f t="shared" si="36"/>
        <v>17585.64</v>
      </c>
      <c r="N147" s="2">
        <f t="shared" si="37"/>
        <v>791353.80000000051</v>
      </c>
      <c r="O147" s="2">
        <f t="shared" si="30"/>
        <v>5203751.93</v>
      </c>
      <c r="Q147" s="2">
        <v>0</v>
      </c>
      <c r="R147" s="5">
        <v>300879.88</v>
      </c>
      <c r="S147" s="2">
        <f t="shared" si="31"/>
        <v>300879.88</v>
      </c>
      <c r="T147" s="2">
        <f t="shared" si="38"/>
        <v>13462545.609999999</v>
      </c>
      <c r="U147" s="171">
        <f t="shared" si="34"/>
        <v>3.5200000000000002E-2</v>
      </c>
      <c r="V147" s="5">
        <f t="shared" si="39"/>
        <v>38607.550000000003</v>
      </c>
      <c r="W147" s="2">
        <f t="shared" si="40"/>
        <v>1048519.0299999999</v>
      </c>
      <c r="X147" s="2">
        <f t="shared" si="32"/>
        <v>12414026.58</v>
      </c>
      <c r="AA147">
        <v>300879.88</v>
      </c>
    </row>
    <row r="148" spans="1:27">
      <c r="A148" s="163">
        <v>202306</v>
      </c>
      <c r="B148" s="163">
        <v>36500</v>
      </c>
      <c r="C148" s="2">
        <v>0</v>
      </c>
      <c r="D148" s="2">
        <v>0</v>
      </c>
      <c r="E148" s="2">
        <v>0</v>
      </c>
      <c r="F148" s="2">
        <v>0</v>
      </c>
      <c r="G148" s="2">
        <v>0</v>
      </c>
      <c r="H148" s="2">
        <v>0</v>
      </c>
      <c r="I148" s="2">
        <v>0</v>
      </c>
      <c r="J148" s="2">
        <f t="shared" si="29"/>
        <v>0</v>
      </c>
      <c r="K148" s="2">
        <f t="shared" si="35"/>
        <v>5995105.7300000004</v>
      </c>
      <c r="L148" s="171">
        <f t="shared" si="41"/>
        <v>3.5200000000000002E-2</v>
      </c>
      <c r="M148" s="1">
        <f t="shared" si="36"/>
        <v>17585.64</v>
      </c>
      <c r="N148" s="2">
        <f t="shared" si="37"/>
        <v>808939.44000000053</v>
      </c>
      <c r="O148" s="2">
        <f t="shared" si="30"/>
        <v>5186166.29</v>
      </c>
      <c r="Q148" s="2">
        <v>0</v>
      </c>
      <c r="R148" s="5">
        <v>266585.61</v>
      </c>
      <c r="S148" s="2">
        <f t="shared" si="31"/>
        <v>266585.61</v>
      </c>
      <c r="T148" s="2">
        <f t="shared" si="38"/>
        <v>13729131.219999999</v>
      </c>
      <c r="U148" s="171">
        <f t="shared" si="34"/>
        <v>3.5200000000000002E-2</v>
      </c>
      <c r="V148" s="5">
        <f t="shared" si="39"/>
        <v>39490.129999999997</v>
      </c>
      <c r="W148" s="2">
        <f t="shared" si="40"/>
        <v>1088009.1599999999</v>
      </c>
      <c r="X148" s="2">
        <f t="shared" si="32"/>
        <v>12641122.059999999</v>
      </c>
      <c r="AA148">
        <v>266585.61</v>
      </c>
    </row>
    <row r="149" spans="1:27">
      <c r="A149" s="163">
        <v>202307</v>
      </c>
      <c r="B149" s="163">
        <v>36500</v>
      </c>
      <c r="C149" s="2">
        <v>0</v>
      </c>
      <c r="D149" s="2">
        <v>0</v>
      </c>
      <c r="E149" s="2">
        <v>0</v>
      </c>
      <c r="F149" s="2">
        <v>0</v>
      </c>
      <c r="G149" s="2">
        <v>0</v>
      </c>
      <c r="H149" s="2">
        <v>0</v>
      </c>
      <c r="I149" s="2">
        <v>0</v>
      </c>
      <c r="J149" s="2">
        <f t="shared" si="29"/>
        <v>0</v>
      </c>
      <c r="K149" s="2">
        <f t="shared" si="35"/>
        <v>5995105.7300000004</v>
      </c>
      <c r="L149" s="171">
        <f t="shared" si="41"/>
        <v>3.5200000000000002E-2</v>
      </c>
      <c r="M149" s="1">
        <f t="shared" si="36"/>
        <v>17585.64</v>
      </c>
      <c r="N149" s="2">
        <f t="shared" si="37"/>
        <v>826525.08000000054</v>
      </c>
      <c r="O149" s="2">
        <f t="shared" si="30"/>
        <v>5168580.6500000004</v>
      </c>
      <c r="Q149" s="2">
        <v>0</v>
      </c>
      <c r="R149" s="5">
        <v>71720.78</v>
      </c>
      <c r="S149" s="2">
        <f t="shared" si="31"/>
        <v>71720.78</v>
      </c>
      <c r="T149" s="2">
        <f t="shared" si="38"/>
        <v>13800851.999999998</v>
      </c>
      <c r="U149" s="171">
        <f t="shared" si="34"/>
        <v>3.5200000000000002E-2</v>
      </c>
      <c r="V149" s="5">
        <f t="shared" si="39"/>
        <v>40272.120000000003</v>
      </c>
      <c r="W149" s="2">
        <f t="shared" si="40"/>
        <v>1128281.28</v>
      </c>
      <c r="X149" s="2">
        <f t="shared" si="32"/>
        <v>12672570.719999999</v>
      </c>
      <c r="AA149">
        <v>71720.78</v>
      </c>
    </row>
    <row r="150" spans="1:27">
      <c r="A150" s="163">
        <v>202308</v>
      </c>
      <c r="B150" s="163">
        <v>36500</v>
      </c>
      <c r="C150" s="2">
        <v>0</v>
      </c>
      <c r="D150" s="2">
        <v>0</v>
      </c>
      <c r="E150" s="2">
        <v>0</v>
      </c>
      <c r="F150" s="2">
        <v>0</v>
      </c>
      <c r="G150" s="2">
        <v>0</v>
      </c>
      <c r="H150" s="2">
        <v>0</v>
      </c>
      <c r="I150" s="2">
        <v>0</v>
      </c>
      <c r="J150" s="2">
        <f t="shared" si="29"/>
        <v>0</v>
      </c>
      <c r="K150" s="2">
        <f t="shared" si="35"/>
        <v>5995105.7300000004</v>
      </c>
      <c r="L150" s="171">
        <f t="shared" si="41"/>
        <v>3.5200000000000002E-2</v>
      </c>
      <c r="M150" s="1">
        <f t="shared" si="36"/>
        <v>17585.64</v>
      </c>
      <c r="N150" s="2">
        <f t="shared" si="37"/>
        <v>844110.72000000055</v>
      </c>
      <c r="O150" s="2">
        <f t="shared" si="30"/>
        <v>5150995.01</v>
      </c>
      <c r="Q150" s="2">
        <v>0</v>
      </c>
      <c r="R150" s="5">
        <v>92529.02</v>
      </c>
      <c r="S150" s="2">
        <f t="shared" si="31"/>
        <v>92529.02</v>
      </c>
      <c r="T150" s="2">
        <f t="shared" si="38"/>
        <v>13893381.019999998</v>
      </c>
      <c r="U150" s="171">
        <f t="shared" si="34"/>
        <v>3.5200000000000002E-2</v>
      </c>
      <c r="V150" s="5">
        <f t="shared" si="39"/>
        <v>40482.5</v>
      </c>
      <c r="W150" s="2">
        <f t="shared" si="40"/>
        <v>1168763.78</v>
      </c>
      <c r="X150" s="2">
        <f t="shared" si="32"/>
        <v>12724617.239999998</v>
      </c>
      <c r="AA150">
        <v>92529.02</v>
      </c>
    </row>
    <row r="151" spans="1:27">
      <c r="A151" s="163">
        <v>202309</v>
      </c>
      <c r="B151" s="163">
        <v>36500</v>
      </c>
      <c r="C151" s="2">
        <v>0</v>
      </c>
      <c r="D151" s="2">
        <v>0</v>
      </c>
      <c r="E151" s="2">
        <v>0</v>
      </c>
      <c r="F151" s="2">
        <v>0</v>
      </c>
      <c r="G151" s="2">
        <v>0</v>
      </c>
      <c r="H151" s="2">
        <v>0</v>
      </c>
      <c r="I151" s="2">
        <v>0</v>
      </c>
      <c r="J151" s="2">
        <f t="shared" si="29"/>
        <v>0</v>
      </c>
      <c r="K151" s="2">
        <f t="shared" si="35"/>
        <v>5995105.7300000004</v>
      </c>
      <c r="L151" s="171">
        <f t="shared" si="41"/>
        <v>3.5200000000000002E-2</v>
      </c>
      <c r="M151" s="1">
        <f t="shared" si="36"/>
        <v>17585.64</v>
      </c>
      <c r="N151" s="2">
        <f t="shared" si="37"/>
        <v>861696.36000000057</v>
      </c>
      <c r="O151" s="2">
        <f t="shared" si="30"/>
        <v>5133409.37</v>
      </c>
      <c r="Q151" s="2">
        <v>0</v>
      </c>
      <c r="R151" s="5">
        <v>207786.62</v>
      </c>
      <c r="S151" s="2">
        <f t="shared" si="31"/>
        <v>207786.62</v>
      </c>
      <c r="T151" s="2">
        <f t="shared" si="38"/>
        <v>14101167.639999997</v>
      </c>
      <c r="U151" s="171">
        <f t="shared" si="34"/>
        <v>3.5200000000000002E-2</v>
      </c>
      <c r="V151" s="5">
        <f t="shared" si="39"/>
        <v>40753.919999999998</v>
      </c>
      <c r="W151" s="2">
        <f t="shared" si="40"/>
        <v>1209517.7</v>
      </c>
      <c r="X151" s="2">
        <f t="shared" si="32"/>
        <v>12891649.939999998</v>
      </c>
      <c r="AA151">
        <v>207786.62</v>
      </c>
    </row>
    <row r="152" spans="1:27">
      <c r="A152" s="163">
        <v>202310</v>
      </c>
      <c r="B152" s="163">
        <v>36500</v>
      </c>
      <c r="C152" s="2">
        <v>0</v>
      </c>
      <c r="D152" s="2">
        <v>0</v>
      </c>
      <c r="E152" s="2">
        <v>0</v>
      </c>
      <c r="F152" s="2">
        <v>0</v>
      </c>
      <c r="G152" s="2">
        <v>0</v>
      </c>
      <c r="H152" s="2">
        <v>0</v>
      </c>
      <c r="I152" s="2">
        <v>0</v>
      </c>
      <c r="J152" s="2">
        <f t="shared" ref="J152:J180" si="42">SUM(C152:I152)</f>
        <v>0</v>
      </c>
      <c r="K152" s="2">
        <f t="shared" si="35"/>
        <v>5995105.7300000004</v>
      </c>
      <c r="L152" s="171">
        <f t="shared" si="41"/>
        <v>3.5200000000000002E-2</v>
      </c>
      <c r="M152" s="1">
        <f t="shared" si="36"/>
        <v>17585.64</v>
      </c>
      <c r="N152" s="2">
        <f t="shared" si="37"/>
        <v>879282.00000000058</v>
      </c>
      <c r="O152" s="2">
        <f t="shared" ref="O152:O180" si="43">K152-N152</f>
        <v>5115823.7299999995</v>
      </c>
      <c r="Q152" s="2">
        <v>0</v>
      </c>
      <c r="R152" s="5">
        <v>494727.62</v>
      </c>
      <c r="S152" s="2">
        <f t="shared" ref="S152:S180" si="44">SUM(Q152:R152)</f>
        <v>494727.62</v>
      </c>
      <c r="T152" s="2">
        <f t="shared" si="38"/>
        <v>14595895.259999996</v>
      </c>
      <c r="U152" s="171">
        <f t="shared" si="34"/>
        <v>3.5200000000000002E-2</v>
      </c>
      <c r="V152" s="5">
        <f t="shared" si="39"/>
        <v>41363.43</v>
      </c>
      <c r="W152" s="2">
        <f t="shared" si="40"/>
        <v>1250881.1299999999</v>
      </c>
      <c r="X152" s="2">
        <f t="shared" ref="X152:X180" si="45">T152-W152</f>
        <v>13345014.129999995</v>
      </c>
      <c r="AA152">
        <v>494727.62</v>
      </c>
    </row>
    <row r="153" spans="1:27">
      <c r="A153" s="163">
        <v>202311</v>
      </c>
      <c r="B153" s="163">
        <v>36500</v>
      </c>
      <c r="C153" s="2">
        <v>0</v>
      </c>
      <c r="D153" s="2">
        <v>0</v>
      </c>
      <c r="E153" s="2">
        <v>0</v>
      </c>
      <c r="F153" s="2">
        <v>0</v>
      </c>
      <c r="G153" s="2">
        <v>0</v>
      </c>
      <c r="H153" s="2">
        <v>0</v>
      </c>
      <c r="I153" s="2">
        <v>0</v>
      </c>
      <c r="J153" s="2">
        <f t="shared" si="42"/>
        <v>0</v>
      </c>
      <c r="K153" s="2">
        <f t="shared" si="35"/>
        <v>5995105.7300000004</v>
      </c>
      <c r="L153" s="171">
        <f t="shared" si="41"/>
        <v>3.5200000000000002E-2</v>
      </c>
      <c r="M153" s="1">
        <f t="shared" si="36"/>
        <v>17585.64</v>
      </c>
      <c r="N153" s="2">
        <f t="shared" si="37"/>
        <v>896867.6400000006</v>
      </c>
      <c r="O153" s="2">
        <f t="shared" si="43"/>
        <v>5098238.09</v>
      </c>
      <c r="Q153" s="2">
        <v>0</v>
      </c>
      <c r="R153" s="5">
        <v>56781.38</v>
      </c>
      <c r="S153" s="2">
        <f t="shared" si="44"/>
        <v>56781.38</v>
      </c>
      <c r="T153" s="2">
        <f t="shared" si="38"/>
        <v>14652676.639999997</v>
      </c>
      <c r="U153" s="171">
        <f t="shared" ref="U153:U180" si="46">3.52%</f>
        <v>3.5200000000000002E-2</v>
      </c>
      <c r="V153" s="5">
        <f t="shared" si="39"/>
        <v>42814.63</v>
      </c>
      <c r="W153" s="2">
        <f t="shared" si="40"/>
        <v>1293695.7599999998</v>
      </c>
      <c r="X153" s="2">
        <f t="shared" si="45"/>
        <v>13358980.879999997</v>
      </c>
      <c r="AA153">
        <v>56781.38</v>
      </c>
    </row>
    <row r="154" spans="1:27">
      <c r="A154" s="163">
        <v>202312</v>
      </c>
      <c r="B154" s="163">
        <v>36500</v>
      </c>
      <c r="C154" s="2">
        <v>0</v>
      </c>
      <c r="D154" s="2">
        <v>0</v>
      </c>
      <c r="E154" s="2">
        <v>0</v>
      </c>
      <c r="F154" s="2">
        <v>0</v>
      </c>
      <c r="G154" s="2">
        <v>0</v>
      </c>
      <c r="H154" s="2">
        <v>0</v>
      </c>
      <c r="I154" s="2">
        <v>0</v>
      </c>
      <c r="J154" s="2">
        <f t="shared" si="42"/>
        <v>0</v>
      </c>
      <c r="K154" s="2">
        <f t="shared" ref="K154:K180" si="47">K153+J154</f>
        <v>5995105.7300000004</v>
      </c>
      <c r="L154" s="171">
        <f t="shared" si="41"/>
        <v>3.5200000000000002E-2</v>
      </c>
      <c r="M154" s="1">
        <f t="shared" ref="M154:M180" si="48">ROUND(((L154*K153)/12),2)</f>
        <v>17585.64</v>
      </c>
      <c r="N154" s="2">
        <f t="shared" ref="N154:N180" si="49">M154+N153</f>
        <v>914453.28000000061</v>
      </c>
      <c r="O154" s="2">
        <f t="shared" si="43"/>
        <v>5080652.45</v>
      </c>
      <c r="Q154" s="2">
        <v>0</v>
      </c>
      <c r="R154" s="5">
        <v>4220.9799999999996</v>
      </c>
      <c r="S154" s="2">
        <f t="shared" si="44"/>
        <v>4220.9799999999996</v>
      </c>
      <c r="T154" s="2">
        <f t="shared" ref="T154:T180" si="50">T153+S154</f>
        <v>14656897.619999997</v>
      </c>
      <c r="U154" s="171">
        <f t="shared" si="46"/>
        <v>3.5200000000000002E-2</v>
      </c>
      <c r="V154" s="5">
        <f t="shared" ref="V154:V180" si="51">ROUND(((U154*T153)/12),2)</f>
        <v>42981.18</v>
      </c>
      <c r="W154" s="2">
        <f t="shared" si="40"/>
        <v>1336676.9399999997</v>
      </c>
      <c r="X154" s="2">
        <f t="shared" si="45"/>
        <v>13320220.679999998</v>
      </c>
      <c r="AA154">
        <v>4220.9799999999996</v>
      </c>
    </row>
    <row r="155" spans="1:27">
      <c r="A155" s="163">
        <v>202401</v>
      </c>
      <c r="B155" s="163">
        <v>36500</v>
      </c>
      <c r="C155" s="2">
        <v>0</v>
      </c>
      <c r="D155" s="2">
        <v>0</v>
      </c>
      <c r="E155" s="2">
        <v>0</v>
      </c>
      <c r="F155" s="2">
        <v>0</v>
      </c>
      <c r="G155" s="2">
        <v>0</v>
      </c>
      <c r="H155" s="2">
        <v>0</v>
      </c>
      <c r="I155" s="2">
        <v>0</v>
      </c>
      <c r="J155" s="2">
        <f t="shared" si="42"/>
        <v>0</v>
      </c>
      <c r="K155" s="2">
        <f t="shared" si="47"/>
        <v>5995105.7300000004</v>
      </c>
      <c r="L155" s="171">
        <f t="shared" si="41"/>
        <v>3.5200000000000002E-2</v>
      </c>
      <c r="M155" s="1">
        <f t="shared" si="48"/>
        <v>17585.64</v>
      </c>
      <c r="N155" s="2">
        <f t="shared" si="49"/>
        <v>932038.92000000062</v>
      </c>
      <c r="O155" s="2">
        <f t="shared" si="43"/>
        <v>5063066.8099999996</v>
      </c>
      <c r="Q155" s="2">
        <v>0</v>
      </c>
      <c r="R155" s="5">
        <v>34659.07</v>
      </c>
      <c r="S155" s="2">
        <f t="shared" si="44"/>
        <v>34659.07</v>
      </c>
      <c r="T155" s="2">
        <f t="shared" si="50"/>
        <v>14691556.689999998</v>
      </c>
      <c r="U155" s="171">
        <f t="shared" si="46"/>
        <v>3.5200000000000002E-2</v>
      </c>
      <c r="V155" s="5">
        <f t="shared" si="51"/>
        <v>42993.57</v>
      </c>
      <c r="W155" s="2">
        <f t="shared" ref="W155:W180" si="52">V155+W154</f>
        <v>1379670.5099999998</v>
      </c>
      <c r="X155" s="2">
        <f t="shared" si="45"/>
        <v>13311886.179999998</v>
      </c>
      <c r="AA155">
        <v>34659.07</v>
      </c>
    </row>
    <row r="156" spans="1:27">
      <c r="A156" s="163">
        <v>202402</v>
      </c>
      <c r="B156" s="163">
        <v>36500</v>
      </c>
      <c r="C156" s="2">
        <v>0</v>
      </c>
      <c r="D156" s="2">
        <v>0</v>
      </c>
      <c r="E156" s="2">
        <v>0</v>
      </c>
      <c r="F156" s="2">
        <v>0</v>
      </c>
      <c r="G156" s="2">
        <v>0</v>
      </c>
      <c r="H156" s="2">
        <v>0</v>
      </c>
      <c r="I156" s="2">
        <v>0</v>
      </c>
      <c r="J156" s="2">
        <f t="shared" si="42"/>
        <v>0</v>
      </c>
      <c r="K156" s="2">
        <f t="shared" si="47"/>
        <v>5995105.7300000004</v>
      </c>
      <c r="L156" s="171">
        <f t="shared" si="41"/>
        <v>3.5200000000000002E-2</v>
      </c>
      <c r="M156" s="1">
        <f t="shared" si="48"/>
        <v>17585.64</v>
      </c>
      <c r="N156" s="2">
        <f t="shared" si="49"/>
        <v>949624.56000000064</v>
      </c>
      <c r="O156" s="2">
        <f t="shared" si="43"/>
        <v>5045481.17</v>
      </c>
      <c r="Q156" s="2">
        <v>0</v>
      </c>
      <c r="R156" s="5">
        <v>72498.39</v>
      </c>
      <c r="S156" s="2">
        <f t="shared" si="44"/>
        <v>72498.39</v>
      </c>
      <c r="T156" s="2">
        <f t="shared" si="50"/>
        <v>14764055.079999998</v>
      </c>
      <c r="U156" s="171">
        <f t="shared" si="46"/>
        <v>3.5200000000000002E-2</v>
      </c>
      <c r="V156" s="5">
        <f t="shared" si="51"/>
        <v>43095.23</v>
      </c>
      <c r="W156" s="2">
        <f t="shared" si="52"/>
        <v>1422765.7399999998</v>
      </c>
      <c r="X156" s="2">
        <f t="shared" si="45"/>
        <v>13341289.339999998</v>
      </c>
      <c r="AA156">
        <v>72498.39</v>
      </c>
    </row>
    <row r="157" spans="1:27">
      <c r="A157" s="163">
        <v>202403</v>
      </c>
      <c r="B157" s="163">
        <v>36500</v>
      </c>
      <c r="C157" s="2">
        <v>0</v>
      </c>
      <c r="D157" s="2">
        <v>0</v>
      </c>
      <c r="E157" s="2">
        <v>0</v>
      </c>
      <c r="F157" s="2">
        <v>0</v>
      </c>
      <c r="G157" s="2">
        <v>0</v>
      </c>
      <c r="H157" s="2">
        <v>0</v>
      </c>
      <c r="I157" s="2">
        <v>0</v>
      </c>
      <c r="J157" s="2">
        <f t="shared" si="42"/>
        <v>0</v>
      </c>
      <c r="K157" s="2">
        <f t="shared" si="47"/>
        <v>5995105.7300000004</v>
      </c>
      <c r="L157" s="171">
        <f t="shared" si="41"/>
        <v>3.5200000000000002E-2</v>
      </c>
      <c r="M157" s="1">
        <f t="shared" si="48"/>
        <v>17585.64</v>
      </c>
      <c r="N157" s="2">
        <f t="shared" si="49"/>
        <v>967210.20000000065</v>
      </c>
      <c r="O157" s="2">
        <f t="shared" si="43"/>
        <v>5027895.5299999993</v>
      </c>
      <c r="Q157" s="2">
        <v>0</v>
      </c>
      <c r="R157" s="5">
        <v>127034.67</v>
      </c>
      <c r="S157" s="2">
        <f t="shared" si="44"/>
        <v>127034.67</v>
      </c>
      <c r="T157" s="2">
        <f t="shared" si="50"/>
        <v>14891089.749999998</v>
      </c>
      <c r="U157" s="171">
        <f t="shared" si="46"/>
        <v>3.5200000000000002E-2</v>
      </c>
      <c r="V157" s="5">
        <f t="shared" si="51"/>
        <v>43307.89</v>
      </c>
      <c r="W157" s="2">
        <f t="shared" si="52"/>
        <v>1466073.6299999997</v>
      </c>
      <c r="X157" s="2">
        <f t="shared" si="45"/>
        <v>13425016.119999999</v>
      </c>
      <c r="AA157">
        <v>127034.67</v>
      </c>
    </row>
    <row r="158" spans="1:27">
      <c r="A158" s="163">
        <v>202404</v>
      </c>
      <c r="B158" s="163">
        <v>36500</v>
      </c>
      <c r="C158" s="2">
        <v>0</v>
      </c>
      <c r="D158" s="2">
        <v>0</v>
      </c>
      <c r="E158" s="2">
        <v>0</v>
      </c>
      <c r="F158" s="2">
        <v>0</v>
      </c>
      <c r="G158" s="2">
        <v>0</v>
      </c>
      <c r="H158" s="2">
        <v>0</v>
      </c>
      <c r="I158" s="2">
        <v>0</v>
      </c>
      <c r="J158" s="2">
        <f t="shared" si="42"/>
        <v>0</v>
      </c>
      <c r="K158" s="2">
        <f t="shared" si="47"/>
        <v>5995105.7300000004</v>
      </c>
      <c r="L158" s="171">
        <f t="shared" si="41"/>
        <v>3.5200000000000002E-2</v>
      </c>
      <c r="M158" s="1">
        <f t="shared" si="48"/>
        <v>17585.64</v>
      </c>
      <c r="N158" s="2">
        <f t="shared" si="49"/>
        <v>984795.84000000067</v>
      </c>
      <c r="O158" s="2">
        <f t="shared" si="43"/>
        <v>5010309.8899999997</v>
      </c>
      <c r="Q158" s="2">
        <v>0</v>
      </c>
      <c r="R158" s="5">
        <v>108767.9</v>
      </c>
      <c r="S158" s="2">
        <f t="shared" si="44"/>
        <v>108767.9</v>
      </c>
      <c r="T158" s="2">
        <f t="shared" si="50"/>
        <v>14999857.649999999</v>
      </c>
      <c r="U158" s="171">
        <f t="shared" si="46"/>
        <v>3.5200000000000002E-2</v>
      </c>
      <c r="V158" s="5">
        <f t="shared" si="51"/>
        <v>43680.53</v>
      </c>
      <c r="W158" s="2">
        <f t="shared" si="52"/>
        <v>1509754.1599999997</v>
      </c>
      <c r="X158" s="2">
        <f t="shared" si="45"/>
        <v>13490103.489999998</v>
      </c>
      <c r="AA158">
        <v>108767.9</v>
      </c>
    </row>
    <row r="159" spans="1:27">
      <c r="A159" s="163">
        <v>202405</v>
      </c>
      <c r="B159" s="163">
        <v>36500</v>
      </c>
      <c r="C159" s="2">
        <v>0</v>
      </c>
      <c r="D159" s="2">
        <v>0</v>
      </c>
      <c r="E159" s="2">
        <v>0</v>
      </c>
      <c r="F159" s="2">
        <v>0</v>
      </c>
      <c r="G159" s="2">
        <v>0</v>
      </c>
      <c r="H159" s="2">
        <v>0</v>
      </c>
      <c r="I159" s="2">
        <v>0</v>
      </c>
      <c r="J159" s="2">
        <f t="shared" si="42"/>
        <v>0</v>
      </c>
      <c r="K159" s="2">
        <f t="shared" si="47"/>
        <v>5995105.7300000004</v>
      </c>
      <c r="L159" s="171">
        <f t="shared" si="41"/>
        <v>3.5200000000000002E-2</v>
      </c>
      <c r="M159" s="1">
        <f t="shared" si="48"/>
        <v>17585.64</v>
      </c>
      <c r="N159" s="2">
        <f t="shared" si="49"/>
        <v>1002381.4800000007</v>
      </c>
      <c r="O159" s="2">
        <f t="shared" si="43"/>
        <v>4992724.25</v>
      </c>
      <c r="Q159" s="2">
        <v>0</v>
      </c>
      <c r="R159" s="5">
        <v>62435.74</v>
      </c>
      <c r="S159" s="2">
        <f t="shared" si="44"/>
        <v>62435.74</v>
      </c>
      <c r="T159" s="2">
        <f t="shared" si="50"/>
        <v>15062293.389999999</v>
      </c>
      <c r="U159" s="171">
        <f t="shared" si="46"/>
        <v>3.5200000000000002E-2</v>
      </c>
      <c r="V159" s="5">
        <f t="shared" si="51"/>
        <v>43999.58</v>
      </c>
      <c r="W159" s="2">
        <f t="shared" si="52"/>
        <v>1553753.7399999998</v>
      </c>
      <c r="X159" s="2">
        <f t="shared" si="45"/>
        <v>13508539.649999999</v>
      </c>
      <c r="AA159">
        <v>62435.74</v>
      </c>
    </row>
    <row r="160" spans="1:27">
      <c r="A160" s="163">
        <v>202406</v>
      </c>
      <c r="B160" s="163">
        <v>36500</v>
      </c>
      <c r="C160" s="2">
        <v>0</v>
      </c>
      <c r="D160" s="2">
        <v>0</v>
      </c>
      <c r="E160" s="2">
        <v>0</v>
      </c>
      <c r="F160" s="2">
        <v>0</v>
      </c>
      <c r="G160" s="2">
        <v>0</v>
      </c>
      <c r="H160" s="2">
        <v>0</v>
      </c>
      <c r="I160" s="2">
        <v>0</v>
      </c>
      <c r="J160" s="2">
        <f t="shared" si="42"/>
        <v>0</v>
      </c>
      <c r="K160" s="2">
        <f t="shared" si="47"/>
        <v>5995105.7300000004</v>
      </c>
      <c r="L160" s="171">
        <f t="shared" si="41"/>
        <v>3.5200000000000002E-2</v>
      </c>
      <c r="M160" s="1">
        <f t="shared" si="48"/>
        <v>17585.64</v>
      </c>
      <c r="N160" s="2">
        <f t="shared" si="49"/>
        <v>1019967.1200000007</v>
      </c>
      <c r="O160" s="2">
        <f t="shared" si="43"/>
        <v>4975138.6099999994</v>
      </c>
      <c r="Q160" s="2">
        <v>0</v>
      </c>
      <c r="R160" s="5">
        <v>-13493.51</v>
      </c>
      <c r="S160" s="2">
        <f t="shared" si="44"/>
        <v>-13493.51</v>
      </c>
      <c r="T160" s="2">
        <f t="shared" si="50"/>
        <v>15048799.879999999</v>
      </c>
      <c r="U160" s="171">
        <f t="shared" si="46"/>
        <v>3.5200000000000002E-2</v>
      </c>
      <c r="V160" s="5">
        <f t="shared" si="51"/>
        <v>44182.73</v>
      </c>
      <c r="W160" s="2">
        <f t="shared" si="52"/>
        <v>1597936.4699999997</v>
      </c>
      <c r="X160" s="2">
        <f t="shared" si="45"/>
        <v>13450863.41</v>
      </c>
      <c r="AA160">
        <v>-13493.51</v>
      </c>
    </row>
    <row r="161" spans="1:27">
      <c r="A161" s="163">
        <v>202407</v>
      </c>
      <c r="B161" s="163">
        <v>36500</v>
      </c>
      <c r="C161" s="2">
        <v>0</v>
      </c>
      <c r="D161" s="2">
        <v>0</v>
      </c>
      <c r="E161" s="2">
        <v>0</v>
      </c>
      <c r="F161" s="2">
        <v>0</v>
      </c>
      <c r="G161" s="2">
        <v>0</v>
      </c>
      <c r="H161" s="2">
        <v>0</v>
      </c>
      <c r="I161" s="2">
        <v>0</v>
      </c>
      <c r="J161" s="2">
        <f t="shared" si="42"/>
        <v>0</v>
      </c>
      <c r="K161" s="2">
        <f t="shared" si="47"/>
        <v>5995105.7300000004</v>
      </c>
      <c r="L161" s="171">
        <f t="shared" si="41"/>
        <v>3.5200000000000002E-2</v>
      </c>
      <c r="M161" s="1">
        <f t="shared" si="48"/>
        <v>17585.64</v>
      </c>
      <c r="N161" s="2">
        <f t="shared" si="49"/>
        <v>1037552.7600000007</v>
      </c>
      <c r="O161" s="2">
        <f t="shared" si="43"/>
        <v>4957552.97</v>
      </c>
      <c r="Q161" s="2">
        <v>0</v>
      </c>
      <c r="R161" s="5">
        <v>46568.77</v>
      </c>
      <c r="S161" s="2">
        <f t="shared" si="44"/>
        <v>46568.77</v>
      </c>
      <c r="T161" s="2">
        <f t="shared" si="50"/>
        <v>15095368.649999999</v>
      </c>
      <c r="U161" s="171">
        <f t="shared" si="46"/>
        <v>3.5200000000000002E-2</v>
      </c>
      <c r="V161" s="5">
        <f t="shared" si="51"/>
        <v>44143.15</v>
      </c>
      <c r="W161" s="2">
        <f t="shared" si="52"/>
        <v>1642079.6199999996</v>
      </c>
      <c r="X161" s="2">
        <f t="shared" si="45"/>
        <v>13453289.029999999</v>
      </c>
      <c r="AA161">
        <v>46568.77</v>
      </c>
    </row>
    <row r="162" spans="1:27">
      <c r="A162" s="163">
        <v>202408</v>
      </c>
      <c r="B162" s="163">
        <v>36500</v>
      </c>
      <c r="C162" s="2">
        <v>0</v>
      </c>
      <c r="D162" s="2">
        <v>0</v>
      </c>
      <c r="E162" s="2">
        <v>0</v>
      </c>
      <c r="F162" s="2">
        <v>0</v>
      </c>
      <c r="G162" s="2">
        <v>0</v>
      </c>
      <c r="H162" s="2">
        <v>0</v>
      </c>
      <c r="I162" s="2">
        <v>0</v>
      </c>
      <c r="J162" s="2">
        <f t="shared" si="42"/>
        <v>0</v>
      </c>
      <c r="K162" s="2">
        <f t="shared" si="47"/>
        <v>5995105.7300000004</v>
      </c>
      <c r="L162" s="171">
        <f t="shared" si="41"/>
        <v>3.5200000000000002E-2</v>
      </c>
      <c r="M162" s="1">
        <f t="shared" si="48"/>
        <v>17585.64</v>
      </c>
      <c r="N162" s="2">
        <f t="shared" si="49"/>
        <v>1055138.4000000006</v>
      </c>
      <c r="O162" s="2">
        <f t="shared" si="43"/>
        <v>4939967.33</v>
      </c>
      <c r="Q162" s="2">
        <v>0</v>
      </c>
      <c r="R162" s="5">
        <v>167052.23000000001</v>
      </c>
      <c r="S162" s="2">
        <f t="shared" si="44"/>
        <v>167052.23000000001</v>
      </c>
      <c r="T162" s="2">
        <f t="shared" si="50"/>
        <v>15262420.879999999</v>
      </c>
      <c r="U162" s="171">
        <f t="shared" si="46"/>
        <v>3.5200000000000002E-2</v>
      </c>
      <c r="V162" s="5">
        <f t="shared" si="51"/>
        <v>44279.75</v>
      </c>
      <c r="W162" s="2">
        <f t="shared" si="52"/>
        <v>1686359.3699999996</v>
      </c>
      <c r="X162" s="2">
        <f t="shared" si="45"/>
        <v>13576061.51</v>
      </c>
      <c r="AA162">
        <v>167052.23000000001</v>
      </c>
    </row>
    <row r="163" spans="1:27">
      <c r="A163" s="163">
        <v>202409</v>
      </c>
      <c r="B163" s="163">
        <v>36500</v>
      </c>
      <c r="C163" s="2">
        <v>0</v>
      </c>
      <c r="D163" s="2">
        <v>0</v>
      </c>
      <c r="E163" s="2">
        <v>0</v>
      </c>
      <c r="F163" s="2">
        <v>0</v>
      </c>
      <c r="G163" s="2">
        <v>0</v>
      </c>
      <c r="H163" s="2">
        <v>0</v>
      </c>
      <c r="I163" s="2">
        <v>0</v>
      </c>
      <c r="J163" s="2">
        <f t="shared" si="42"/>
        <v>0</v>
      </c>
      <c r="K163" s="2">
        <f t="shared" si="47"/>
        <v>5995105.7300000004</v>
      </c>
      <c r="L163" s="171">
        <f t="shared" si="41"/>
        <v>3.5200000000000002E-2</v>
      </c>
      <c r="M163" s="1">
        <f t="shared" si="48"/>
        <v>17585.64</v>
      </c>
      <c r="N163" s="2">
        <f t="shared" si="49"/>
        <v>1072724.0400000005</v>
      </c>
      <c r="O163" s="2">
        <f t="shared" si="43"/>
        <v>4922381.6899999995</v>
      </c>
      <c r="Q163" s="2">
        <v>0</v>
      </c>
      <c r="R163" s="5">
        <v>395240.08</v>
      </c>
      <c r="S163" s="2">
        <f t="shared" si="44"/>
        <v>395240.08</v>
      </c>
      <c r="T163" s="2">
        <f t="shared" si="50"/>
        <v>15657660.959999999</v>
      </c>
      <c r="U163" s="171">
        <f t="shared" si="46"/>
        <v>3.5200000000000002E-2</v>
      </c>
      <c r="V163" s="5">
        <f t="shared" si="51"/>
        <v>44769.77</v>
      </c>
      <c r="W163" s="2">
        <f t="shared" si="52"/>
        <v>1731129.1399999997</v>
      </c>
      <c r="X163" s="2">
        <f t="shared" si="45"/>
        <v>13926531.82</v>
      </c>
      <c r="AA163">
        <v>395240.08</v>
      </c>
    </row>
    <row r="164" spans="1:27">
      <c r="A164" s="163">
        <v>202410</v>
      </c>
      <c r="B164" s="163">
        <v>36500</v>
      </c>
      <c r="C164" s="2">
        <v>0</v>
      </c>
      <c r="D164" s="2">
        <v>0</v>
      </c>
      <c r="E164" s="2">
        <v>0</v>
      </c>
      <c r="F164" s="2">
        <v>0</v>
      </c>
      <c r="G164" s="2">
        <v>0</v>
      </c>
      <c r="H164" s="2">
        <v>0</v>
      </c>
      <c r="I164" s="2">
        <v>0</v>
      </c>
      <c r="J164" s="2">
        <f t="shared" si="42"/>
        <v>0</v>
      </c>
      <c r="K164" s="2">
        <f t="shared" si="47"/>
        <v>5995105.7300000004</v>
      </c>
      <c r="L164" s="171">
        <f t="shared" si="41"/>
        <v>3.5200000000000002E-2</v>
      </c>
      <c r="M164" s="1">
        <f t="shared" si="48"/>
        <v>17585.64</v>
      </c>
      <c r="N164" s="2">
        <f t="shared" si="49"/>
        <v>1090309.6800000004</v>
      </c>
      <c r="O164" s="2">
        <f t="shared" si="43"/>
        <v>4904796.05</v>
      </c>
      <c r="Q164" s="2">
        <v>0</v>
      </c>
      <c r="R164" s="5">
        <v>96781.89</v>
      </c>
      <c r="S164" s="2">
        <f t="shared" si="44"/>
        <v>96781.89</v>
      </c>
      <c r="T164" s="2">
        <f t="shared" si="50"/>
        <v>15754442.85</v>
      </c>
      <c r="U164" s="171">
        <f t="shared" si="46"/>
        <v>3.5200000000000002E-2</v>
      </c>
      <c r="V164" s="5">
        <f t="shared" si="51"/>
        <v>45929.14</v>
      </c>
      <c r="W164" s="2">
        <f t="shared" si="52"/>
        <v>1777058.2799999996</v>
      </c>
      <c r="X164" s="2">
        <f t="shared" si="45"/>
        <v>13977384.57</v>
      </c>
      <c r="AA164">
        <v>96781.89</v>
      </c>
    </row>
    <row r="165" spans="1:27">
      <c r="A165" s="163">
        <v>202411</v>
      </c>
      <c r="B165" s="163">
        <v>36500</v>
      </c>
      <c r="C165" s="2">
        <v>0</v>
      </c>
      <c r="D165" s="2">
        <v>0</v>
      </c>
      <c r="E165" s="2">
        <v>0</v>
      </c>
      <c r="F165" s="2">
        <v>0</v>
      </c>
      <c r="G165" s="2">
        <v>0</v>
      </c>
      <c r="H165" s="2">
        <v>0</v>
      </c>
      <c r="I165" s="2">
        <v>0</v>
      </c>
      <c r="J165" s="2">
        <f t="shared" si="42"/>
        <v>0</v>
      </c>
      <c r="K165" s="2">
        <f t="shared" si="47"/>
        <v>5995105.7300000004</v>
      </c>
      <c r="L165" s="171">
        <f t="shared" si="41"/>
        <v>3.5200000000000002E-2</v>
      </c>
      <c r="M165" s="1">
        <f t="shared" si="48"/>
        <v>17585.64</v>
      </c>
      <c r="N165" s="2">
        <f t="shared" si="49"/>
        <v>1107895.3200000003</v>
      </c>
      <c r="O165" s="2">
        <f t="shared" si="43"/>
        <v>4887210.41</v>
      </c>
      <c r="Q165" s="2">
        <v>0</v>
      </c>
      <c r="R165" s="5">
        <v>114760.52</v>
      </c>
      <c r="S165" s="2">
        <f t="shared" si="44"/>
        <v>114760.52</v>
      </c>
      <c r="T165" s="2">
        <f t="shared" si="50"/>
        <v>15869203.369999999</v>
      </c>
      <c r="U165" s="171">
        <f t="shared" si="46"/>
        <v>3.5200000000000002E-2</v>
      </c>
      <c r="V165" s="5">
        <f t="shared" si="51"/>
        <v>46213.03</v>
      </c>
      <c r="W165" s="2">
        <f t="shared" si="52"/>
        <v>1823271.3099999996</v>
      </c>
      <c r="X165" s="2">
        <f t="shared" si="45"/>
        <v>14045932.059999999</v>
      </c>
      <c r="AA165">
        <v>114760.52</v>
      </c>
    </row>
    <row r="166" spans="1:27">
      <c r="A166" s="163">
        <v>202412</v>
      </c>
      <c r="B166" s="163">
        <v>36500</v>
      </c>
      <c r="C166" s="2">
        <v>0</v>
      </c>
      <c r="D166" s="2">
        <v>0</v>
      </c>
      <c r="E166" s="2">
        <v>0</v>
      </c>
      <c r="F166" s="2">
        <v>0</v>
      </c>
      <c r="G166" s="2">
        <v>0</v>
      </c>
      <c r="H166" s="2">
        <v>0</v>
      </c>
      <c r="I166" s="2">
        <v>0</v>
      </c>
      <c r="J166" s="2">
        <f t="shared" si="42"/>
        <v>0</v>
      </c>
      <c r="K166" s="2">
        <f t="shared" si="47"/>
        <v>5995105.7300000004</v>
      </c>
      <c r="L166" s="171">
        <f t="shared" si="41"/>
        <v>3.5200000000000002E-2</v>
      </c>
      <c r="M166" s="1">
        <f t="shared" si="48"/>
        <v>17585.64</v>
      </c>
      <c r="N166" s="2">
        <f t="shared" si="49"/>
        <v>1125480.9600000002</v>
      </c>
      <c r="O166" s="2">
        <f t="shared" si="43"/>
        <v>4869624.7700000005</v>
      </c>
      <c r="Q166" s="2">
        <v>0</v>
      </c>
      <c r="R166" s="5">
        <v>228872.85</v>
      </c>
      <c r="S166" s="2">
        <f t="shared" si="44"/>
        <v>228872.85</v>
      </c>
      <c r="T166" s="2">
        <f t="shared" si="50"/>
        <v>16098076.219999999</v>
      </c>
      <c r="U166" s="171">
        <f t="shared" si="46"/>
        <v>3.5200000000000002E-2</v>
      </c>
      <c r="V166" s="5">
        <f t="shared" si="51"/>
        <v>46549.66</v>
      </c>
      <c r="W166" s="2">
        <f t="shared" si="52"/>
        <v>1869820.9699999995</v>
      </c>
      <c r="X166" s="2">
        <f t="shared" si="45"/>
        <v>14228255.25</v>
      </c>
      <c r="AA166">
        <v>228872.85</v>
      </c>
    </row>
    <row r="167" spans="1:27">
      <c r="A167" s="163">
        <v>202501</v>
      </c>
      <c r="B167" s="163">
        <v>36500</v>
      </c>
      <c r="C167" s="2">
        <v>0</v>
      </c>
      <c r="D167" s="2">
        <v>0</v>
      </c>
      <c r="E167" s="2">
        <v>0</v>
      </c>
      <c r="F167" s="2">
        <v>0</v>
      </c>
      <c r="G167" s="2">
        <v>0</v>
      </c>
      <c r="H167" s="2">
        <v>0</v>
      </c>
      <c r="I167" s="2">
        <v>0</v>
      </c>
      <c r="J167" s="2">
        <f t="shared" si="42"/>
        <v>0</v>
      </c>
      <c r="K167" s="2">
        <f t="shared" si="47"/>
        <v>5995105.7300000004</v>
      </c>
      <c r="L167" s="171">
        <f t="shared" ref="L167:L180" si="53">3.52%</f>
        <v>3.5200000000000002E-2</v>
      </c>
      <c r="M167" s="1">
        <f t="shared" si="48"/>
        <v>17585.64</v>
      </c>
      <c r="N167" s="2">
        <f t="shared" si="49"/>
        <v>1143066.6000000001</v>
      </c>
      <c r="O167" s="2">
        <f t="shared" si="43"/>
        <v>4852039.1300000008</v>
      </c>
      <c r="Q167" s="2">
        <v>0</v>
      </c>
      <c r="R167" s="5">
        <v>165573.39000000001</v>
      </c>
      <c r="S167" s="2">
        <f t="shared" si="44"/>
        <v>165573.39000000001</v>
      </c>
      <c r="T167" s="2">
        <f t="shared" si="50"/>
        <v>16263649.609999999</v>
      </c>
      <c r="U167" s="171">
        <f t="shared" si="46"/>
        <v>3.5200000000000002E-2</v>
      </c>
      <c r="V167" s="5">
        <f t="shared" si="51"/>
        <v>47221.02</v>
      </c>
      <c r="W167" s="2">
        <f t="shared" si="52"/>
        <v>1917041.9899999995</v>
      </c>
      <c r="X167" s="2">
        <f t="shared" si="45"/>
        <v>14346607.619999999</v>
      </c>
      <c r="AA167">
        <v>165573.39000000001</v>
      </c>
    </row>
    <row r="168" spans="1:27">
      <c r="A168" s="163">
        <v>202502</v>
      </c>
      <c r="B168" s="163">
        <v>36500</v>
      </c>
      <c r="C168" s="2">
        <v>0</v>
      </c>
      <c r="D168" s="2">
        <v>0</v>
      </c>
      <c r="E168" s="2">
        <v>0</v>
      </c>
      <c r="F168" s="2">
        <v>0</v>
      </c>
      <c r="G168" s="2">
        <v>0</v>
      </c>
      <c r="H168" s="2">
        <v>0</v>
      </c>
      <c r="I168" s="2">
        <v>0</v>
      </c>
      <c r="J168" s="2">
        <f t="shared" si="42"/>
        <v>0</v>
      </c>
      <c r="K168" s="2">
        <f t="shared" si="47"/>
        <v>5995105.7300000004</v>
      </c>
      <c r="L168" s="171">
        <f t="shared" si="53"/>
        <v>3.5200000000000002E-2</v>
      </c>
      <c r="M168" s="1">
        <f t="shared" si="48"/>
        <v>17585.64</v>
      </c>
      <c r="N168" s="2">
        <f t="shared" si="49"/>
        <v>1160652.24</v>
      </c>
      <c r="O168" s="2">
        <f t="shared" si="43"/>
        <v>4834453.49</v>
      </c>
      <c r="Q168" s="2">
        <v>0</v>
      </c>
      <c r="R168" s="5">
        <v>160476.81</v>
      </c>
      <c r="S168" s="2">
        <f t="shared" si="44"/>
        <v>160476.81</v>
      </c>
      <c r="T168" s="2">
        <f t="shared" si="50"/>
        <v>16424126.42</v>
      </c>
      <c r="U168" s="171">
        <f t="shared" si="46"/>
        <v>3.5200000000000002E-2</v>
      </c>
      <c r="V168" s="5">
        <f t="shared" si="51"/>
        <v>47706.71</v>
      </c>
      <c r="W168" s="2">
        <f t="shared" si="52"/>
        <v>1964748.6999999995</v>
      </c>
      <c r="X168" s="2">
        <f t="shared" si="45"/>
        <v>14459377.720000001</v>
      </c>
      <c r="AA168">
        <v>160476.81</v>
      </c>
    </row>
    <row r="169" spans="1:27">
      <c r="A169" s="163">
        <v>202503</v>
      </c>
      <c r="B169" s="163">
        <v>36500</v>
      </c>
      <c r="C169" s="2">
        <v>0</v>
      </c>
      <c r="D169" s="2">
        <v>0</v>
      </c>
      <c r="E169" s="2">
        <v>0</v>
      </c>
      <c r="F169" s="2">
        <v>0</v>
      </c>
      <c r="G169" s="2">
        <v>0</v>
      </c>
      <c r="H169" s="2">
        <v>0</v>
      </c>
      <c r="I169" s="2">
        <v>0</v>
      </c>
      <c r="J169" s="2">
        <f t="shared" si="42"/>
        <v>0</v>
      </c>
      <c r="K169" s="2">
        <f t="shared" si="47"/>
        <v>5995105.7300000004</v>
      </c>
      <c r="L169" s="171">
        <f t="shared" si="53"/>
        <v>3.5200000000000002E-2</v>
      </c>
      <c r="M169" s="1">
        <f t="shared" si="48"/>
        <v>17585.64</v>
      </c>
      <c r="N169" s="2">
        <f t="shared" si="49"/>
        <v>1178237.8799999999</v>
      </c>
      <c r="O169" s="2">
        <f t="shared" si="43"/>
        <v>4816867.8500000006</v>
      </c>
      <c r="Q169" s="2">
        <v>0</v>
      </c>
      <c r="R169" s="5">
        <v>127839.59</v>
      </c>
      <c r="S169" s="2">
        <f t="shared" si="44"/>
        <v>127839.59</v>
      </c>
      <c r="T169" s="2">
        <f t="shared" si="50"/>
        <v>16551966.01</v>
      </c>
      <c r="U169" s="171">
        <f t="shared" si="46"/>
        <v>3.5200000000000002E-2</v>
      </c>
      <c r="V169" s="5">
        <f t="shared" si="51"/>
        <v>48177.440000000002</v>
      </c>
      <c r="W169" s="2">
        <f t="shared" si="52"/>
        <v>2012926.1399999994</v>
      </c>
      <c r="X169" s="2">
        <f t="shared" si="45"/>
        <v>14539039.870000001</v>
      </c>
      <c r="AA169">
        <v>127839.59</v>
      </c>
    </row>
    <row r="170" spans="1:27">
      <c r="A170" s="163">
        <v>202504</v>
      </c>
      <c r="B170" s="163">
        <v>36500</v>
      </c>
      <c r="C170" s="2">
        <v>0</v>
      </c>
      <c r="D170" s="2">
        <v>0</v>
      </c>
      <c r="E170" s="2">
        <v>0</v>
      </c>
      <c r="F170" s="2">
        <v>0</v>
      </c>
      <c r="G170" s="2">
        <v>0</v>
      </c>
      <c r="H170" s="2">
        <v>0</v>
      </c>
      <c r="I170" s="2">
        <v>0</v>
      </c>
      <c r="J170" s="2">
        <f t="shared" si="42"/>
        <v>0</v>
      </c>
      <c r="K170" s="2">
        <f t="shared" si="47"/>
        <v>5995105.7300000004</v>
      </c>
      <c r="L170" s="171">
        <f t="shared" si="53"/>
        <v>3.5200000000000002E-2</v>
      </c>
      <c r="M170" s="1">
        <f t="shared" si="48"/>
        <v>17585.64</v>
      </c>
      <c r="N170" s="2">
        <f t="shared" si="49"/>
        <v>1195823.5199999998</v>
      </c>
      <c r="O170" s="2">
        <f t="shared" si="43"/>
        <v>4799282.2100000009</v>
      </c>
      <c r="Q170" s="2">
        <v>0</v>
      </c>
      <c r="R170" s="5">
        <v>100477.83</v>
      </c>
      <c r="S170" s="2">
        <f t="shared" si="44"/>
        <v>100477.83</v>
      </c>
      <c r="T170" s="2">
        <f t="shared" si="50"/>
        <v>16652443.84</v>
      </c>
      <c r="U170" s="171">
        <f t="shared" si="46"/>
        <v>3.5200000000000002E-2</v>
      </c>
      <c r="V170" s="5">
        <f t="shared" si="51"/>
        <v>48552.43</v>
      </c>
      <c r="W170" s="2">
        <f t="shared" si="52"/>
        <v>2061478.5699999994</v>
      </c>
      <c r="X170" s="2">
        <f t="shared" si="45"/>
        <v>14590965.27</v>
      </c>
      <c r="AA170">
        <v>100477.83</v>
      </c>
    </row>
    <row r="171" spans="1:27">
      <c r="A171" s="163">
        <v>202505</v>
      </c>
      <c r="B171" s="163">
        <v>36500</v>
      </c>
      <c r="C171" s="2">
        <v>0</v>
      </c>
      <c r="D171" s="2">
        <v>0</v>
      </c>
      <c r="E171" s="2">
        <v>0</v>
      </c>
      <c r="F171" s="2">
        <v>0</v>
      </c>
      <c r="G171" s="2">
        <v>0</v>
      </c>
      <c r="H171" s="2">
        <v>0</v>
      </c>
      <c r="I171" s="2">
        <v>0</v>
      </c>
      <c r="J171" s="2">
        <f t="shared" si="42"/>
        <v>0</v>
      </c>
      <c r="K171" s="2">
        <f t="shared" si="47"/>
        <v>5995105.7300000004</v>
      </c>
      <c r="L171" s="171">
        <f t="shared" si="53"/>
        <v>3.5200000000000002E-2</v>
      </c>
      <c r="M171" s="1">
        <f t="shared" si="48"/>
        <v>17585.64</v>
      </c>
      <c r="N171" s="2">
        <f t="shared" si="49"/>
        <v>1213409.1599999997</v>
      </c>
      <c r="O171" s="2">
        <f t="shared" si="43"/>
        <v>4781696.57</v>
      </c>
      <c r="Q171" s="2">
        <v>0</v>
      </c>
      <c r="R171" s="5">
        <v>72698.75</v>
      </c>
      <c r="S171" s="2">
        <f t="shared" si="44"/>
        <v>72698.75</v>
      </c>
      <c r="T171" s="2">
        <f t="shared" si="50"/>
        <v>16725142.59</v>
      </c>
      <c r="U171" s="171">
        <f t="shared" si="46"/>
        <v>3.5200000000000002E-2</v>
      </c>
      <c r="V171" s="5">
        <f t="shared" si="51"/>
        <v>48847.17</v>
      </c>
      <c r="W171" s="2">
        <f t="shared" si="52"/>
        <v>2110325.7399999993</v>
      </c>
      <c r="X171" s="2">
        <f t="shared" si="45"/>
        <v>14614816.850000001</v>
      </c>
      <c r="AA171">
        <v>72698.75</v>
      </c>
    </row>
    <row r="172" spans="1:27">
      <c r="A172" s="163">
        <v>202506</v>
      </c>
      <c r="B172" s="163">
        <v>36500</v>
      </c>
      <c r="C172" s="2">
        <v>0</v>
      </c>
      <c r="D172" s="2">
        <v>0</v>
      </c>
      <c r="E172" s="2">
        <v>0</v>
      </c>
      <c r="F172" s="2">
        <v>0</v>
      </c>
      <c r="G172" s="2">
        <v>0</v>
      </c>
      <c r="H172" s="2">
        <v>0</v>
      </c>
      <c r="I172" s="2">
        <v>0</v>
      </c>
      <c r="J172" s="2">
        <f t="shared" si="42"/>
        <v>0</v>
      </c>
      <c r="K172" s="2">
        <f t="shared" si="47"/>
        <v>5995105.7300000004</v>
      </c>
      <c r="L172" s="171">
        <f t="shared" si="53"/>
        <v>3.5200000000000002E-2</v>
      </c>
      <c r="M172" s="1">
        <f t="shared" si="48"/>
        <v>17585.64</v>
      </c>
      <c r="N172" s="2">
        <f t="shared" si="49"/>
        <v>1230994.7999999996</v>
      </c>
      <c r="O172" s="2">
        <f t="shared" si="43"/>
        <v>4764110.9300000006</v>
      </c>
      <c r="Q172" s="2">
        <v>0</v>
      </c>
      <c r="R172" s="5">
        <v>56614.03</v>
      </c>
      <c r="S172" s="2">
        <f t="shared" si="44"/>
        <v>56614.03</v>
      </c>
      <c r="T172" s="2">
        <f t="shared" si="50"/>
        <v>16781756.620000001</v>
      </c>
      <c r="U172" s="171">
        <f t="shared" si="46"/>
        <v>3.5200000000000002E-2</v>
      </c>
      <c r="V172" s="5">
        <f t="shared" si="51"/>
        <v>49060.42</v>
      </c>
      <c r="W172" s="2">
        <f t="shared" si="52"/>
        <v>2159386.1599999992</v>
      </c>
      <c r="X172" s="2">
        <f t="shared" si="45"/>
        <v>14622370.460000001</v>
      </c>
      <c r="AA172">
        <v>56614.03</v>
      </c>
    </row>
    <row r="173" spans="1:27">
      <c r="A173" s="163">
        <v>202507</v>
      </c>
      <c r="B173" s="163">
        <v>36500</v>
      </c>
      <c r="C173" s="2">
        <v>0</v>
      </c>
      <c r="D173" s="2">
        <v>0</v>
      </c>
      <c r="E173" s="2">
        <v>0</v>
      </c>
      <c r="F173" s="2">
        <v>0</v>
      </c>
      <c r="G173" s="2">
        <v>0</v>
      </c>
      <c r="H173" s="2">
        <v>0</v>
      </c>
      <c r="I173" s="2">
        <v>0</v>
      </c>
      <c r="J173" s="2">
        <f t="shared" si="42"/>
        <v>0</v>
      </c>
      <c r="K173" s="2">
        <f t="shared" si="47"/>
        <v>5995105.7300000004</v>
      </c>
      <c r="L173" s="171">
        <f t="shared" si="53"/>
        <v>3.5200000000000002E-2</v>
      </c>
      <c r="M173" s="1">
        <f t="shared" si="48"/>
        <v>17585.64</v>
      </c>
      <c r="N173" s="2">
        <f t="shared" si="49"/>
        <v>1248580.4399999995</v>
      </c>
      <c r="O173" s="2">
        <f t="shared" si="43"/>
        <v>4746525.290000001</v>
      </c>
      <c r="Q173" s="2">
        <v>0</v>
      </c>
      <c r="R173" s="5">
        <v>107505.73</v>
      </c>
      <c r="S173" s="2">
        <f t="shared" si="44"/>
        <v>107505.73</v>
      </c>
      <c r="T173" s="2">
        <f t="shared" si="50"/>
        <v>16889262.350000001</v>
      </c>
      <c r="U173" s="171">
        <f t="shared" si="46"/>
        <v>3.5200000000000002E-2</v>
      </c>
      <c r="V173" s="5">
        <f t="shared" si="51"/>
        <v>49226.49</v>
      </c>
      <c r="W173" s="2">
        <f t="shared" si="52"/>
        <v>2208612.6499999994</v>
      </c>
      <c r="X173" s="2">
        <f t="shared" si="45"/>
        <v>14680649.700000003</v>
      </c>
      <c r="AA173">
        <v>107505.73</v>
      </c>
    </row>
    <row r="174" spans="1:27">
      <c r="A174" s="163">
        <v>202508</v>
      </c>
      <c r="B174" s="163">
        <v>36500</v>
      </c>
      <c r="C174" s="2">
        <v>0</v>
      </c>
      <c r="D174" s="2">
        <v>0</v>
      </c>
      <c r="E174" s="2">
        <v>0</v>
      </c>
      <c r="F174" s="2">
        <v>0</v>
      </c>
      <c r="G174" s="2">
        <v>0</v>
      </c>
      <c r="H174" s="2">
        <v>0</v>
      </c>
      <c r="I174" s="2">
        <v>0</v>
      </c>
      <c r="J174" s="2">
        <f t="shared" si="42"/>
        <v>0</v>
      </c>
      <c r="K174" s="2">
        <f t="shared" si="47"/>
        <v>5995105.7300000004</v>
      </c>
      <c r="L174" s="171">
        <f t="shared" si="53"/>
        <v>3.5200000000000002E-2</v>
      </c>
      <c r="M174" s="1">
        <f t="shared" si="48"/>
        <v>17585.64</v>
      </c>
      <c r="N174" s="2">
        <f t="shared" si="49"/>
        <v>1266166.0799999994</v>
      </c>
      <c r="O174" s="2">
        <f t="shared" si="43"/>
        <v>4728939.6500000013</v>
      </c>
      <c r="Q174" s="2">
        <v>0</v>
      </c>
      <c r="R174" s="5">
        <v>234391.31</v>
      </c>
      <c r="S174" s="2">
        <f t="shared" si="44"/>
        <v>234391.31</v>
      </c>
      <c r="T174" s="2">
        <f t="shared" si="50"/>
        <v>17123653.66</v>
      </c>
      <c r="U174" s="171">
        <f t="shared" si="46"/>
        <v>3.5200000000000002E-2</v>
      </c>
      <c r="V174" s="5">
        <f t="shared" si="51"/>
        <v>49541.84</v>
      </c>
      <c r="W174" s="2">
        <f t="shared" si="52"/>
        <v>2258154.4899999993</v>
      </c>
      <c r="X174" s="2">
        <f t="shared" si="45"/>
        <v>14865499.170000002</v>
      </c>
      <c r="AA174">
        <v>234391.31</v>
      </c>
    </row>
    <row r="175" spans="1:27">
      <c r="A175" s="163">
        <v>202509</v>
      </c>
      <c r="B175" s="163">
        <v>36500</v>
      </c>
      <c r="C175" s="2">
        <v>0</v>
      </c>
      <c r="D175" s="2">
        <v>0</v>
      </c>
      <c r="E175" s="2">
        <v>0</v>
      </c>
      <c r="F175" s="2">
        <v>0</v>
      </c>
      <c r="G175" s="2">
        <v>0</v>
      </c>
      <c r="H175" s="2">
        <v>0</v>
      </c>
      <c r="I175" s="2">
        <v>0</v>
      </c>
      <c r="J175" s="2">
        <f t="shared" si="42"/>
        <v>0</v>
      </c>
      <c r="K175" s="2">
        <f t="shared" si="47"/>
        <v>5995105.7300000004</v>
      </c>
      <c r="L175" s="171">
        <f t="shared" si="53"/>
        <v>3.5200000000000002E-2</v>
      </c>
      <c r="M175" s="1">
        <f t="shared" si="48"/>
        <v>17585.64</v>
      </c>
      <c r="N175" s="2">
        <f t="shared" si="49"/>
        <v>1283751.7199999993</v>
      </c>
      <c r="O175" s="2">
        <f t="shared" si="43"/>
        <v>4711354.0100000016</v>
      </c>
      <c r="Q175" s="2">
        <v>0</v>
      </c>
      <c r="R175" s="5">
        <v>234162.37</v>
      </c>
      <c r="S175" s="2">
        <f t="shared" si="44"/>
        <v>234162.37</v>
      </c>
      <c r="T175" s="2">
        <f t="shared" si="50"/>
        <v>17357816.030000001</v>
      </c>
      <c r="U175" s="171">
        <f t="shared" si="46"/>
        <v>3.5200000000000002E-2</v>
      </c>
      <c r="V175" s="5">
        <f t="shared" si="51"/>
        <v>50229.38</v>
      </c>
      <c r="W175" s="2">
        <f t="shared" si="52"/>
        <v>2308383.8699999992</v>
      </c>
      <c r="X175" s="2">
        <f t="shared" si="45"/>
        <v>15049432.160000002</v>
      </c>
      <c r="AA175">
        <v>234162.37</v>
      </c>
    </row>
    <row r="176" spans="1:27">
      <c r="A176" s="163">
        <v>202510</v>
      </c>
      <c r="B176" s="163">
        <v>36500</v>
      </c>
      <c r="C176" s="2">
        <v>0</v>
      </c>
      <c r="D176" s="2">
        <v>0</v>
      </c>
      <c r="E176" s="2">
        <v>0</v>
      </c>
      <c r="F176" s="2">
        <v>0</v>
      </c>
      <c r="G176" s="2">
        <v>0</v>
      </c>
      <c r="H176" s="2">
        <v>0</v>
      </c>
      <c r="I176" s="2">
        <v>0</v>
      </c>
      <c r="J176" s="2">
        <f t="shared" si="42"/>
        <v>0</v>
      </c>
      <c r="K176" s="2">
        <f t="shared" si="47"/>
        <v>5995105.7300000004</v>
      </c>
      <c r="L176" s="170">
        <f t="shared" si="53"/>
        <v>3.5200000000000002E-2</v>
      </c>
      <c r="M176" s="1">
        <f t="shared" si="48"/>
        <v>17585.64</v>
      </c>
      <c r="N176" s="2">
        <f t="shared" si="49"/>
        <v>1301337.3599999992</v>
      </c>
      <c r="O176" s="2">
        <f t="shared" si="43"/>
        <v>4693768.370000001</v>
      </c>
      <c r="Q176" s="2">
        <v>0</v>
      </c>
      <c r="R176" s="1">
        <v>187484.32</v>
      </c>
      <c r="S176" s="2">
        <f t="shared" si="44"/>
        <v>187484.32</v>
      </c>
      <c r="T176" s="2">
        <f t="shared" si="50"/>
        <v>17545300.350000001</v>
      </c>
      <c r="U176" s="170">
        <f t="shared" si="46"/>
        <v>3.5200000000000002E-2</v>
      </c>
      <c r="V176" s="1">
        <f t="shared" si="51"/>
        <v>50916.26</v>
      </c>
      <c r="W176" s="2">
        <f t="shared" si="52"/>
        <v>2359300.129999999</v>
      </c>
      <c r="X176" s="2">
        <f t="shared" si="45"/>
        <v>15186000.220000003</v>
      </c>
      <c r="AA176">
        <v>187484.32</v>
      </c>
    </row>
    <row r="177" spans="1:27">
      <c r="A177" s="163">
        <v>202511</v>
      </c>
      <c r="B177" s="163">
        <v>36500</v>
      </c>
      <c r="C177" s="2">
        <v>0</v>
      </c>
      <c r="D177" s="2">
        <v>0</v>
      </c>
      <c r="E177" s="2">
        <v>0</v>
      </c>
      <c r="F177" s="2">
        <v>0</v>
      </c>
      <c r="G177" s="2">
        <v>0</v>
      </c>
      <c r="H177" s="2">
        <v>0</v>
      </c>
      <c r="I177" s="2">
        <v>0</v>
      </c>
      <c r="J177" s="2">
        <f t="shared" si="42"/>
        <v>0</v>
      </c>
      <c r="K177" s="2">
        <f t="shared" si="47"/>
        <v>5995105.7300000004</v>
      </c>
      <c r="L177" s="170">
        <f t="shared" si="53"/>
        <v>3.5200000000000002E-2</v>
      </c>
      <c r="M177" s="1">
        <f t="shared" si="48"/>
        <v>17585.64</v>
      </c>
      <c r="N177" s="2">
        <f t="shared" si="49"/>
        <v>1318922.9999999991</v>
      </c>
      <c r="O177" s="2">
        <f t="shared" si="43"/>
        <v>4676182.7300000014</v>
      </c>
      <c r="Q177" s="2">
        <v>0</v>
      </c>
      <c r="R177" s="1">
        <v>338149.5</v>
      </c>
      <c r="S177" s="2">
        <f t="shared" si="44"/>
        <v>338149.5</v>
      </c>
      <c r="T177" s="2">
        <f t="shared" si="50"/>
        <v>17883449.850000001</v>
      </c>
      <c r="U177" s="170">
        <f t="shared" si="46"/>
        <v>3.5200000000000002E-2</v>
      </c>
      <c r="V177" s="1">
        <f t="shared" si="51"/>
        <v>51466.21</v>
      </c>
      <c r="W177" s="2">
        <f t="shared" si="52"/>
        <v>2410766.3399999989</v>
      </c>
      <c r="X177" s="2">
        <f t="shared" si="45"/>
        <v>15472683.510000002</v>
      </c>
      <c r="AA177">
        <v>338149.5</v>
      </c>
    </row>
    <row r="178" spans="1:27">
      <c r="A178" s="163">
        <v>202512</v>
      </c>
      <c r="B178" s="163">
        <v>36500</v>
      </c>
      <c r="C178" s="2">
        <v>0</v>
      </c>
      <c r="D178" s="2">
        <v>0</v>
      </c>
      <c r="E178" s="2">
        <v>0</v>
      </c>
      <c r="F178" s="2">
        <v>0</v>
      </c>
      <c r="G178" s="2">
        <v>0</v>
      </c>
      <c r="H178" s="2">
        <v>0</v>
      </c>
      <c r="I178" s="2">
        <v>0</v>
      </c>
      <c r="J178" s="2">
        <f t="shared" si="42"/>
        <v>0</v>
      </c>
      <c r="K178" s="2">
        <f t="shared" si="47"/>
        <v>5995105.7300000004</v>
      </c>
      <c r="L178" s="170">
        <f t="shared" si="53"/>
        <v>3.5200000000000002E-2</v>
      </c>
      <c r="M178" s="1">
        <f t="shared" si="48"/>
        <v>17585.64</v>
      </c>
      <c r="N178" s="2">
        <f t="shared" si="49"/>
        <v>1336508.639999999</v>
      </c>
      <c r="O178" s="2">
        <f t="shared" si="43"/>
        <v>4658597.0900000017</v>
      </c>
      <c r="Q178" s="2">
        <v>0</v>
      </c>
      <c r="R178" s="1">
        <v>171286.37</v>
      </c>
      <c r="S178" s="2">
        <f t="shared" si="44"/>
        <v>171286.37</v>
      </c>
      <c r="T178" s="2">
        <f t="shared" si="50"/>
        <v>18054736.220000003</v>
      </c>
      <c r="U178" s="170">
        <f t="shared" si="46"/>
        <v>3.5200000000000002E-2</v>
      </c>
      <c r="V178" s="1">
        <f t="shared" si="51"/>
        <v>52458.12</v>
      </c>
      <c r="W178" s="2">
        <f t="shared" si="52"/>
        <v>2463224.459999999</v>
      </c>
      <c r="X178" s="2">
        <f t="shared" si="45"/>
        <v>15591511.760000004</v>
      </c>
      <c r="AA178">
        <v>171286.37</v>
      </c>
    </row>
    <row r="179" spans="1:27">
      <c r="A179" s="163">
        <v>202601</v>
      </c>
      <c r="B179" s="163">
        <v>36500</v>
      </c>
      <c r="C179" s="2">
        <v>0</v>
      </c>
      <c r="D179" s="2">
        <v>0</v>
      </c>
      <c r="E179" s="2">
        <v>0</v>
      </c>
      <c r="F179" s="2">
        <v>0</v>
      </c>
      <c r="G179" s="2">
        <v>0</v>
      </c>
      <c r="H179" s="2">
        <v>0</v>
      </c>
      <c r="I179" s="2">
        <v>0</v>
      </c>
      <c r="J179" s="2">
        <f t="shared" si="42"/>
        <v>0</v>
      </c>
      <c r="K179" s="2">
        <f t="shared" si="47"/>
        <v>5995105.7300000004</v>
      </c>
      <c r="L179" s="170">
        <f t="shared" si="53"/>
        <v>3.5200000000000002E-2</v>
      </c>
      <c r="M179" s="1">
        <f t="shared" si="48"/>
        <v>17585.64</v>
      </c>
      <c r="N179" s="2">
        <f t="shared" si="49"/>
        <v>1354094.2799999989</v>
      </c>
      <c r="O179" s="2">
        <f t="shared" si="43"/>
        <v>4641011.4500000011</v>
      </c>
      <c r="Q179" s="2">
        <v>0</v>
      </c>
      <c r="R179" s="1">
        <v>70851.899999999994</v>
      </c>
      <c r="S179" s="2">
        <f t="shared" si="44"/>
        <v>70851.899999999994</v>
      </c>
      <c r="T179" s="2">
        <f t="shared" si="50"/>
        <v>18125588.120000001</v>
      </c>
      <c r="U179" s="170">
        <f t="shared" si="46"/>
        <v>3.5200000000000002E-2</v>
      </c>
      <c r="V179" s="1">
        <f t="shared" si="51"/>
        <v>52960.56</v>
      </c>
      <c r="W179" s="2">
        <f t="shared" si="52"/>
        <v>2516185.0199999991</v>
      </c>
      <c r="X179" s="2">
        <f t="shared" si="45"/>
        <v>15609403.100000001</v>
      </c>
      <c r="AA179">
        <v>70851.899999999994</v>
      </c>
    </row>
    <row r="180" spans="1:27">
      <c r="A180" s="163">
        <v>202602</v>
      </c>
      <c r="B180" s="163">
        <v>36500</v>
      </c>
      <c r="C180" s="2">
        <v>0</v>
      </c>
      <c r="D180" s="2">
        <v>0</v>
      </c>
      <c r="E180" s="2">
        <v>0</v>
      </c>
      <c r="F180" s="2">
        <v>0</v>
      </c>
      <c r="G180" s="2">
        <v>0</v>
      </c>
      <c r="H180" s="2">
        <v>0</v>
      </c>
      <c r="I180" s="2">
        <v>0</v>
      </c>
      <c r="J180" s="2">
        <f t="shared" si="42"/>
        <v>0</v>
      </c>
      <c r="K180" s="2">
        <f t="shared" si="47"/>
        <v>5995105.7300000004</v>
      </c>
      <c r="L180" s="170">
        <f t="shared" si="53"/>
        <v>3.5200000000000002E-2</v>
      </c>
      <c r="M180" s="1">
        <f t="shared" si="48"/>
        <v>17585.64</v>
      </c>
      <c r="N180" s="2">
        <f t="shared" si="49"/>
        <v>1371679.9199999988</v>
      </c>
      <c r="O180" s="2">
        <f t="shared" si="43"/>
        <v>4623425.8100000015</v>
      </c>
      <c r="Q180" s="2">
        <v>0</v>
      </c>
      <c r="R180" s="5">
        <v>61627.76</v>
      </c>
      <c r="S180" s="2">
        <f t="shared" si="44"/>
        <v>61627.76</v>
      </c>
      <c r="T180" s="2">
        <f t="shared" si="50"/>
        <v>18187215.880000003</v>
      </c>
      <c r="U180" s="170">
        <f t="shared" si="46"/>
        <v>3.5200000000000002E-2</v>
      </c>
      <c r="V180" s="1">
        <f t="shared" si="51"/>
        <v>53168.39</v>
      </c>
      <c r="W180" s="2">
        <f t="shared" si="52"/>
        <v>2569353.4099999992</v>
      </c>
      <c r="X180" s="2">
        <f t="shared" si="45"/>
        <v>15617862.470000003</v>
      </c>
      <c r="AA180">
        <v>61627.76</v>
      </c>
    </row>
    <row r="181" spans="1:27">
      <c r="A181" s="163"/>
      <c r="B181" s="163"/>
      <c r="C181" s="2"/>
      <c r="D181" s="2"/>
      <c r="E181" s="2"/>
      <c r="F181" s="2"/>
      <c r="G181" s="2"/>
      <c r="H181" s="2"/>
      <c r="I181" s="2"/>
      <c r="J181" s="2"/>
      <c r="K181" s="2"/>
      <c r="L181" s="170"/>
      <c r="M181" s="1"/>
      <c r="N181" s="2"/>
      <c r="Q181" s="163"/>
      <c r="R181" s="1"/>
      <c r="S181" s="1"/>
      <c r="T181" s="2"/>
      <c r="U181" s="170"/>
      <c r="V181" s="1"/>
      <c r="W181" s="2"/>
    </row>
    <row r="182" spans="1:27">
      <c r="A182" s="172" t="s">
        <v>832</v>
      </c>
      <c r="B182" s="172"/>
      <c r="C182" s="2">
        <f>SUM(C88:C180)</f>
        <v>5995105.7300000004</v>
      </c>
      <c r="D182" s="2">
        <f t="shared" ref="D182:J182" si="54">SUM(D88:D180)</f>
        <v>0</v>
      </c>
      <c r="E182" s="2">
        <f t="shared" si="54"/>
        <v>0</v>
      </c>
      <c r="F182" s="2">
        <f t="shared" si="54"/>
        <v>0</v>
      </c>
      <c r="G182" s="2">
        <f t="shared" si="54"/>
        <v>0</v>
      </c>
      <c r="H182" s="2">
        <f t="shared" si="54"/>
        <v>0</v>
      </c>
      <c r="I182" s="2">
        <f t="shared" si="54"/>
        <v>0</v>
      </c>
      <c r="J182" s="173">
        <f t="shared" si="54"/>
        <v>5995105.7300000004</v>
      </c>
      <c r="M182" s="173"/>
      <c r="N182" s="173"/>
      <c r="O182" s="173"/>
      <c r="P182" s="173"/>
      <c r="Q182" s="2">
        <f t="shared" ref="Q182:S182" si="55">SUM(Q88:Q180)</f>
        <v>3208144.19</v>
      </c>
      <c r="R182" s="2">
        <f t="shared" si="55"/>
        <v>14979071.689999999</v>
      </c>
      <c r="S182" s="173">
        <f t="shared" si="55"/>
        <v>18187215.880000003</v>
      </c>
      <c r="V182" s="173"/>
      <c r="W182" s="173"/>
      <c r="X182" s="173"/>
    </row>
    <row r="183" spans="1:27">
      <c r="J183" s="7"/>
      <c r="K183" s="7"/>
      <c r="L183" s="7"/>
      <c r="M183" s="7"/>
      <c r="N183" s="7"/>
      <c r="O183" s="7"/>
      <c r="P183" s="7"/>
      <c r="R183" s="7"/>
      <c r="S183" s="7"/>
      <c r="T183" s="7"/>
      <c r="U183" s="7"/>
      <c r="V183" s="7"/>
    </row>
    <row r="184" spans="1:27">
      <c r="A184" s="4" t="s">
        <v>833</v>
      </c>
      <c r="C184" s="2">
        <f t="shared" ref="C184:J184" si="56">C84+C182</f>
        <v>5999446.8800000008</v>
      </c>
      <c r="D184" s="2">
        <f t="shared" si="56"/>
        <v>12136663.91</v>
      </c>
      <c r="E184" s="2">
        <f t="shared" si="56"/>
        <v>7553853.1299999999</v>
      </c>
      <c r="F184" s="2">
        <f t="shared" si="56"/>
        <v>13456312.860000003</v>
      </c>
      <c r="G184" s="2">
        <f t="shared" si="56"/>
        <v>6724375.75</v>
      </c>
      <c r="H184" s="2">
        <f t="shared" si="56"/>
        <v>4671285.59</v>
      </c>
      <c r="I184" s="2">
        <f t="shared" si="56"/>
        <v>18386869.050000001</v>
      </c>
      <c r="J184" s="173">
        <f t="shared" si="56"/>
        <v>68928807.169999987</v>
      </c>
      <c r="K184" s="7"/>
      <c r="L184" s="7"/>
      <c r="M184" s="7"/>
      <c r="N184" s="176">
        <f>N180+N82</f>
        <v>7804805.1799999988</v>
      </c>
      <c r="O184" s="176">
        <f>O180+O82</f>
        <v>61124001.989999987</v>
      </c>
      <c r="P184" s="7"/>
      <c r="Q184" s="2">
        <f>Q84+Q182</f>
        <v>3208144.19</v>
      </c>
      <c r="R184" s="2">
        <f>R84+R182</f>
        <v>17902644.16</v>
      </c>
      <c r="S184" s="173">
        <f>S84+S182</f>
        <v>21110788.350000001</v>
      </c>
      <c r="T184" s="7"/>
      <c r="U184" s="7"/>
      <c r="V184" s="7"/>
      <c r="W184" s="176">
        <f>W180+W82</f>
        <v>3161091.3799999994</v>
      </c>
      <c r="X184" s="176">
        <f>X180+X82</f>
        <v>17949696.970000003</v>
      </c>
    </row>
    <row r="185" spans="1:27">
      <c r="J185" s="7"/>
      <c r="K185" s="7"/>
      <c r="L185" s="7"/>
      <c r="M185" s="7"/>
      <c r="N185" s="7"/>
      <c r="O185" s="7"/>
      <c r="P185" s="7"/>
      <c r="R185" s="7"/>
      <c r="S185" s="7"/>
      <c r="T185" s="7"/>
      <c r="U185" s="7"/>
      <c r="V185" s="7"/>
    </row>
    <row r="186" spans="1:27">
      <c r="P186" s="169"/>
      <c r="Q186" s="2"/>
      <c r="R186" s="169"/>
      <c r="S186" s="169"/>
      <c r="T186" s="7"/>
      <c r="U186" s="7"/>
      <c r="V186" s="7"/>
    </row>
    <row r="187" spans="1:27">
      <c r="P187" s="169"/>
      <c r="R187" s="169"/>
      <c r="S187" s="169"/>
      <c r="T187" s="7"/>
      <c r="U187" s="7"/>
      <c r="V187" s="7"/>
    </row>
    <row r="188" spans="1:27">
      <c r="I188" s="2"/>
      <c r="P188" s="2"/>
      <c r="R188" s="2"/>
      <c r="S188" s="2"/>
      <c r="T188" s="7"/>
      <c r="U188" s="7"/>
      <c r="V188" s="7"/>
    </row>
    <row r="189" spans="1:27">
      <c r="I189" s="2"/>
      <c r="P189" s="2"/>
      <c r="R189" s="2"/>
      <c r="S189" s="2"/>
      <c r="T189" s="7"/>
      <c r="U189" s="7"/>
      <c r="V189" s="7"/>
    </row>
    <row r="190" spans="1:27">
      <c r="P190" s="173"/>
      <c r="R190" s="173"/>
      <c r="S190" s="173"/>
      <c r="T190" s="7"/>
      <c r="U190" s="7"/>
      <c r="V190" s="7"/>
    </row>
  </sheetData>
  <mergeCells count="2">
    <mergeCell ref="C1:O1"/>
    <mergeCell ref="Q1:X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6ECAC-54A1-4C8E-9751-99C9032C9773}">
  <dimension ref="A1:W97"/>
  <sheetViews>
    <sheetView tabSelected="1" topLeftCell="A16" workbookViewId="0">
      <selection activeCell="R67" sqref="R67"/>
    </sheetView>
  </sheetViews>
  <sheetFormatPr defaultColWidth="9.140625" defaultRowHeight="12.75"/>
  <cols>
    <col min="1" max="1" width="15.42578125" style="526" customWidth="1"/>
    <col min="2" max="5" width="12" style="526" bestFit="1" customWidth="1"/>
    <col min="6" max="7" width="10.7109375" style="526" bestFit="1" customWidth="1"/>
    <col min="8" max="8" width="9.140625" style="549"/>
    <col min="9" max="10" width="7.85546875" style="525" bestFit="1" customWidth="1"/>
    <col min="11" max="16384" width="9.140625" style="526"/>
  </cols>
  <sheetData>
    <row r="1" spans="1:15">
      <c r="A1" s="539" t="s">
        <v>915</v>
      </c>
      <c r="B1" s="542" t="s">
        <v>1423</v>
      </c>
      <c r="C1" s="542" t="s">
        <v>1424</v>
      </c>
      <c r="D1" s="542" t="s">
        <v>1425</v>
      </c>
      <c r="E1" s="542" t="s">
        <v>1426</v>
      </c>
      <c r="F1" s="542" t="s">
        <v>1427</v>
      </c>
      <c r="G1" s="542" t="s">
        <v>1428</v>
      </c>
    </row>
    <row r="2" spans="1:15">
      <c r="A2" s="550">
        <v>1</v>
      </c>
      <c r="B2" s="544">
        <v>0.33329999999999999</v>
      </c>
      <c r="C2" s="544">
        <v>0.2</v>
      </c>
      <c r="D2" s="544">
        <v>0.1429</v>
      </c>
      <c r="E2" s="551">
        <v>0.1</v>
      </c>
      <c r="F2" s="544">
        <v>0.05</v>
      </c>
      <c r="G2" s="544">
        <v>3.7499999999999999E-2</v>
      </c>
    </row>
    <row r="3" spans="1:15">
      <c r="A3" s="550">
        <v>2</v>
      </c>
      <c r="B3" s="544">
        <v>0.44450000000000001</v>
      </c>
      <c r="C3" s="544">
        <v>0.32</v>
      </c>
      <c r="D3" s="544">
        <v>0.24490000000000001</v>
      </c>
      <c r="E3" s="551">
        <v>0.18</v>
      </c>
      <c r="F3" s="544">
        <v>9.5000000000000001E-2</v>
      </c>
      <c r="G3" s="544">
        <v>7.2190000000000004E-2</v>
      </c>
    </row>
    <row r="4" spans="1:15">
      <c r="A4" s="550">
        <v>3</v>
      </c>
      <c r="B4" s="544">
        <v>0.14810000000000001</v>
      </c>
      <c r="C4" s="544">
        <v>0.192</v>
      </c>
      <c r="D4" s="544">
        <v>0.1749</v>
      </c>
      <c r="E4" s="551">
        <v>0.14399999999999999</v>
      </c>
      <c r="F4" s="544">
        <v>8.5500000000000007E-2</v>
      </c>
      <c r="G4" s="544">
        <v>6.6769999999999996E-2</v>
      </c>
      <c r="O4" s="526" t="s">
        <v>1429</v>
      </c>
    </row>
    <row r="5" spans="1:15">
      <c r="A5" s="550">
        <v>4</v>
      </c>
      <c r="B5" s="544">
        <v>7.4099999999999999E-2</v>
      </c>
      <c r="C5" s="544">
        <v>0.1152</v>
      </c>
      <c r="D5" s="544">
        <v>0.1249</v>
      </c>
      <c r="E5" s="551">
        <v>0.1152</v>
      </c>
      <c r="F5" s="544">
        <v>7.6999999999999999E-2</v>
      </c>
      <c r="G5" s="544">
        <v>6.1769999999999999E-2</v>
      </c>
    </row>
    <row r="6" spans="1:15">
      <c r="A6" s="550">
        <v>5</v>
      </c>
      <c r="B6" s="544"/>
      <c r="C6" s="544">
        <v>0.1152</v>
      </c>
      <c r="D6" s="544">
        <v>8.9300000000000004E-2</v>
      </c>
      <c r="E6" s="551">
        <v>9.2200000000000004E-2</v>
      </c>
      <c r="F6" s="544">
        <v>6.93E-2</v>
      </c>
      <c r="G6" s="544">
        <v>5.713E-2</v>
      </c>
    </row>
    <row r="7" spans="1:15">
      <c r="A7" s="550">
        <v>6</v>
      </c>
      <c r="B7" s="544"/>
      <c r="C7" s="544">
        <v>5.7599999999999998E-2</v>
      </c>
      <c r="D7" s="544">
        <v>8.9200000000000002E-2</v>
      </c>
      <c r="E7" s="551">
        <v>7.3700000000000002E-2</v>
      </c>
      <c r="F7" s="544">
        <v>6.2300000000000001E-2</v>
      </c>
      <c r="G7" s="544">
        <v>5.2850000000000001E-2</v>
      </c>
    </row>
    <row r="8" spans="1:15">
      <c r="A8" s="550">
        <v>7</v>
      </c>
      <c r="B8" s="552"/>
      <c r="C8" s="552"/>
      <c r="D8" s="544">
        <v>8.9300000000000004E-2</v>
      </c>
      <c r="E8" s="551">
        <v>6.5500000000000003E-2</v>
      </c>
      <c r="F8" s="544">
        <v>5.8999999999999997E-2</v>
      </c>
      <c r="G8" s="544">
        <v>4.888E-2</v>
      </c>
    </row>
    <row r="9" spans="1:15">
      <c r="A9" s="550">
        <v>8</v>
      </c>
      <c r="B9" s="552"/>
      <c r="C9" s="552"/>
      <c r="D9" s="544">
        <v>4.4600000000000001E-2</v>
      </c>
      <c r="E9" s="551">
        <v>6.5500000000000003E-2</v>
      </c>
      <c r="F9" s="544">
        <v>5.8999999999999997E-2</v>
      </c>
      <c r="G9" s="544">
        <v>4.5220000000000003E-2</v>
      </c>
    </row>
    <row r="10" spans="1:15">
      <c r="A10" s="550">
        <v>9</v>
      </c>
      <c r="B10" s="552"/>
      <c r="C10" s="552"/>
      <c r="D10" s="552"/>
      <c r="E10" s="551">
        <v>6.5600000000000006E-2</v>
      </c>
      <c r="F10" s="544">
        <v>5.91E-2</v>
      </c>
      <c r="G10" s="544">
        <v>4.462E-2</v>
      </c>
    </row>
    <row r="11" spans="1:15">
      <c r="A11" s="550">
        <v>10</v>
      </c>
      <c r="B11" s="552"/>
      <c r="C11" s="552"/>
      <c r="D11" s="552"/>
      <c r="E11" s="551">
        <v>6.5500000000000003E-2</v>
      </c>
      <c r="F11" s="544">
        <v>5.8999999999999997E-2</v>
      </c>
      <c r="G11" s="544">
        <v>4.4609999999999997E-2</v>
      </c>
    </row>
    <row r="12" spans="1:15">
      <c r="A12" s="550">
        <v>11</v>
      </c>
      <c r="B12" s="552"/>
      <c r="C12" s="552"/>
      <c r="D12" s="552"/>
      <c r="E12" s="551">
        <v>3.2800000000000003E-2</v>
      </c>
      <c r="F12" s="544">
        <v>5.91E-2</v>
      </c>
      <c r="G12" s="544">
        <v>4.462E-2</v>
      </c>
    </row>
    <row r="13" spans="1:15">
      <c r="A13" s="550">
        <v>12</v>
      </c>
      <c r="B13" s="552"/>
      <c r="C13" s="552"/>
      <c r="D13" s="552"/>
      <c r="E13" s="552"/>
      <c r="F13" s="544">
        <v>5.8999999999999997E-2</v>
      </c>
      <c r="G13" s="544">
        <v>4.4609999999999997E-2</v>
      </c>
    </row>
    <row r="14" spans="1:15">
      <c r="A14" s="550">
        <v>13</v>
      </c>
      <c r="B14" s="552"/>
      <c r="C14" s="552"/>
      <c r="D14" s="552"/>
      <c r="E14" s="552"/>
      <c r="F14" s="544">
        <v>5.91E-2</v>
      </c>
      <c r="G14" s="544">
        <v>4.462E-2</v>
      </c>
    </row>
    <row r="15" spans="1:15">
      <c r="A15" s="550">
        <v>14</v>
      </c>
      <c r="B15" s="552"/>
      <c r="C15" s="552"/>
      <c r="D15" s="552"/>
      <c r="E15" s="552"/>
      <c r="F15" s="544">
        <v>5.8999999999999997E-2</v>
      </c>
      <c r="G15" s="544">
        <v>4.4609999999999997E-2</v>
      </c>
    </row>
    <row r="16" spans="1:15">
      <c r="A16" s="550">
        <v>15</v>
      </c>
      <c r="B16" s="552"/>
      <c r="C16" s="552"/>
      <c r="D16" s="552"/>
      <c r="E16" s="552"/>
      <c r="F16" s="544">
        <v>5.91E-2</v>
      </c>
      <c r="G16" s="544">
        <v>4.462E-2</v>
      </c>
    </row>
    <row r="17" spans="1:23">
      <c r="A17" s="550">
        <v>16</v>
      </c>
      <c r="B17" s="552"/>
      <c r="C17" s="552"/>
      <c r="D17" s="552"/>
      <c r="E17" s="552"/>
      <c r="F17" s="544">
        <v>2.9499999999999998E-2</v>
      </c>
      <c r="G17" s="544">
        <v>4.4609999999999997E-2</v>
      </c>
    </row>
    <row r="18" spans="1:23">
      <c r="A18" s="550">
        <v>17</v>
      </c>
      <c r="B18" s="552"/>
      <c r="C18" s="552"/>
      <c r="D18" s="552"/>
      <c r="E18" s="552"/>
      <c r="F18" s="552"/>
      <c r="G18" s="544">
        <v>4.462E-2</v>
      </c>
    </row>
    <row r="19" spans="1:23">
      <c r="A19" s="550">
        <v>18</v>
      </c>
      <c r="B19" s="552"/>
      <c r="C19" s="552"/>
      <c r="D19" s="552"/>
      <c r="E19" s="552"/>
      <c r="F19" s="552"/>
      <c r="G19" s="544">
        <v>4.4609999999999997E-2</v>
      </c>
    </row>
    <row r="20" spans="1:23">
      <c r="A20" s="550">
        <v>19</v>
      </c>
      <c r="B20" s="552"/>
      <c r="C20" s="552"/>
      <c r="D20" s="552"/>
      <c r="E20" s="552"/>
      <c r="F20" s="552"/>
      <c r="G20" s="544">
        <v>4.462E-2</v>
      </c>
    </row>
    <row r="21" spans="1:23">
      <c r="A21" s="550">
        <v>20</v>
      </c>
      <c r="B21" s="552"/>
      <c r="C21" s="552"/>
      <c r="D21" s="552"/>
      <c r="E21" s="552"/>
      <c r="F21" s="552"/>
      <c r="G21" s="544">
        <v>4.4609999999999997E-2</v>
      </c>
    </row>
    <row r="22" spans="1:23">
      <c r="A22" s="550">
        <v>21</v>
      </c>
      <c r="B22" s="552"/>
      <c r="C22" s="552"/>
      <c r="D22" s="552"/>
      <c r="E22" s="552"/>
      <c r="F22" s="552"/>
      <c r="G22" s="544">
        <v>2.231E-2</v>
      </c>
    </row>
    <row r="23" spans="1:23">
      <c r="A23" s="596"/>
      <c r="B23" s="597">
        <f>SUM(B2:B22)</f>
        <v>1</v>
      </c>
      <c r="C23" s="597">
        <f t="shared" ref="C23:G23" si="0">SUM(C2:C22)</f>
        <v>0.99999999999999989</v>
      </c>
      <c r="D23" s="597">
        <f t="shared" si="0"/>
        <v>1.0000000000000002</v>
      </c>
      <c r="E23" s="597">
        <f t="shared" si="0"/>
        <v>1</v>
      </c>
      <c r="F23" s="597">
        <f t="shared" si="0"/>
        <v>1.0000000000000002</v>
      </c>
      <c r="G23" s="597">
        <f t="shared" si="0"/>
        <v>1.0000000000000002</v>
      </c>
      <c r="H23" s="541"/>
    </row>
    <row r="24" spans="1:23">
      <c r="G24" s="549"/>
    </row>
    <row r="25" spans="1:23">
      <c r="A25" s="553" t="s">
        <v>1430</v>
      </c>
      <c r="B25" s="553">
        <v>1</v>
      </c>
      <c r="C25" s="553">
        <v>2</v>
      </c>
      <c r="D25" s="553">
        <v>3</v>
      </c>
      <c r="E25" s="553">
        <v>4</v>
      </c>
      <c r="F25" s="553">
        <v>5</v>
      </c>
      <c r="G25" s="553">
        <v>6</v>
      </c>
      <c r="H25" s="553">
        <v>7</v>
      </c>
      <c r="I25" s="553">
        <v>8</v>
      </c>
      <c r="J25" s="553">
        <v>9</v>
      </c>
      <c r="K25" s="553">
        <v>10</v>
      </c>
      <c r="L25" s="553">
        <v>11</v>
      </c>
      <c r="M25" s="553">
        <v>12</v>
      </c>
      <c r="N25" s="553">
        <v>13</v>
      </c>
      <c r="O25" s="553">
        <v>14</v>
      </c>
      <c r="P25" s="553">
        <v>15</v>
      </c>
      <c r="Q25" s="553">
        <v>16</v>
      </c>
      <c r="R25" s="553">
        <v>17</v>
      </c>
      <c r="S25" s="553">
        <v>18</v>
      </c>
      <c r="T25" s="553">
        <v>19</v>
      </c>
      <c r="U25" s="553">
        <v>20</v>
      </c>
      <c r="V25" s="553">
        <v>21</v>
      </c>
      <c r="W25" s="553"/>
    </row>
    <row r="26" spans="1:23">
      <c r="A26" s="542" t="s">
        <v>1424</v>
      </c>
      <c r="B26" s="544">
        <v>0.2</v>
      </c>
      <c r="C26" s="544">
        <v>0.32</v>
      </c>
      <c r="D26" s="544">
        <v>0.192</v>
      </c>
      <c r="E26" s="544">
        <v>0.1152</v>
      </c>
      <c r="F26" s="544">
        <v>0.1152</v>
      </c>
      <c r="G26" s="544">
        <v>5.7599999999999998E-2</v>
      </c>
      <c r="W26" s="541">
        <f>SUM(B26:V26)</f>
        <v>0.99999999999999989</v>
      </c>
    </row>
    <row r="27" spans="1:23">
      <c r="A27" s="542" t="s">
        <v>1425</v>
      </c>
      <c r="B27" s="551">
        <v>0.1429</v>
      </c>
      <c r="C27" s="551">
        <v>0.24490000000000001</v>
      </c>
      <c r="D27" s="551">
        <v>0.1749</v>
      </c>
      <c r="E27" s="551">
        <v>0.1249</v>
      </c>
      <c r="F27" s="551">
        <v>8.9300000000000004E-2</v>
      </c>
      <c r="G27" s="551">
        <v>8.9200000000000002E-2</v>
      </c>
      <c r="H27" s="551">
        <v>8.9300000000000004E-2</v>
      </c>
      <c r="I27" s="551">
        <v>4.4600000000000001E-2</v>
      </c>
      <c r="W27" s="541">
        <f t="shared" ref="W27:W31" si="1">SUM(B27:V27)</f>
        <v>1.0000000000000002</v>
      </c>
    </row>
    <row r="28" spans="1:23">
      <c r="A28" s="542" t="s">
        <v>1426</v>
      </c>
      <c r="B28" s="544">
        <v>0.1</v>
      </c>
      <c r="C28" s="544">
        <v>0.18</v>
      </c>
      <c r="D28" s="544">
        <v>0.14399999999999999</v>
      </c>
      <c r="E28" s="544">
        <v>0.1152</v>
      </c>
      <c r="F28" s="544">
        <v>9.2200000000000004E-2</v>
      </c>
      <c r="G28" s="544">
        <v>7.3700000000000002E-2</v>
      </c>
      <c r="H28" s="544">
        <v>6.5500000000000003E-2</v>
      </c>
      <c r="I28" s="544">
        <v>6.5500000000000003E-2</v>
      </c>
      <c r="J28" s="544">
        <v>6.5600000000000006E-2</v>
      </c>
      <c r="K28" s="544">
        <v>6.5500000000000003E-2</v>
      </c>
      <c r="L28" s="544">
        <v>3.2800000000000003E-2</v>
      </c>
      <c r="W28" s="541">
        <f t="shared" si="1"/>
        <v>1</v>
      </c>
    </row>
    <row r="29" spans="1:23">
      <c r="A29" s="539" t="s">
        <v>1427</v>
      </c>
      <c r="B29" s="540">
        <v>0.05</v>
      </c>
      <c r="C29" s="540">
        <v>9.5000000000000001E-2</v>
      </c>
      <c r="D29" s="540">
        <v>8.5500000000000007E-2</v>
      </c>
      <c r="E29" s="540">
        <v>7.6999999999999999E-2</v>
      </c>
      <c r="F29" s="540">
        <v>6.93E-2</v>
      </c>
      <c r="G29" s="540">
        <v>6.2300000000000001E-2</v>
      </c>
      <c r="H29" s="540">
        <v>5.8999999999999997E-2</v>
      </c>
      <c r="I29" s="540">
        <v>5.8999999999999997E-2</v>
      </c>
      <c r="J29" s="540">
        <v>5.91E-2</v>
      </c>
      <c r="K29" s="540">
        <v>5.8999999999999997E-2</v>
      </c>
      <c r="L29" s="540">
        <v>5.91E-2</v>
      </c>
      <c r="M29" s="540">
        <v>5.8999999999999997E-2</v>
      </c>
      <c r="N29" s="540">
        <v>5.91E-2</v>
      </c>
      <c r="O29" s="540">
        <v>5.8999999999999997E-2</v>
      </c>
      <c r="P29" s="540">
        <v>5.91E-2</v>
      </c>
      <c r="Q29" s="540">
        <v>2.9499999999999998E-2</v>
      </c>
      <c r="R29" s="554"/>
      <c r="S29" s="554"/>
      <c r="T29" s="554"/>
      <c r="U29" s="554"/>
      <c r="V29" s="554"/>
      <c r="W29" s="541">
        <f t="shared" si="1"/>
        <v>1.0000000000000002</v>
      </c>
    </row>
    <row r="30" spans="1:23">
      <c r="A30" s="539" t="s">
        <v>1428</v>
      </c>
      <c r="B30" s="540">
        <v>3.7499999999999999E-2</v>
      </c>
      <c r="C30" s="540">
        <v>7.2190000000000004E-2</v>
      </c>
      <c r="D30" s="540">
        <v>6.6769999999999996E-2</v>
      </c>
      <c r="E30" s="540">
        <v>6.1769999999999999E-2</v>
      </c>
      <c r="F30" s="540">
        <v>5.713E-2</v>
      </c>
      <c r="G30" s="540">
        <v>5.2850000000000001E-2</v>
      </c>
      <c r="H30" s="540">
        <v>4.888E-2</v>
      </c>
      <c r="I30" s="540">
        <v>4.5220000000000003E-2</v>
      </c>
      <c r="J30" s="540">
        <v>4.462E-2</v>
      </c>
      <c r="K30" s="540">
        <v>4.4609999999999997E-2</v>
      </c>
      <c r="L30" s="540">
        <v>4.462E-2</v>
      </c>
      <c r="M30" s="540">
        <v>4.4609999999999997E-2</v>
      </c>
      <c r="N30" s="540">
        <v>4.462E-2</v>
      </c>
      <c r="O30" s="540">
        <v>4.4609999999999997E-2</v>
      </c>
      <c r="P30" s="540">
        <v>4.462E-2</v>
      </c>
      <c r="Q30" s="540">
        <v>4.4609999999999997E-2</v>
      </c>
      <c r="R30" s="540">
        <v>4.462E-2</v>
      </c>
      <c r="S30" s="540">
        <v>4.4609999999999997E-2</v>
      </c>
      <c r="T30" s="540">
        <v>4.462E-2</v>
      </c>
      <c r="U30" s="540">
        <v>4.4609999999999997E-2</v>
      </c>
      <c r="V30" s="540">
        <v>2.231E-2</v>
      </c>
      <c r="W30" s="541">
        <f t="shared" si="1"/>
        <v>1.0000000000000002</v>
      </c>
    </row>
    <row r="31" spans="1:23">
      <c r="A31" s="526" t="s">
        <v>1413</v>
      </c>
      <c r="B31" s="555">
        <v>0.1</v>
      </c>
      <c r="C31" s="555">
        <v>0.2</v>
      </c>
      <c r="D31" s="555">
        <v>0.2</v>
      </c>
      <c r="E31" s="555">
        <v>0.2</v>
      </c>
      <c r="F31" s="555">
        <v>0.2</v>
      </c>
      <c r="G31" s="555">
        <v>0.1</v>
      </c>
      <c r="H31" s="556">
        <v>0</v>
      </c>
      <c r="I31" s="555"/>
      <c r="W31" s="541">
        <f t="shared" si="1"/>
        <v>0.99999999999999989</v>
      </c>
    </row>
    <row r="69" spans="1:23">
      <c r="A69" s="598" t="s">
        <v>1431</v>
      </c>
      <c r="B69" s="598"/>
      <c r="C69" s="598"/>
      <c r="D69" s="598"/>
      <c r="E69" s="598"/>
      <c r="F69" s="598"/>
      <c r="G69" s="598"/>
      <c r="H69" s="599"/>
      <c r="I69" s="600"/>
      <c r="J69" s="600"/>
      <c r="K69" s="598"/>
      <c r="L69" s="598"/>
      <c r="M69" s="598"/>
      <c r="N69" s="598"/>
      <c r="O69" s="598"/>
      <c r="P69" s="598"/>
      <c r="Q69" s="598"/>
    </row>
    <row r="71" spans="1:23">
      <c r="A71" s="542" t="s">
        <v>1419</v>
      </c>
      <c r="B71" s="544">
        <v>0.35</v>
      </c>
      <c r="C71" s="544">
        <v>0.26</v>
      </c>
      <c r="D71" s="544">
        <v>0.156</v>
      </c>
      <c r="E71" s="544">
        <v>0.1101</v>
      </c>
      <c r="F71" s="544">
        <v>0.1101</v>
      </c>
      <c r="G71" s="544">
        <v>1.38E-2</v>
      </c>
      <c r="W71" s="541">
        <f t="shared" ref="W71:W84" si="2">SUM(B71:N71)</f>
        <v>1</v>
      </c>
    </row>
    <row r="72" spans="1:23">
      <c r="A72" s="542" t="s">
        <v>1420</v>
      </c>
      <c r="B72" s="544">
        <v>0.25</v>
      </c>
      <c r="C72" s="544">
        <v>0.3</v>
      </c>
      <c r="D72" s="544">
        <v>0.18</v>
      </c>
      <c r="E72" s="544">
        <v>0.1137</v>
      </c>
      <c r="F72" s="544">
        <v>0.1137</v>
      </c>
      <c r="G72" s="544">
        <v>4.2599999999999999E-2</v>
      </c>
      <c r="W72" s="541">
        <f t="shared" si="2"/>
        <v>1</v>
      </c>
    </row>
    <row r="73" spans="1:23">
      <c r="A73" s="542" t="s">
        <v>1421</v>
      </c>
      <c r="B73" s="544">
        <v>0.15</v>
      </c>
      <c r="C73" s="544">
        <v>0.34</v>
      </c>
      <c r="D73" s="544">
        <v>0.20399999999999999</v>
      </c>
      <c r="E73" s="544">
        <v>0.12239999999999999</v>
      </c>
      <c r="F73" s="544">
        <v>0.113</v>
      </c>
      <c r="G73" s="544">
        <v>7.0599999999999996E-2</v>
      </c>
      <c r="W73" s="541">
        <f t="shared" si="2"/>
        <v>0.99999999999999989</v>
      </c>
    </row>
    <row r="74" spans="1:23">
      <c r="A74" s="542" t="s">
        <v>1422</v>
      </c>
      <c r="B74" s="544">
        <v>0.05</v>
      </c>
      <c r="C74" s="544">
        <v>0.38</v>
      </c>
      <c r="D74" s="544">
        <v>0.22800000000000001</v>
      </c>
      <c r="E74" s="544">
        <v>0.1368</v>
      </c>
      <c r="F74" s="544">
        <v>0.1094</v>
      </c>
      <c r="G74" s="544">
        <v>9.5799999999999996E-2</v>
      </c>
      <c r="W74" s="541">
        <f t="shared" si="2"/>
        <v>1</v>
      </c>
    </row>
    <row r="75" spans="1:23">
      <c r="W75" s="541">
        <f t="shared" si="2"/>
        <v>0</v>
      </c>
    </row>
    <row r="76" spans="1:23">
      <c r="A76" s="542" t="s">
        <v>1432</v>
      </c>
      <c r="B76" s="551">
        <v>0.25</v>
      </c>
      <c r="C76" s="551">
        <v>0.21429999999999999</v>
      </c>
      <c r="D76" s="551">
        <v>0.15310000000000001</v>
      </c>
      <c r="E76" s="551">
        <v>0.10929999999999999</v>
      </c>
      <c r="F76" s="551">
        <v>8.7499999999999994E-2</v>
      </c>
      <c r="G76" s="551">
        <v>8.7400000000000005E-2</v>
      </c>
      <c r="H76" s="551">
        <v>8.7499999999999994E-2</v>
      </c>
      <c r="I76" s="551">
        <v>1.09E-2</v>
      </c>
      <c r="W76" s="541">
        <f t="shared" si="2"/>
        <v>1</v>
      </c>
    </row>
    <row r="77" spans="1:23">
      <c r="A77" s="542" t="s">
        <v>1433</v>
      </c>
      <c r="B77" s="551">
        <v>0.17849999999999999</v>
      </c>
      <c r="C77" s="551">
        <v>0.23469999999999999</v>
      </c>
      <c r="D77" s="551">
        <v>0.1676</v>
      </c>
      <c r="E77" s="551">
        <v>0.1197</v>
      </c>
      <c r="F77" s="551">
        <v>8.8700000000000001E-2</v>
      </c>
      <c r="G77" s="551">
        <v>8.8700000000000001E-2</v>
      </c>
      <c r="H77" s="551">
        <v>8.8700000000000001E-2</v>
      </c>
      <c r="I77" s="551">
        <v>3.3399999999999999E-2</v>
      </c>
      <c r="W77" s="541">
        <f t="shared" si="2"/>
        <v>1</v>
      </c>
    </row>
    <row r="78" spans="1:23">
      <c r="A78" s="542" t="s">
        <v>1434</v>
      </c>
      <c r="B78" s="551">
        <v>0.1071</v>
      </c>
      <c r="C78" s="551">
        <v>0.25509999999999999</v>
      </c>
      <c r="D78" s="551">
        <v>0.1822</v>
      </c>
      <c r="E78" s="551">
        <v>0.13020000000000001</v>
      </c>
      <c r="F78" s="551">
        <v>9.2999999999999999E-2</v>
      </c>
      <c r="G78" s="551">
        <v>8.8499999999999995E-2</v>
      </c>
      <c r="H78" s="551">
        <v>8.8599999999999998E-2</v>
      </c>
      <c r="I78" s="551">
        <v>5.5300000000000002E-2</v>
      </c>
      <c r="W78" s="541">
        <f t="shared" si="2"/>
        <v>1</v>
      </c>
    </row>
    <row r="79" spans="1:23">
      <c r="A79" s="542" t="s">
        <v>1435</v>
      </c>
      <c r="B79" s="551">
        <v>3.5700000000000003E-2</v>
      </c>
      <c r="C79" s="551">
        <v>0.27550000000000002</v>
      </c>
      <c r="D79" s="551">
        <v>0.1968</v>
      </c>
      <c r="E79" s="551">
        <v>0.1406</v>
      </c>
      <c r="F79" s="551">
        <v>0.1004</v>
      </c>
      <c r="G79" s="551">
        <v>8.7300000000000003E-2</v>
      </c>
      <c r="H79" s="551">
        <v>8.7300000000000003E-2</v>
      </c>
      <c r="I79" s="551">
        <v>7.6399999999999996E-2</v>
      </c>
      <c r="W79" s="541">
        <f t="shared" si="2"/>
        <v>1.0000000000000002</v>
      </c>
    </row>
    <row r="80" spans="1:23">
      <c r="W80" s="541">
        <f t="shared" si="2"/>
        <v>0</v>
      </c>
    </row>
    <row r="81" spans="1:23">
      <c r="A81" s="542" t="s">
        <v>1436</v>
      </c>
      <c r="B81" s="544">
        <v>0.17499999999999999</v>
      </c>
      <c r="C81" s="544">
        <v>0.16500000000000001</v>
      </c>
      <c r="D81" s="544">
        <v>0.13200000000000001</v>
      </c>
      <c r="E81" s="544">
        <v>0.1056</v>
      </c>
      <c r="F81" s="544">
        <v>8.4500000000000006E-2</v>
      </c>
      <c r="G81" s="544">
        <v>6.7599999999999993E-2</v>
      </c>
      <c r="H81" s="544">
        <v>6.5500000000000003E-2</v>
      </c>
      <c r="I81" s="544">
        <v>6.5500000000000003E-2</v>
      </c>
      <c r="J81" s="544">
        <v>6.5600000000000006E-2</v>
      </c>
      <c r="K81" s="544">
        <v>6.5500000000000003E-2</v>
      </c>
      <c r="L81" s="544">
        <v>8.2000000000000007E-3</v>
      </c>
      <c r="W81" s="541">
        <f t="shared" si="2"/>
        <v>1</v>
      </c>
    </row>
    <row r="82" spans="1:23">
      <c r="A82" s="542" t="s">
        <v>1437</v>
      </c>
      <c r="B82" s="544">
        <v>0.125</v>
      </c>
      <c r="C82" s="544">
        <v>0.17499999999999999</v>
      </c>
      <c r="D82" s="544">
        <v>0.14000000000000001</v>
      </c>
      <c r="E82" s="544">
        <v>0.112</v>
      </c>
      <c r="F82" s="544">
        <v>8.9599999999999999E-2</v>
      </c>
      <c r="G82" s="544">
        <v>7.17E-2</v>
      </c>
      <c r="H82" s="544">
        <v>6.5500000000000003E-2</v>
      </c>
      <c r="I82" s="544">
        <v>6.5500000000000003E-2</v>
      </c>
      <c r="J82" s="544">
        <v>6.5600000000000006E-2</v>
      </c>
      <c r="K82" s="544">
        <v>6.5500000000000003E-2</v>
      </c>
      <c r="L82" s="544">
        <v>2.46E-2</v>
      </c>
      <c r="W82" s="541">
        <f t="shared" si="2"/>
        <v>1</v>
      </c>
    </row>
    <row r="83" spans="1:23">
      <c r="A83" s="542" t="s">
        <v>1438</v>
      </c>
      <c r="B83" s="544">
        <v>7.4999999999999997E-2</v>
      </c>
      <c r="C83" s="544">
        <v>0.185</v>
      </c>
      <c r="D83" s="544">
        <v>0.14799999999999999</v>
      </c>
      <c r="E83" s="544">
        <v>0.11840000000000001</v>
      </c>
      <c r="F83" s="544">
        <v>9.4700000000000006E-2</v>
      </c>
      <c r="G83" s="544">
        <v>7.5800000000000006E-2</v>
      </c>
      <c r="H83" s="544">
        <v>6.5500000000000003E-2</v>
      </c>
      <c r="I83" s="544">
        <v>6.5500000000000003E-2</v>
      </c>
      <c r="J83" s="544">
        <v>6.5600000000000006E-2</v>
      </c>
      <c r="K83" s="544">
        <v>6.5500000000000003E-2</v>
      </c>
      <c r="L83" s="544">
        <v>4.1000000000000002E-2</v>
      </c>
      <c r="W83" s="541">
        <f t="shared" si="2"/>
        <v>1</v>
      </c>
    </row>
    <row r="84" spans="1:23">
      <c r="A84" s="557" t="s">
        <v>1439</v>
      </c>
      <c r="B84" s="558">
        <v>2.5000000000000001E-2</v>
      </c>
      <c r="C84" s="558">
        <v>0.19500000000000001</v>
      </c>
      <c r="D84" s="558">
        <v>0.156</v>
      </c>
      <c r="E84" s="558">
        <v>0.12479999999999999</v>
      </c>
      <c r="F84" s="558">
        <v>9.98E-2</v>
      </c>
      <c r="G84" s="558">
        <v>7.9899999999999999E-2</v>
      </c>
      <c r="H84" s="558">
        <v>6.5500000000000003E-2</v>
      </c>
      <c r="I84" s="558">
        <v>6.5500000000000003E-2</v>
      </c>
      <c r="J84" s="558">
        <v>6.5500000000000003E-2</v>
      </c>
      <c r="K84" s="558">
        <v>6.5600000000000006E-2</v>
      </c>
      <c r="L84" s="558">
        <v>5.74E-2</v>
      </c>
      <c r="W84" s="541">
        <f t="shared" si="2"/>
        <v>1</v>
      </c>
    </row>
    <row r="85" spans="1:23">
      <c r="A85" s="559"/>
      <c r="B85" s="524"/>
      <c r="C85" s="524"/>
      <c r="D85" s="524"/>
      <c r="E85" s="524"/>
      <c r="F85" s="524"/>
      <c r="G85" s="524"/>
      <c r="H85" s="524"/>
      <c r="I85" s="524"/>
    </row>
    <row r="86" spans="1:23">
      <c r="A86" s="560" t="s">
        <v>1440</v>
      </c>
      <c r="B86" s="561">
        <v>8.7499999999999994E-2</v>
      </c>
      <c r="C86" s="561">
        <v>9.1300000000000006E-2</v>
      </c>
      <c r="D86" s="561">
        <v>8.2100000000000006E-2</v>
      </c>
      <c r="E86" s="561">
        <v>7.3899999999999993E-2</v>
      </c>
      <c r="F86" s="561">
        <v>6.6500000000000004E-2</v>
      </c>
      <c r="G86" s="561">
        <v>5.9900000000000002E-2</v>
      </c>
      <c r="H86" s="561">
        <v>5.8999999999999997E-2</v>
      </c>
      <c r="I86" s="561">
        <v>5.91E-2</v>
      </c>
      <c r="J86" s="561">
        <v>5.8999999999999997E-2</v>
      </c>
      <c r="K86" s="561">
        <v>5.91E-2</v>
      </c>
      <c r="L86" s="561">
        <v>5.8999999999999997E-2</v>
      </c>
      <c r="M86" s="561">
        <v>5.91E-2</v>
      </c>
      <c r="N86" s="561">
        <v>5.8999999999999997E-2</v>
      </c>
      <c r="O86" s="561">
        <v>5.91E-2</v>
      </c>
      <c r="P86" s="561">
        <v>5.8999999999999997E-2</v>
      </c>
      <c r="Q86" s="562">
        <v>7.4000000000000003E-3</v>
      </c>
      <c r="R86" s="529"/>
      <c r="S86" s="529"/>
      <c r="T86" s="529"/>
      <c r="U86" s="529"/>
      <c r="V86" s="529"/>
      <c r="W86" s="541">
        <f>SUM(B86:U86)</f>
        <v>1.0000000000000004</v>
      </c>
    </row>
    <row r="87" spans="1:23">
      <c r="A87" s="560" t="s">
        <v>1441</v>
      </c>
      <c r="B87" s="561">
        <v>6.25E-2</v>
      </c>
      <c r="C87" s="561">
        <v>9.3799999999999994E-2</v>
      </c>
      <c r="D87" s="561">
        <v>8.4400000000000003E-2</v>
      </c>
      <c r="E87" s="561">
        <v>7.5899999999999995E-2</v>
      </c>
      <c r="F87" s="561">
        <v>6.83E-2</v>
      </c>
      <c r="G87" s="561">
        <v>6.1499999999999999E-2</v>
      </c>
      <c r="H87" s="561">
        <v>5.91E-2</v>
      </c>
      <c r="I87" s="561">
        <v>5.8999999999999997E-2</v>
      </c>
      <c r="J87" s="561">
        <v>5.91E-2</v>
      </c>
      <c r="K87" s="561">
        <v>5.8999999999999997E-2</v>
      </c>
      <c r="L87" s="561">
        <v>5.91E-2</v>
      </c>
      <c r="M87" s="561">
        <v>5.8999999999999997E-2</v>
      </c>
      <c r="N87" s="561">
        <v>5.91E-2</v>
      </c>
      <c r="O87" s="561">
        <v>5.8999999999999997E-2</v>
      </c>
      <c r="P87" s="561">
        <v>5.91E-2</v>
      </c>
      <c r="Q87" s="562">
        <v>2.2100000000000002E-2</v>
      </c>
      <c r="R87" s="529"/>
      <c r="S87" s="529"/>
      <c r="T87" s="529"/>
      <c r="U87" s="529"/>
      <c r="V87" s="529"/>
      <c r="W87" s="541">
        <f t="shared" ref="W87:W90" si="3">SUM(B87:U87)</f>
        <v>1.0000000000000002</v>
      </c>
    </row>
    <row r="88" spans="1:23">
      <c r="A88" s="560" t="s">
        <v>1442</v>
      </c>
      <c r="B88" s="561">
        <v>3.7499999999999999E-2</v>
      </c>
      <c r="C88" s="561">
        <v>9.6299999999999997E-2</v>
      </c>
      <c r="D88" s="561">
        <v>8.6599999999999996E-2</v>
      </c>
      <c r="E88" s="561">
        <v>7.8E-2</v>
      </c>
      <c r="F88" s="561">
        <v>7.0199999999999999E-2</v>
      </c>
      <c r="G88" s="561">
        <v>6.3100000000000003E-2</v>
      </c>
      <c r="H88" s="561">
        <v>5.8999999999999997E-2</v>
      </c>
      <c r="I88" s="561">
        <v>5.8999999999999997E-2</v>
      </c>
      <c r="J88" s="561">
        <v>5.91E-2</v>
      </c>
      <c r="K88" s="561">
        <v>5.8999999999999997E-2</v>
      </c>
      <c r="L88" s="561">
        <v>5.91E-2</v>
      </c>
      <c r="M88" s="561">
        <v>5.8999999999999997E-2</v>
      </c>
      <c r="N88" s="561">
        <v>5.91E-2</v>
      </c>
      <c r="O88" s="561">
        <v>5.8999999999999997E-2</v>
      </c>
      <c r="P88" s="561">
        <v>5.91E-2</v>
      </c>
      <c r="Q88" s="562">
        <v>3.6900000000000002E-2</v>
      </c>
      <c r="R88" s="529"/>
      <c r="S88" s="529"/>
      <c r="T88" s="529"/>
      <c r="U88" s="529"/>
      <c r="V88" s="529"/>
      <c r="W88" s="541">
        <f t="shared" si="3"/>
        <v>1.0000000000000002</v>
      </c>
    </row>
    <row r="89" spans="1:23">
      <c r="A89" s="560" t="s">
        <v>1443</v>
      </c>
      <c r="B89" s="561">
        <v>1.2500000000000001E-2</v>
      </c>
      <c r="C89" s="561">
        <v>9.8799999999999999E-2</v>
      </c>
      <c r="D89" s="561">
        <v>8.8900000000000007E-2</v>
      </c>
      <c r="E89" s="561">
        <v>0.08</v>
      </c>
      <c r="F89" s="561">
        <v>7.1999999999999995E-2</v>
      </c>
      <c r="G89" s="561">
        <v>6.4799999999999996E-2</v>
      </c>
      <c r="H89" s="561">
        <v>5.8999999999999997E-2</v>
      </c>
      <c r="I89" s="561">
        <v>5.8999999999999997E-2</v>
      </c>
      <c r="J89" s="561">
        <v>5.8999999999999997E-2</v>
      </c>
      <c r="K89" s="561">
        <v>5.91E-2</v>
      </c>
      <c r="L89" s="561">
        <v>5.8999999999999997E-2</v>
      </c>
      <c r="M89" s="561">
        <v>5.91E-2</v>
      </c>
      <c r="N89" s="561">
        <v>5.8999999999999997E-2</v>
      </c>
      <c r="O89" s="561">
        <v>5.91E-2</v>
      </c>
      <c r="P89" s="561">
        <v>5.8999999999999997E-2</v>
      </c>
      <c r="Q89" s="562">
        <v>5.1700000000000003E-2</v>
      </c>
      <c r="R89" s="529"/>
      <c r="S89" s="529"/>
      <c r="T89" s="529"/>
      <c r="U89" s="529"/>
      <c r="V89" s="529"/>
      <c r="W89" s="541">
        <f t="shared" si="3"/>
        <v>1.0000000000000004</v>
      </c>
    </row>
    <row r="90" spans="1:23">
      <c r="W90" s="541">
        <f t="shared" si="3"/>
        <v>0</v>
      </c>
    </row>
    <row r="91" spans="1:23">
      <c r="A91" s="539" t="s">
        <v>1415</v>
      </c>
      <c r="B91" s="540">
        <v>6.5629999999999994E-2</v>
      </c>
      <c r="C91" s="540">
        <v>7.0000000000000007E-2</v>
      </c>
      <c r="D91" s="540">
        <v>6.4820000000000003E-2</v>
      </c>
      <c r="E91" s="540">
        <v>5.9959999999999999E-2</v>
      </c>
      <c r="F91" s="540">
        <v>5.5460000000000002E-2</v>
      </c>
      <c r="G91" s="540">
        <v>5.1299999999999998E-2</v>
      </c>
      <c r="H91" s="540">
        <v>4.7460000000000002E-2</v>
      </c>
      <c r="I91" s="540">
        <v>4.4589999999999998E-2</v>
      </c>
      <c r="J91" s="540">
        <v>4.4589999999999998E-2</v>
      </c>
      <c r="K91" s="540">
        <v>4.4589999999999998E-2</v>
      </c>
      <c r="L91" s="540">
        <v>4.4589999999999998E-2</v>
      </c>
      <c r="M91" s="540">
        <v>4.4600000000000001E-2</v>
      </c>
      <c r="N91" s="540">
        <v>4.4589999999999998E-2</v>
      </c>
      <c r="O91" s="540">
        <v>4.4600000000000001E-2</v>
      </c>
      <c r="P91" s="540">
        <v>4.4589999999999998E-2</v>
      </c>
      <c r="Q91" s="540">
        <v>4.4600000000000001E-2</v>
      </c>
      <c r="R91" s="540">
        <v>4.4589999999999998E-2</v>
      </c>
      <c r="S91" s="540">
        <v>4.4600000000000001E-2</v>
      </c>
      <c r="T91" s="540">
        <v>4.4589999999999998E-2</v>
      </c>
      <c r="U91" s="540">
        <v>4.4600000000000001E-2</v>
      </c>
      <c r="V91" s="540">
        <v>5.6499999999999996E-3</v>
      </c>
      <c r="W91" s="541">
        <f t="shared" ref="W91:W93" si="4">SUM(B91:V91)</f>
        <v>1</v>
      </c>
    </row>
    <row r="92" spans="1:23">
      <c r="A92" s="539" t="s">
        <v>1416</v>
      </c>
      <c r="B92" s="540">
        <v>4.6879999999999998E-2</v>
      </c>
      <c r="C92" s="540">
        <v>7.1480000000000002E-2</v>
      </c>
      <c r="D92" s="540">
        <v>6.6119999999999998E-2</v>
      </c>
      <c r="E92" s="540">
        <v>6.1159999999999999E-2</v>
      </c>
      <c r="F92" s="540">
        <v>5.6579999999999998E-2</v>
      </c>
      <c r="G92" s="540">
        <v>5.2330000000000002E-2</v>
      </c>
      <c r="H92" s="540">
        <v>4.8410000000000002E-2</v>
      </c>
      <c r="I92" s="540">
        <v>4.478E-2</v>
      </c>
      <c r="J92" s="540">
        <v>4.4630000000000003E-2</v>
      </c>
      <c r="K92" s="540">
        <v>4.4630000000000003E-2</v>
      </c>
      <c r="L92" s="540">
        <v>4.4630000000000003E-2</v>
      </c>
      <c r="M92" s="540">
        <v>4.4630000000000003E-2</v>
      </c>
      <c r="N92" s="540">
        <v>4.4630000000000003E-2</v>
      </c>
      <c r="O92" s="540">
        <v>4.4630000000000003E-2</v>
      </c>
      <c r="P92" s="540">
        <v>4.462E-2</v>
      </c>
      <c r="Q92" s="540">
        <v>4.4630000000000003E-2</v>
      </c>
      <c r="R92" s="540">
        <v>4.462E-2</v>
      </c>
      <c r="S92" s="540">
        <v>4.4630000000000003E-2</v>
      </c>
      <c r="T92" s="540">
        <v>4.462E-2</v>
      </c>
      <c r="U92" s="540">
        <v>4.4630000000000003E-2</v>
      </c>
      <c r="V92" s="540">
        <v>1.6729999999999998E-2</v>
      </c>
      <c r="W92" s="541">
        <f t="shared" si="4"/>
        <v>0.99999999999999989</v>
      </c>
    </row>
    <row r="93" spans="1:23">
      <c r="A93" s="539" t="s">
        <v>1417</v>
      </c>
      <c r="B93" s="540">
        <v>2.8129999999999999E-2</v>
      </c>
      <c r="C93" s="540">
        <v>7.2889999999999996E-2</v>
      </c>
      <c r="D93" s="540">
        <v>6.7419999999999994E-2</v>
      </c>
      <c r="E93" s="540">
        <v>6.2370000000000002E-2</v>
      </c>
      <c r="F93" s="540">
        <v>5.7689999999999998E-2</v>
      </c>
      <c r="G93" s="540">
        <v>5.3359999999999998E-2</v>
      </c>
      <c r="H93" s="540">
        <v>4.9360000000000001E-2</v>
      </c>
      <c r="I93" s="540">
        <v>4.5659999999999999E-2</v>
      </c>
      <c r="J93" s="540">
        <v>4.4600000000000001E-2</v>
      </c>
      <c r="K93" s="540">
        <v>4.4600000000000001E-2</v>
      </c>
      <c r="L93" s="540">
        <v>4.4600000000000001E-2</v>
      </c>
      <c r="M93" s="540">
        <v>4.4600000000000001E-2</v>
      </c>
      <c r="N93" s="540">
        <v>4.4609999999999997E-2</v>
      </c>
      <c r="O93" s="540">
        <v>4.4600000000000001E-2</v>
      </c>
      <c r="P93" s="540">
        <v>4.4609999999999997E-2</v>
      </c>
      <c r="Q93" s="540">
        <v>4.4600000000000001E-2</v>
      </c>
      <c r="R93" s="540">
        <v>4.4609999999999997E-2</v>
      </c>
      <c r="S93" s="540">
        <v>4.4600000000000001E-2</v>
      </c>
      <c r="T93" s="540">
        <v>4.4609999999999997E-2</v>
      </c>
      <c r="U93" s="540">
        <v>4.4600000000000001E-2</v>
      </c>
      <c r="V93" s="540">
        <v>2.7879999999999999E-2</v>
      </c>
      <c r="W93" s="541">
        <f t="shared" si="4"/>
        <v>1</v>
      </c>
    </row>
    <row r="94" spans="1:23">
      <c r="A94" s="539" t="s">
        <v>1418</v>
      </c>
      <c r="B94" s="540">
        <v>9.3799999999999994E-3</v>
      </c>
      <c r="C94" s="540">
        <v>7.4300000000000005E-2</v>
      </c>
      <c r="D94" s="540">
        <v>6.8720000000000003E-2</v>
      </c>
      <c r="E94" s="540">
        <v>6.3570000000000002E-2</v>
      </c>
      <c r="F94" s="540">
        <v>5.8799999999999998E-2</v>
      </c>
      <c r="G94" s="540">
        <v>5.4390000000000001E-2</v>
      </c>
      <c r="H94" s="540">
        <v>5.0310000000000001E-2</v>
      </c>
      <c r="I94" s="540">
        <v>4.6539999999999998E-2</v>
      </c>
      <c r="J94" s="540">
        <v>4.4580000000000002E-2</v>
      </c>
      <c r="K94" s="540">
        <v>4.4580000000000002E-2</v>
      </c>
      <c r="L94" s="540">
        <v>4.4580000000000002E-2</v>
      </c>
      <c r="M94" s="540">
        <v>4.4580000000000002E-2</v>
      </c>
      <c r="N94" s="540">
        <v>4.4580000000000002E-2</v>
      </c>
      <c r="O94" s="540">
        <v>4.4580000000000002E-2</v>
      </c>
      <c r="P94" s="540">
        <v>4.4580000000000002E-2</v>
      </c>
      <c r="Q94" s="540">
        <v>4.4580000000000002E-2</v>
      </c>
      <c r="R94" s="540">
        <v>4.4580000000000002E-2</v>
      </c>
      <c r="S94" s="540">
        <v>4.4589999999999998E-2</v>
      </c>
      <c r="T94" s="540">
        <v>4.4580000000000002E-2</v>
      </c>
      <c r="U94" s="540">
        <v>4.4589999999999998E-2</v>
      </c>
      <c r="V94" s="540">
        <v>3.9010000000000003E-2</v>
      </c>
      <c r="W94" s="541">
        <f>SUM(B94:V94)</f>
        <v>0.99999999999999967</v>
      </c>
    </row>
    <row r="97" spans="1:22">
      <c r="A97" s="559"/>
      <c r="B97" s="528"/>
      <c r="C97" s="528"/>
      <c r="D97" s="528"/>
      <c r="E97" s="528"/>
      <c r="F97" s="528"/>
      <c r="G97" s="528"/>
      <c r="H97" s="528"/>
      <c r="I97" s="528"/>
      <c r="J97" s="528"/>
      <c r="K97" s="528"/>
      <c r="L97" s="528"/>
      <c r="M97" s="528"/>
      <c r="N97" s="528"/>
      <c r="O97" s="528"/>
      <c r="P97" s="528"/>
      <c r="Q97" s="528"/>
      <c r="R97" s="528"/>
      <c r="S97" s="528"/>
      <c r="T97" s="528"/>
      <c r="U97" s="528"/>
      <c r="V97" s="52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FF654-A6F8-4ED3-8D46-86C26DEC7405}">
  <sheetPr>
    <pageSetUpPr autoPageBreaks="0" fitToPage="1"/>
  </sheetPr>
  <dimension ref="A1:N46"/>
  <sheetViews>
    <sheetView workbookViewId="0">
      <selection activeCell="K30" sqref="K30"/>
    </sheetView>
  </sheetViews>
  <sheetFormatPr defaultRowHeight="15"/>
  <cols>
    <col min="1" max="1" width="5.140625" style="26" customWidth="1"/>
    <col min="2" max="2" width="3.7109375" style="26" customWidth="1"/>
    <col min="3" max="3" width="25.42578125" style="26" customWidth="1"/>
    <col min="4" max="4" width="3.7109375" style="26" customWidth="1"/>
    <col min="5" max="5" width="16" style="26" customWidth="1"/>
    <col min="6" max="6" width="3.7109375" style="26" customWidth="1"/>
    <col min="7" max="7" width="9.140625" style="26"/>
    <col min="8" max="8" width="3.7109375" style="26" customWidth="1"/>
    <col min="9" max="9" width="9.140625" style="26"/>
    <col min="10" max="10" width="3.7109375" style="26" customWidth="1"/>
    <col min="11" max="11" width="15.42578125" style="26" customWidth="1"/>
    <col min="12" max="13" width="9.140625" style="26"/>
    <col min="14" max="14" width="15.140625" style="26" customWidth="1"/>
    <col min="15" max="256" width="9.140625" style="26"/>
    <col min="257" max="257" width="5.140625" style="26" customWidth="1"/>
    <col min="258" max="258" width="3.7109375" style="26" customWidth="1"/>
    <col min="259" max="259" width="25.42578125" style="26" customWidth="1"/>
    <col min="260" max="260" width="3.7109375" style="26" customWidth="1"/>
    <col min="261" max="261" width="16" style="26" customWidth="1"/>
    <col min="262" max="262" width="3.7109375" style="26" customWidth="1"/>
    <col min="263" max="263" width="9.140625" style="26"/>
    <col min="264" max="264" width="3.7109375" style="26" customWidth="1"/>
    <col min="265" max="265" width="9.140625" style="26"/>
    <col min="266" max="266" width="3.7109375" style="26" customWidth="1"/>
    <col min="267" max="267" width="12.7109375" style="26" customWidth="1"/>
    <col min="268" max="512" width="9.140625" style="26"/>
    <col min="513" max="513" width="5.140625" style="26" customWidth="1"/>
    <col min="514" max="514" width="3.7109375" style="26" customWidth="1"/>
    <col min="515" max="515" width="25.42578125" style="26" customWidth="1"/>
    <col min="516" max="516" width="3.7109375" style="26" customWidth="1"/>
    <col min="517" max="517" width="16" style="26" customWidth="1"/>
    <col min="518" max="518" width="3.7109375" style="26" customWidth="1"/>
    <col min="519" max="519" width="9.140625" style="26"/>
    <col min="520" max="520" width="3.7109375" style="26" customWidth="1"/>
    <col min="521" max="521" width="9.140625" style="26"/>
    <col min="522" max="522" width="3.7109375" style="26" customWidth="1"/>
    <col min="523" max="523" width="12.7109375" style="26" customWidth="1"/>
    <col min="524" max="768" width="9.140625" style="26"/>
    <col min="769" max="769" width="5.140625" style="26" customWidth="1"/>
    <col min="770" max="770" width="3.7109375" style="26" customWidth="1"/>
    <col min="771" max="771" width="25.42578125" style="26" customWidth="1"/>
    <col min="772" max="772" width="3.7109375" style="26" customWidth="1"/>
    <col min="773" max="773" width="16" style="26" customWidth="1"/>
    <col min="774" max="774" width="3.7109375" style="26" customWidth="1"/>
    <col min="775" max="775" width="9.140625" style="26"/>
    <col min="776" max="776" width="3.7109375" style="26" customWidth="1"/>
    <col min="777" max="777" width="9.140625" style="26"/>
    <col min="778" max="778" width="3.7109375" style="26" customWidth="1"/>
    <col min="779" max="779" width="12.7109375" style="26" customWidth="1"/>
    <col min="780" max="1024" width="9.140625" style="26"/>
    <col min="1025" max="1025" width="5.140625" style="26" customWidth="1"/>
    <col min="1026" max="1026" width="3.7109375" style="26" customWidth="1"/>
    <col min="1027" max="1027" width="25.42578125" style="26" customWidth="1"/>
    <col min="1028" max="1028" width="3.7109375" style="26" customWidth="1"/>
    <col min="1029" max="1029" width="16" style="26" customWidth="1"/>
    <col min="1030" max="1030" width="3.7109375" style="26" customWidth="1"/>
    <col min="1031" max="1031" width="9.140625" style="26"/>
    <col min="1032" max="1032" width="3.7109375" style="26" customWidth="1"/>
    <col min="1033" max="1033" width="9.140625" style="26"/>
    <col min="1034" max="1034" width="3.7109375" style="26" customWidth="1"/>
    <col min="1035" max="1035" width="12.7109375" style="26" customWidth="1"/>
    <col min="1036" max="1280" width="9.140625" style="26"/>
    <col min="1281" max="1281" width="5.140625" style="26" customWidth="1"/>
    <col min="1282" max="1282" width="3.7109375" style="26" customWidth="1"/>
    <col min="1283" max="1283" width="25.42578125" style="26" customWidth="1"/>
    <col min="1284" max="1284" width="3.7109375" style="26" customWidth="1"/>
    <col min="1285" max="1285" width="16" style="26" customWidth="1"/>
    <col min="1286" max="1286" width="3.7109375" style="26" customWidth="1"/>
    <col min="1287" max="1287" width="9.140625" style="26"/>
    <col min="1288" max="1288" width="3.7109375" style="26" customWidth="1"/>
    <col min="1289" max="1289" width="9.140625" style="26"/>
    <col min="1290" max="1290" width="3.7109375" style="26" customWidth="1"/>
    <col min="1291" max="1291" width="12.7109375" style="26" customWidth="1"/>
    <col min="1292" max="1536" width="9.140625" style="26"/>
    <col min="1537" max="1537" width="5.140625" style="26" customWidth="1"/>
    <col min="1538" max="1538" width="3.7109375" style="26" customWidth="1"/>
    <col min="1539" max="1539" width="25.42578125" style="26" customWidth="1"/>
    <col min="1540" max="1540" width="3.7109375" style="26" customWidth="1"/>
    <col min="1541" max="1541" width="16" style="26" customWidth="1"/>
    <col min="1542" max="1542" width="3.7109375" style="26" customWidth="1"/>
    <col min="1543" max="1543" width="9.140625" style="26"/>
    <col min="1544" max="1544" width="3.7109375" style="26" customWidth="1"/>
    <col min="1545" max="1545" width="9.140625" style="26"/>
    <col min="1546" max="1546" width="3.7109375" style="26" customWidth="1"/>
    <col min="1547" max="1547" width="12.7109375" style="26" customWidth="1"/>
    <col min="1548" max="1792" width="9.140625" style="26"/>
    <col min="1793" max="1793" width="5.140625" style="26" customWidth="1"/>
    <col min="1794" max="1794" width="3.7109375" style="26" customWidth="1"/>
    <col min="1795" max="1795" width="25.42578125" style="26" customWidth="1"/>
    <col min="1796" max="1796" width="3.7109375" style="26" customWidth="1"/>
    <col min="1797" max="1797" width="16" style="26" customWidth="1"/>
    <col min="1798" max="1798" width="3.7109375" style="26" customWidth="1"/>
    <col min="1799" max="1799" width="9.140625" style="26"/>
    <col min="1800" max="1800" width="3.7109375" style="26" customWidth="1"/>
    <col min="1801" max="1801" width="9.140625" style="26"/>
    <col min="1802" max="1802" width="3.7109375" style="26" customWidth="1"/>
    <col min="1803" max="1803" width="12.7109375" style="26" customWidth="1"/>
    <col min="1804" max="2048" width="9.140625" style="26"/>
    <col min="2049" max="2049" width="5.140625" style="26" customWidth="1"/>
    <col min="2050" max="2050" width="3.7109375" style="26" customWidth="1"/>
    <col min="2051" max="2051" width="25.42578125" style="26" customWidth="1"/>
    <col min="2052" max="2052" width="3.7109375" style="26" customWidth="1"/>
    <col min="2053" max="2053" width="16" style="26" customWidth="1"/>
    <col min="2054" max="2054" width="3.7109375" style="26" customWidth="1"/>
    <col min="2055" max="2055" width="9.140625" style="26"/>
    <col min="2056" max="2056" width="3.7109375" style="26" customWidth="1"/>
    <col min="2057" max="2057" width="9.140625" style="26"/>
    <col min="2058" max="2058" width="3.7109375" style="26" customWidth="1"/>
    <col min="2059" max="2059" width="12.7109375" style="26" customWidth="1"/>
    <col min="2060" max="2304" width="9.140625" style="26"/>
    <col min="2305" max="2305" width="5.140625" style="26" customWidth="1"/>
    <col min="2306" max="2306" width="3.7109375" style="26" customWidth="1"/>
    <col min="2307" max="2307" width="25.42578125" style="26" customWidth="1"/>
    <col min="2308" max="2308" width="3.7109375" style="26" customWidth="1"/>
    <col min="2309" max="2309" width="16" style="26" customWidth="1"/>
    <col min="2310" max="2310" width="3.7109375" style="26" customWidth="1"/>
    <col min="2311" max="2311" width="9.140625" style="26"/>
    <col min="2312" max="2312" width="3.7109375" style="26" customWidth="1"/>
    <col min="2313" max="2313" width="9.140625" style="26"/>
    <col min="2314" max="2314" width="3.7109375" style="26" customWidth="1"/>
    <col min="2315" max="2315" width="12.7109375" style="26" customWidth="1"/>
    <col min="2316" max="2560" width="9.140625" style="26"/>
    <col min="2561" max="2561" width="5.140625" style="26" customWidth="1"/>
    <col min="2562" max="2562" width="3.7109375" style="26" customWidth="1"/>
    <col min="2563" max="2563" width="25.42578125" style="26" customWidth="1"/>
    <col min="2564" max="2564" width="3.7109375" style="26" customWidth="1"/>
    <col min="2565" max="2565" width="16" style="26" customWidth="1"/>
    <col min="2566" max="2566" width="3.7109375" style="26" customWidth="1"/>
    <col min="2567" max="2567" width="9.140625" style="26"/>
    <col min="2568" max="2568" width="3.7109375" style="26" customWidth="1"/>
    <col min="2569" max="2569" width="9.140625" style="26"/>
    <col min="2570" max="2570" width="3.7109375" style="26" customWidth="1"/>
    <col min="2571" max="2571" width="12.7109375" style="26" customWidth="1"/>
    <col min="2572" max="2816" width="9.140625" style="26"/>
    <col min="2817" max="2817" width="5.140625" style="26" customWidth="1"/>
    <col min="2818" max="2818" width="3.7109375" style="26" customWidth="1"/>
    <col min="2819" max="2819" width="25.42578125" style="26" customWidth="1"/>
    <col min="2820" max="2820" width="3.7109375" style="26" customWidth="1"/>
    <col min="2821" max="2821" width="16" style="26" customWidth="1"/>
    <col min="2822" max="2822" width="3.7109375" style="26" customWidth="1"/>
    <col min="2823" max="2823" width="9.140625" style="26"/>
    <col min="2824" max="2824" width="3.7109375" style="26" customWidth="1"/>
    <col min="2825" max="2825" width="9.140625" style="26"/>
    <col min="2826" max="2826" width="3.7109375" style="26" customWidth="1"/>
    <col min="2827" max="2827" width="12.7109375" style="26" customWidth="1"/>
    <col min="2828" max="3072" width="9.140625" style="26"/>
    <col min="3073" max="3073" width="5.140625" style="26" customWidth="1"/>
    <col min="3074" max="3074" width="3.7109375" style="26" customWidth="1"/>
    <col min="3075" max="3075" width="25.42578125" style="26" customWidth="1"/>
    <col min="3076" max="3076" width="3.7109375" style="26" customWidth="1"/>
    <col min="3077" max="3077" width="16" style="26" customWidth="1"/>
    <col min="3078" max="3078" width="3.7109375" style="26" customWidth="1"/>
    <col min="3079" max="3079" width="9.140625" style="26"/>
    <col min="3080" max="3080" width="3.7109375" style="26" customWidth="1"/>
    <col min="3081" max="3081" width="9.140625" style="26"/>
    <col min="3082" max="3082" width="3.7109375" style="26" customWidth="1"/>
    <col min="3083" max="3083" width="12.7109375" style="26" customWidth="1"/>
    <col min="3084" max="3328" width="9.140625" style="26"/>
    <col min="3329" max="3329" width="5.140625" style="26" customWidth="1"/>
    <col min="3330" max="3330" width="3.7109375" style="26" customWidth="1"/>
    <col min="3331" max="3331" width="25.42578125" style="26" customWidth="1"/>
    <col min="3332" max="3332" width="3.7109375" style="26" customWidth="1"/>
    <col min="3333" max="3333" width="16" style="26" customWidth="1"/>
    <col min="3334" max="3334" width="3.7109375" style="26" customWidth="1"/>
    <col min="3335" max="3335" width="9.140625" style="26"/>
    <col min="3336" max="3336" width="3.7109375" style="26" customWidth="1"/>
    <col min="3337" max="3337" width="9.140625" style="26"/>
    <col min="3338" max="3338" width="3.7109375" style="26" customWidth="1"/>
    <col min="3339" max="3339" width="12.7109375" style="26" customWidth="1"/>
    <col min="3340" max="3584" width="9.140625" style="26"/>
    <col min="3585" max="3585" width="5.140625" style="26" customWidth="1"/>
    <col min="3586" max="3586" width="3.7109375" style="26" customWidth="1"/>
    <col min="3587" max="3587" width="25.42578125" style="26" customWidth="1"/>
    <col min="3588" max="3588" width="3.7109375" style="26" customWidth="1"/>
    <col min="3589" max="3589" width="16" style="26" customWidth="1"/>
    <col min="3590" max="3590" width="3.7109375" style="26" customWidth="1"/>
    <col min="3591" max="3591" width="9.140625" style="26"/>
    <col min="3592" max="3592" width="3.7109375" style="26" customWidth="1"/>
    <col min="3593" max="3593" width="9.140625" style="26"/>
    <col min="3594" max="3594" width="3.7109375" style="26" customWidth="1"/>
    <col min="3595" max="3595" width="12.7109375" style="26" customWidth="1"/>
    <col min="3596" max="3840" width="9.140625" style="26"/>
    <col min="3841" max="3841" width="5.140625" style="26" customWidth="1"/>
    <col min="3842" max="3842" width="3.7109375" style="26" customWidth="1"/>
    <col min="3843" max="3843" width="25.42578125" style="26" customWidth="1"/>
    <col min="3844" max="3844" width="3.7109375" style="26" customWidth="1"/>
    <col min="3845" max="3845" width="16" style="26" customWidth="1"/>
    <col min="3846" max="3846" width="3.7109375" style="26" customWidth="1"/>
    <col min="3847" max="3847" width="9.140625" style="26"/>
    <col min="3848" max="3848" width="3.7109375" style="26" customWidth="1"/>
    <col min="3849" max="3849" width="9.140625" style="26"/>
    <col min="3850" max="3850" width="3.7109375" style="26" customWidth="1"/>
    <col min="3851" max="3851" width="12.7109375" style="26" customWidth="1"/>
    <col min="3852" max="4096" width="9.140625" style="26"/>
    <col min="4097" max="4097" width="5.140625" style="26" customWidth="1"/>
    <col min="4098" max="4098" width="3.7109375" style="26" customWidth="1"/>
    <col min="4099" max="4099" width="25.42578125" style="26" customWidth="1"/>
    <col min="4100" max="4100" width="3.7109375" style="26" customWidth="1"/>
    <col min="4101" max="4101" width="16" style="26" customWidth="1"/>
    <col min="4102" max="4102" width="3.7109375" style="26" customWidth="1"/>
    <col min="4103" max="4103" width="9.140625" style="26"/>
    <col min="4104" max="4104" width="3.7109375" style="26" customWidth="1"/>
    <col min="4105" max="4105" width="9.140625" style="26"/>
    <col min="4106" max="4106" width="3.7109375" style="26" customWidth="1"/>
    <col min="4107" max="4107" width="12.7109375" style="26" customWidth="1"/>
    <col min="4108" max="4352" width="9.140625" style="26"/>
    <col min="4353" max="4353" width="5.140625" style="26" customWidth="1"/>
    <col min="4354" max="4354" width="3.7109375" style="26" customWidth="1"/>
    <col min="4355" max="4355" width="25.42578125" style="26" customWidth="1"/>
    <col min="4356" max="4356" width="3.7109375" style="26" customWidth="1"/>
    <col min="4357" max="4357" width="16" style="26" customWidth="1"/>
    <col min="4358" max="4358" width="3.7109375" style="26" customWidth="1"/>
    <col min="4359" max="4359" width="9.140625" style="26"/>
    <col min="4360" max="4360" width="3.7109375" style="26" customWidth="1"/>
    <col min="4361" max="4361" width="9.140625" style="26"/>
    <col min="4362" max="4362" width="3.7109375" style="26" customWidth="1"/>
    <col min="4363" max="4363" width="12.7109375" style="26" customWidth="1"/>
    <col min="4364" max="4608" width="9.140625" style="26"/>
    <col min="4609" max="4609" width="5.140625" style="26" customWidth="1"/>
    <col min="4610" max="4610" width="3.7109375" style="26" customWidth="1"/>
    <col min="4611" max="4611" width="25.42578125" style="26" customWidth="1"/>
    <col min="4612" max="4612" width="3.7109375" style="26" customWidth="1"/>
    <col min="4613" max="4613" width="16" style="26" customWidth="1"/>
    <col min="4614" max="4614" width="3.7109375" style="26" customWidth="1"/>
    <col min="4615" max="4615" width="9.140625" style="26"/>
    <col min="4616" max="4616" width="3.7109375" style="26" customWidth="1"/>
    <col min="4617" max="4617" width="9.140625" style="26"/>
    <col min="4618" max="4618" width="3.7109375" style="26" customWidth="1"/>
    <col min="4619" max="4619" width="12.7109375" style="26" customWidth="1"/>
    <col min="4620" max="4864" width="9.140625" style="26"/>
    <col min="4865" max="4865" width="5.140625" style="26" customWidth="1"/>
    <col min="4866" max="4866" width="3.7109375" style="26" customWidth="1"/>
    <col min="4867" max="4867" width="25.42578125" style="26" customWidth="1"/>
    <col min="4868" max="4868" width="3.7109375" style="26" customWidth="1"/>
    <col min="4869" max="4869" width="16" style="26" customWidth="1"/>
    <col min="4870" max="4870" width="3.7109375" style="26" customWidth="1"/>
    <col min="4871" max="4871" width="9.140625" style="26"/>
    <col min="4872" max="4872" width="3.7109375" style="26" customWidth="1"/>
    <col min="4873" max="4873" width="9.140625" style="26"/>
    <col min="4874" max="4874" width="3.7109375" style="26" customWidth="1"/>
    <col min="4875" max="4875" width="12.7109375" style="26" customWidth="1"/>
    <col min="4876" max="5120" width="9.140625" style="26"/>
    <col min="5121" max="5121" width="5.140625" style="26" customWidth="1"/>
    <col min="5122" max="5122" width="3.7109375" style="26" customWidth="1"/>
    <col min="5123" max="5123" width="25.42578125" style="26" customWidth="1"/>
    <col min="5124" max="5124" width="3.7109375" style="26" customWidth="1"/>
    <col min="5125" max="5125" width="16" style="26" customWidth="1"/>
    <col min="5126" max="5126" width="3.7109375" style="26" customWidth="1"/>
    <col min="5127" max="5127" width="9.140625" style="26"/>
    <col min="5128" max="5128" width="3.7109375" style="26" customWidth="1"/>
    <col min="5129" max="5129" width="9.140625" style="26"/>
    <col min="5130" max="5130" width="3.7109375" style="26" customWidth="1"/>
    <col min="5131" max="5131" width="12.7109375" style="26" customWidth="1"/>
    <col min="5132" max="5376" width="9.140625" style="26"/>
    <col min="5377" max="5377" width="5.140625" style="26" customWidth="1"/>
    <col min="5378" max="5378" width="3.7109375" style="26" customWidth="1"/>
    <col min="5379" max="5379" width="25.42578125" style="26" customWidth="1"/>
    <col min="5380" max="5380" width="3.7109375" style="26" customWidth="1"/>
    <col min="5381" max="5381" width="16" style="26" customWidth="1"/>
    <col min="5382" max="5382" width="3.7109375" style="26" customWidth="1"/>
    <col min="5383" max="5383" width="9.140625" style="26"/>
    <col min="5384" max="5384" width="3.7109375" style="26" customWidth="1"/>
    <col min="5385" max="5385" width="9.140625" style="26"/>
    <col min="5386" max="5386" width="3.7109375" style="26" customWidth="1"/>
    <col min="5387" max="5387" width="12.7109375" style="26" customWidth="1"/>
    <col min="5388" max="5632" width="9.140625" style="26"/>
    <col min="5633" max="5633" width="5.140625" style="26" customWidth="1"/>
    <col min="5634" max="5634" width="3.7109375" style="26" customWidth="1"/>
    <col min="5635" max="5635" width="25.42578125" style="26" customWidth="1"/>
    <col min="5636" max="5636" width="3.7109375" style="26" customWidth="1"/>
    <col min="5637" max="5637" width="16" style="26" customWidth="1"/>
    <col min="5638" max="5638" width="3.7109375" style="26" customWidth="1"/>
    <col min="5639" max="5639" width="9.140625" style="26"/>
    <col min="5640" max="5640" width="3.7109375" style="26" customWidth="1"/>
    <col min="5641" max="5641" width="9.140625" style="26"/>
    <col min="5642" max="5642" width="3.7109375" style="26" customWidth="1"/>
    <col min="5643" max="5643" width="12.7109375" style="26" customWidth="1"/>
    <col min="5644" max="5888" width="9.140625" style="26"/>
    <col min="5889" max="5889" width="5.140625" style="26" customWidth="1"/>
    <col min="5890" max="5890" width="3.7109375" style="26" customWidth="1"/>
    <col min="5891" max="5891" width="25.42578125" style="26" customWidth="1"/>
    <col min="5892" max="5892" width="3.7109375" style="26" customWidth="1"/>
    <col min="5893" max="5893" width="16" style="26" customWidth="1"/>
    <col min="5894" max="5894" width="3.7109375" style="26" customWidth="1"/>
    <col min="5895" max="5895" width="9.140625" style="26"/>
    <col min="5896" max="5896" width="3.7109375" style="26" customWidth="1"/>
    <col min="5897" max="5897" width="9.140625" style="26"/>
    <col min="5898" max="5898" width="3.7109375" style="26" customWidth="1"/>
    <col min="5899" max="5899" width="12.7109375" style="26" customWidth="1"/>
    <col min="5900" max="6144" width="9.140625" style="26"/>
    <col min="6145" max="6145" width="5.140625" style="26" customWidth="1"/>
    <col min="6146" max="6146" width="3.7109375" style="26" customWidth="1"/>
    <col min="6147" max="6147" width="25.42578125" style="26" customWidth="1"/>
    <col min="6148" max="6148" width="3.7109375" style="26" customWidth="1"/>
    <col min="6149" max="6149" width="16" style="26" customWidth="1"/>
    <col min="6150" max="6150" width="3.7109375" style="26" customWidth="1"/>
    <col min="6151" max="6151" width="9.140625" style="26"/>
    <col min="6152" max="6152" width="3.7109375" style="26" customWidth="1"/>
    <col min="6153" max="6153" width="9.140625" style="26"/>
    <col min="6154" max="6154" width="3.7109375" style="26" customWidth="1"/>
    <col min="6155" max="6155" width="12.7109375" style="26" customWidth="1"/>
    <col min="6156" max="6400" width="9.140625" style="26"/>
    <col min="6401" max="6401" width="5.140625" style="26" customWidth="1"/>
    <col min="6402" max="6402" width="3.7109375" style="26" customWidth="1"/>
    <col min="6403" max="6403" width="25.42578125" style="26" customWidth="1"/>
    <col min="6404" max="6404" width="3.7109375" style="26" customWidth="1"/>
    <col min="6405" max="6405" width="16" style="26" customWidth="1"/>
    <col min="6406" max="6406" width="3.7109375" style="26" customWidth="1"/>
    <col min="6407" max="6407" width="9.140625" style="26"/>
    <col min="6408" max="6408" width="3.7109375" style="26" customWidth="1"/>
    <col min="6409" max="6409" width="9.140625" style="26"/>
    <col min="6410" max="6410" width="3.7109375" style="26" customWidth="1"/>
    <col min="6411" max="6411" width="12.7109375" style="26" customWidth="1"/>
    <col min="6412" max="6656" width="9.140625" style="26"/>
    <col min="6657" max="6657" width="5.140625" style="26" customWidth="1"/>
    <col min="6658" max="6658" width="3.7109375" style="26" customWidth="1"/>
    <col min="6659" max="6659" width="25.42578125" style="26" customWidth="1"/>
    <col min="6660" max="6660" width="3.7109375" style="26" customWidth="1"/>
    <col min="6661" max="6661" width="16" style="26" customWidth="1"/>
    <col min="6662" max="6662" width="3.7109375" style="26" customWidth="1"/>
    <col min="6663" max="6663" width="9.140625" style="26"/>
    <col min="6664" max="6664" width="3.7109375" style="26" customWidth="1"/>
    <col min="6665" max="6665" width="9.140625" style="26"/>
    <col min="6666" max="6666" width="3.7109375" style="26" customWidth="1"/>
    <col min="6667" max="6667" width="12.7109375" style="26" customWidth="1"/>
    <col min="6668" max="6912" width="9.140625" style="26"/>
    <col min="6913" max="6913" width="5.140625" style="26" customWidth="1"/>
    <col min="6914" max="6914" width="3.7109375" style="26" customWidth="1"/>
    <col min="6915" max="6915" width="25.42578125" style="26" customWidth="1"/>
    <col min="6916" max="6916" width="3.7109375" style="26" customWidth="1"/>
    <col min="6917" max="6917" width="16" style="26" customWidth="1"/>
    <col min="6918" max="6918" width="3.7109375" style="26" customWidth="1"/>
    <col min="6919" max="6919" width="9.140625" style="26"/>
    <col min="6920" max="6920" width="3.7109375" style="26" customWidth="1"/>
    <col min="6921" max="6921" width="9.140625" style="26"/>
    <col min="6922" max="6922" width="3.7109375" style="26" customWidth="1"/>
    <col min="6923" max="6923" width="12.7109375" style="26" customWidth="1"/>
    <col min="6924" max="7168" width="9.140625" style="26"/>
    <col min="7169" max="7169" width="5.140625" style="26" customWidth="1"/>
    <col min="7170" max="7170" width="3.7109375" style="26" customWidth="1"/>
    <col min="7171" max="7171" width="25.42578125" style="26" customWidth="1"/>
    <col min="7172" max="7172" width="3.7109375" style="26" customWidth="1"/>
    <col min="7173" max="7173" width="16" style="26" customWidth="1"/>
    <col min="7174" max="7174" width="3.7109375" style="26" customWidth="1"/>
    <col min="7175" max="7175" width="9.140625" style="26"/>
    <col min="7176" max="7176" width="3.7109375" style="26" customWidth="1"/>
    <col min="7177" max="7177" width="9.140625" style="26"/>
    <col min="7178" max="7178" width="3.7109375" style="26" customWidth="1"/>
    <col min="7179" max="7179" width="12.7109375" style="26" customWidth="1"/>
    <col min="7180" max="7424" width="9.140625" style="26"/>
    <col min="7425" max="7425" width="5.140625" style="26" customWidth="1"/>
    <col min="7426" max="7426" width="3.7109375" style="26" customWidth="1"/>
    <col min="7427" max="7427" width="25.42578125" style="26" customWidth="1"/>
    <col min="7428" max="7428" width="3.7109375" style="26" customWidth="1"/>
    <col min="7429" max="7429" width="16" style="26" customWidth="1"/>
    <col min="7430" max="7430" width="3.7109375" style="26" customWidth="1"/>
    <col min="7431" max="7431" width="9.140625" style="26"/>
    <col min="7432" max="7432" width="3.7109375" style="26" customWidth="1"/>
    <col min="7433" max="7433" width="9.140625" style="26"/>
    <col min="7434" max="7434" width="3.7109375" style="26" customWidth="1"/>
    <col min="7435" max="7435" width="12.7109375" style="26" customWidth="1"/>
    <col min="7436" max="7680" width="9.140625" style="26"/>
    <col min="7681" max="7681" width="5.140625" style="26" customWidth="1"/>
    <col min="7682" max="7682" width="3.7109375" style="26" customWidth="1"/>
    <col min="7683" max="7683" width="25.42578125" style="26" customWidth="1"/>
    <col min="7684" max="7684" width="3.7109375" style="26" customWidth="1"/>
    <col min="7685" max="7685" width="16" style="26" customWidth="1"/>
    <col min="7686" max="7686" width="3.7109375" style="26" customWidth="1"/>
    <col min="7687" max="7687" width="9.140625" style="26"/>
    <col min="7688" max="7688" width="3.7109375" style="26" customWidth="1"/>
    <col min="7689" max="7689" width="9.140625" style="26"/>
    <col min="7690" max="7690" width="3.7109375" style="26" customWidth="1"/>
    <col min="7691" max="7691" width="12.7109375" style="26" customWidth="1"/>
    <col min="7692" max="7936" width="9.140625" style="26"/>
    <col min="7937" max="7937" width="5.140625" style="26" customWidth="1"/>
    <col min="7938" max="7938" width="3.7109375" style="26" customWidth="1"/>
    <col min="7939" max="7939" width="25.42578125" style="26" customWidth="1"/>
    <col min="7940" max="7940" width="3.7109375" style="26" customWidth="1"/>
    <col min="7941" max="7941" width="16" style="26" customWidth="1"/>
    <col min="7942" max="7942" width="3.7109375" style="26" customWidth="1"/>
    <col min="7943" max="7943" width="9.140625" style="26"/>
    <col min="7944" max="7944" width="3.7109375" style="26" customWidth="1"/>
    <col min="7945" max="7945" width="9.140625" style="26"/>
    <col min="7946" max="7946" width="3.7109375" style="26" customWidth="1"/>
    <col min="7947" max="7947" width="12.7109375" style="26" customWidth="1"/>
    <col min="7948" max="8192" width="9.140625" style="26"/>
    <col min="8193" max="8193" width="5.140625" style="26" customWidth="1"/>
    <col min="8194" max="8194" width="3.7109375" style="26" customWidth="1"/>
    <col min="8195" max="8195" width="25.42578125" style="26" customWidth="1"/>
    <col min="8196" max="8196" width="3.7109375" style="26" customWidth="1"/>
    <col min="8197" max="8197" width="16" style="26" customWidth="1"/>
    <col min="8198" max="8198" width="3.7109375" style="26" customWidth="1"/>
    <col min="8199" max="8199" width="9.140625" style="26"/>
    <col min="8200" max="8200" width="3.7109375" style="26" customWidth="1"/>
    <col min="8201" max="8201" width="9.140625" style="26"/>
    <col min="8202" max="8202" width="3.7109375" style="26" customWidth="1"/>
    <col min="8203" max="8203" width="12.7109375" style="26" customWidth="1"/>
    <col min="8204" max="8448" width="9.140625" style="26"/>
    <col min="8449" max="8449" width="5.140625" style="26" customWidth="1"/>
    <col min="8450" max="8450" width="3.7109375" style="26" customWidth="1"/>
    <col min="8451" max="8451" width="25.42578125" style="26" customWidth="1"/>
    <col min="8452" max="8452" width="3.7109375" style="26" customWidth="1"/>
    <col min="8453" max="8453" width="16" style="26" customWidth="1"/>
    <col min="8454" max="8454" width="3.7109375" style="26" customWidth="1"/>
    <col min="8455" max="8455" width="9.140625" style="26"/>
    <col min="8456" max="8456" width="3.7109375" style="26" customWidth="1"/>
    <col min="8457" max="8457" width="9.140625" style="26"/>
    <col min="8458" max="8458" width="3.7109375" style="26" customWidth="1"/>
    <col min="8459" max="8459" width="12.7109375" style="26" customWidth="1"/>
    <col min="8460" max="8704" width="9.140625" style="26"/>
    <col min="8705" max="8705" width="5.140625" style="26" customWidth="1"/>
    <col min="8706" max="8706" width="3.7109375" style="26" customWidth="1"/>
    <col min="8707" max="8707" width="25.42578125" style="26" customWidth="1"/>
    <col min="8708" max="8708" width="3.7109375" style="26" customWidth="1"/>
    <col min="8709" max="8709" width="16" style="26" customWidth="1"/>
    <col min="8710" max="8710" width="3.7109375" style="26" customWidth="1"/>
    <col min="8711" max="8711" width="9.140625" style="26"/>
    <col min="8712" max="8712" width="3.7109375" style="26" customWidth="1"/>
    <col min="8713" max="8713" width="9.140625" style="26"/>
    <col min="8714" max="8714" width="3.7109375" style="26" customWidth="1"/>
    <col min="8715" max="8715" width="12.7109375" style="26" customWidth="1"/>
    <col min="8716" max="8960" width="9.140625" style="26"/>
    <col min="8961" max="8961" width="5.140625" style="26" customWidth="1"/>
    <col min="8962" max="8962" width="3.7109375" style="26" customWidth="1"/>
    <col min="8963" max="8963" width="25.42578125" style="26" customWidth="1"/>
    <col min="8964" max="8964" width="3.7109375" style="26" customWidth="1"/>
    <col min="8965" max="8965" width="16" style="26" customWidth="1"/>
    <col min="8966" max="8966" width="3.7109375" style="26" customWidth="1"/>
    <col min="8967" max="8967" width="9.140625" style="26"/>
    <col min="8968" max="8968" width="3.7109375" style="26" customWidth="1"/>
    <col min="8969" max="8969" width="9.140625" style="26"/>
    <col min="8970" max="8970" width="3.7109375" style="26" customWidth="1"/>
    <col min="8971" max="8971" width="12.7109375" style="26" customWidth="1"/>
    <col min="8972" max="9216" width="9.140625" style="26"/>
    <col min="9217" max="9217" width="5.140625" style="26" customWidth="1"/>
    <col min="9218" max="9218" width="3.7109375" style="26" customWidth="1"/>
    <col min="9219" max="9219" width="25.42578125" style="26" customWidth="1"/>
    <col min="9220" max="9220" width="3.7109375" style="26" customWidth="1"/>
    <col min="9221" max="9221" width="16" style="26" customWidth="1"/>
    <col min="9222" max="9222" width="3.7109375" style="26" customWidth="1"/>
    <col min="9223" max="9223" width="9.140625" style="26"/>
    <col min="9224" max="9224" width="3.7109375" style="26" customWidth="1"/>
    <col min="9225" max="9225" width="9.140625" style="26"/>
    <col min="9226" max="9226" width="3.7109375" style="26" customWidth="1"/>
    <col min="9227" max="9227" width="12.7109375" style="26" customWidth="1"/>
    <col min="9228" max="9472" width="9.140625" style="26"/>
    <col min="9473" max="9473" width="5.140625" style="26" customWidth="1"/>
    <col min="9474" max="9474" width="3.7109375" style="26" customWidth="1"/>
    <col min="9475" max="9475" width="25.42578125" style="26" customWidth="1"/>
    <col min="9476" max="9476" width="3.7109375" style="26" customWidth="1"/>
    <col min="9477" max="9477" width="16" style="26" customWidth="1"/>
    <col min="9478" max="9478" width="3.7109375" style="26" customWidth="1"/>
    <col min="9479" max="9479" width="9.140625" style="26"/>
    <col min="9480" max="9480" width="3.7109375" style="26" customWidth="1"/>
    <col min="9481" max="9481" width="9.140625" style="26"/>
    <col min="9482" max="9482" width="3.7109375" style="26" customWidth="1"/>
    <col min="9483" max="9483" width="12.7109375" style="26" customWidth="1"/>
    <col min="9484" max="9728" width="9.140625" style="26"/>
    <col min="9729" max="9729" width="5.140625" style="26" customWidth="1"/>
    <col min="9730" max="9730" width="3.7109375" style="26" customWidth="1"/>
    <col min="9731" max="9731" width="25.42578125" style="26" customWidth="1"/>
    <col min="9732" max="9732" width="3.7109375" style="26" customWidth="1"/>
    <col min="9733" max="9733" width="16" style="26" customWidth="1"/>
    <col min="9734" max="9734" width="3.7109375" style="26" customWidth="1"/>
    <col min="9735" max="9735" width="9.140625" style="26"/>
    <col min="9736" max="9736" width="3.7109375" style="26" customWidth="1"/>
    <col min="9737" max="9737" width="9.140625" style="26"/>
    <col min="9738" max="9738" width="3.7109375" style="26" customWidth="1"/>
    <col min="9739" max="9739" width="12.7109375" style="26" customWidth="1"/>
    <col min="9740" max="9984" width="9.140625" style="26"/>
    <col min="9985" max="9985" width="5.140625" style="26" customWidth="1"/>
    <col min="9986" max="9986" width="3.7109375" style="26" customWidth="1"/>
    <col min="9987" max="9987" width="25.42578125" style="26" customWidth="1"/>
    <col min="9988" max="9988" width="3.7109375" style="26" customWidth="1"/>
    <col min="9989" max="9989" width="16" style="26" customWidth="1"/>
    <col min="9990" max="9990" width="3.7109375" style="26" customWidth="1"/>
    <col min="9991" max="9991" width="9.140625" style="26"/>
    <col min="9992" max="9992" width="3.7109375" style="26" customWidth="1"/>
    <col min="9993" max="9993" width="9.140625" style="26"/>
    <col min="9994" max="9994" width="3.7109375" style="26" customWidth="1"/>
    <col min="9995" max="9995" width="12.7109375" style="26" customWidth="1"/>
    <col min="9996" max="10240" width="9.140625" style="26"/>
    <col min="10241" max="10241" width="5.140625" style="26" customWidth="1"/>
    <col min="10242" max="10242" width="3.7109375" style="26" customWidth="1"/>
    <col min="10243" max="10243" width="25.42578125" style="26" customWidth="1"/>
    <col min="10244" max="10244" width="3.7109375" style="26" customWidth="1"/>
    <col min="10245" max="10245" width="16" style="26" customWidth="1"/>
    <col min="10246" max="10246" width="3.7109375" style="26" customWidth="1"/>
    <col min="10247" max="10247" width="9.140625" style="26"/>
    <col min="10248" max="10248" width="3.7109375" style="26" customWidth="1"/>
    <col min="10249" max="10249" width="9.140625" style="26"/>
    <col min="10250" max="10250" width="3.7109375" style="26" customWidth="1"/>
    <col min="10251" max="10251" width="12.7109375" style="26" customWidth="1"/>
    <col min="10252" max="10496" width="9.140625" style="26"/>
    <col min="10497" max="10497" width="5.140625" style="26" customWidth="1"/>
    <col min="10498" max="10498" width="3.7109375" style="26" customWidth="1"/>
    <col min="10499" max="10499" width="25.42578125" style="26" customWidth="1"/>
    <col min="10500" max="10500" width="3.7109375" style="26" customWidth="1"/>
    <col min="10501" max="10501" width="16" style="26" customWidth="1"/>
    <col min="10502" max="10502" width="3.7109375" style="26" customWidth="1"/>
    <col min="10503" max="10503" width="9.140625" style="26"/>
    <col min="10504" max="10504" width="3.7109375" style="26" customWidth="1"/>
    <col min="10505" max="10505" width="9.140625" style="26"/>
    <col min="10506" max="10506" width="3.7109375" style="26" customWidth="1"/>
    <col min="10507" max="10507" width="12.7109375" style="26" customWidth="1"/>
    <col min="10508" max="10752" width="9.140625" style="26"/>
    <col min="10753" max="10753" width="5.140625" style="26" customWidth="1"/>
    <col min="10754" max="10754" width="3.7109375" style="26" customWidth="1"/>
    <col min="10755" max="10755" width="25.42578125" style="26" customWidth="1"/>
    <col min="10756" max="10756" width="3.7109375" style="26" customWidth="1"/>
    <col min="10757" max="10757" width="16" style="26" customWidth="1"/>
    <col min="10758" max="10758" width="3.7109375" style="26" customWidth="1"/>
    <col min="10759" max="10759" width="9.140625" style="26"/>
    <col min="10760" max="10760" width="3.7109375" style="26" customWidth="1"/>
    <col min="10761" max="10761" width="9.140625" style="26"/>
    <col min="10762" max="10762" width="3.7109375" style="26" customWidth="1"/>
    <col min="10763" max="10763" width="12.7109375" style="26" customWidth="1"/>
    <col min="10764" max="11008" width="9.140625" style="26"/>
    <col min="11009" max="11009" width="5.140625" style="26" customWidth="1"/>
    <col min="11010" max="11010" width="3.7109375" style="26" customWidth="1"/>
    <col min="11011" max="11011" width="25.42578125" style="26" customWidth="1"/>
    <col min="11012" max="11012" width="3.7109375" style="26" customWidth="1"/>
    <col min="11013" max="11013" width="16" style="26" customWidth="1"/>
    <col min="11014" max="11014" width="3.7109375" style="26" customWidth="1"/>
    <col min="11015" max="11015" width="9.140625" style="26"/>
    <col min="11016" max="11016" width="3.7109375" style="26" customWidth="1"/>
    <col min="11017" max="11017" width="9.140625" style="26"/>
    <col min="11018" max="11018" width="3.7109375" style="26" customWidth="1"/>
    <col min="11019" max="11019" width="12.7109375" style="26" customWidth="1"/>
    <col min="11020" max="11264" width="9.140625" style="26"/>
    <col min="11265" max="11265" width="5.140625" style="26" customWidth="1"/>
    <col min="11266" max="11266" width="3.7109375" style="26" customWidth="1"/>
    <col min="11267" max="11267" width="25.42578125" style="26" customWidth="1"/>
    <col min="11268" max="11268" width="3.7109375" style="26" customWidth="1"/>
    <col min="11269" max="11269" width="16" style="26" customWidth="1"/>
    <col min="11270" max="11270" width="3.7109375" style="26" customWidth="1"/>
    <col min="11271" max="11271" width="9.140625" style="26"/>
    <col min="11272" max="11272" width="3.7109375" style="26" customWidth="1"/>
    <col min="11273" max="11273" width="9.140625" style="26"/>
    <col min="11274" max="11274" width="3.7109375" style="26" customWidth="1"/>
    <col min="11275" max="11275" width="12.7109375" style="26" customWidth="1"/>
    <col min="11276" max="11520" width="9.140625" style="26"/>
    <col min="11521" max="11521" width="5.140625" style="26" customWidth="1"/>
    <col min="11522" max="11522" width="3.7109375" style="26" customWidth="1"/>
    <col min="11523" max="11523" width="25.42578125" style="26" customWidth="1"/>
    <col min="11524" max="11524" width="3.7109375" style="26" customWidth="1"/>
    <col min="11525" max="11525" width="16" style="26" customWidth="1"/>
    <col min="11526" max="11526" width="3.7109375" style="26" customWidth="1"/>
    <col min="11527" max="11527" width="9.140625" style="26"/>
    <col min="11528" max="11528" width="3.7109375" style="26" customWidth="1"/>
    <col min="11529" max="11529" width="9.140625" style="26"/>
    <col min="11530" max="11530" width="3.7109375" style="26" customWidth="1"/>
    <col min="11531" max="11531" width="12.7109375" style="26" customWidth="1"/>
    <col min="11532" max="11776" width="9.140625" style="26"/>
    <col min="11777" max="11777" width="5.140625" style="26" customWidth="1"/>
    <col min="11778" max="11778" width="3.7109375" style="26" customWidth="1"/>
    <col min="11779" max="11779" width="25.42578125" style="26" customWidth="1"/>
    <col min="11780" max="11780" width="3.7109375" style="26" customWidth="1"/>
    <col min="11781" max="11781" width="16" style="26" customWidth="1"/>
    <col min="11782" max="11782" width="3.7109375" style="26" customWidth="1"/>
    <col min="11783" max="11783" width="9.140625" style="26"/>
    <col min="11784" max="11784" width="3.7109375" style="26" customWidth="1"/>
    <col min="11785" max="11785" width="9.140625" style="26"/>
    <col min="11786" max="11786" width="3.7109375" style="26" customWidth="1"/>
    <col min="11787" max="11787" width="12.7109375" style="26" customWidth="1"/>
    <col min="11788" max="12032" width="9.140625" style="26"/>
    <col min="12033" max="12033" width="5.140625" style="26" customWidth="1"/>
    <col min="12034" max="12034" width="3.7109375" style="26" customWidth="1"/>
    <col min="12035" max="12035" width="25.42578125" style="26" customWidth="1"/>
    <col min="12036" max="12036" width="3.7109375" style="26" customWidth="1"/>
    <col min="12037" max="12037" width="16" style="26" customWidth="1"/>
    <col min="12038" max="12038" width="3.7109375" style="26" customWidth="1"/>
    <col min="12039" max="12039" width="9.140625" style="26"/>
    <col min="12040" max="12040" width="3.7109375" style="26" customWidth="1"/>
    <col min="12041" max="12041" width="9.140625" style="26"/>
    <col min="12042" max="12042" width="3.7109375" style="26" customWidth="1"/>
    <col min="12043" max="12043" width="12.7109375" style="26" customWidth="1"/>
    <col min="12044" max="12288" width="9.140625" style="26"/>
    <col min="12289" max="12289" width="5.140625" style="26" customWidth="1"/>
    <col min="12290" max="12290" width="3.7109375" style="26" customWidth="1"/>
    <col min="12291" max="12291" width="25.42578125" style="26" customWidth="1"/>
    <col min="12292" max="12292" width="3.7109375" style="26" customWidth="1"/>
    <col min="12293" max="12293" width="16" style="26" customWidth="1"/>
    <col min="12294" max="12294" width="3.7109375" style="26" customWidth="1"/>
    <col min="12295" max="12295" width="9.140625" style="26"/>
    <col min="12296" max="12296" width="3.7109375" style="26" customWidth="1"/>
    <col min="12297" max="12297" width="9.140625" style="26"/>
    <col min="12298" max="12298" width="3.7109375" style="26" customWidth="1"/>
    <col min="12299" max="12299" width="12.7109375" style="26" customWidth="1"/>
    <col min="12300" max="12544" width="9.140625" style="26"/>
    <col min="12545" max="12545" width="5.140625" style="26" customWidth="1"/>
    <col min="12546" max="12546" width="3.7109375" style="26" customWidth="1"/>
    <col min="12547" max="12547" width="25.42578125" style="26" customWidth="1"/>
    <col min="12548" max="12548" width="3.7109375" style="26" customWidth="1"/>
    <col min="12549" max="12549" width="16" style="26" customWidth="1"/>
    <col min="12550" max="12550" width="3.7109375" style="26" customWidth="1"/>
    <col min="12551" max="12551" width="9.140625" style="26"/>
    <col min="12552" max="12552" width="3.7109375" style="26" customWidth="1"/>
    <col min="12553" max="12553" width="9.140625" style="26"/>
    <col min="12554" max="12554" width="3.7109375" style="26" customWidth="1"/>
    <col min="12555" max="12555" width="12.7109375" style="26" customWidth="1"/>
    <col min="12556" max="12800" width="9.140625" style="26"/>
    <col min="12801" max="12801" width="5.140625" style="26" customWidth="1"/>
    <col min="12802" max="12802" width="3.7109375" style="26" customWidth="1"/>
    <col min="12803" max="12803" width="25.42578125" style="26" customWidth="1"/>
    <col min="12804" max="12804" width="3.7109375" style="26" customWidth="1"/>
    <col min="12805" max="12805" width="16" style="26" customWidth="1"/>
    <col min="12806" max="12806" width="3.7109375" style="26" customWidth="1"/>
    <col min="12807" max="12807" width="9.140625" style="26"/>
    <col min="12808" max="12808" width="3.7109375" style="26" customWidth="1"/>
    <col min="12809" max="12809" width="9.140625" style="26"/>
    <col min="12810" max="12810" width="3.7109375" style="26" customWidth="1"/>
    <col min="12811" max="12811" width="12.7109375" style="26" customWidth="1"/>
    <col min="12812" max="13056" width="9.140625" style="26"/>
    <col min="13057" max="13057" width="5.140625" style="26" customWidth="1"/>
    <col min="13058" max="13058" width="3.7109375" style="26" customWidth="1"/>
    <col min="13059" max="13059" width="25.42578125" style="26" customWidth="1"/>
    <col min="13060" max="13060" width="3.7109375" style="26" customWidth="1"/>
    <col min="13061" max="13061" width="16" style="26" customWidth="1"/>
    <col min="13062" max="13062" width="3.7109375" style="26" customWidth="1"/>
    <col min="13063" max="13063" width="9.140625" style="26"/>
    <col min="13064" max="13064" width="3.7109375" style="26" customWidth="1"/>
    <col min="13065" max="13065" width="9.140625" style="26"/>
    <col min="13066" max="13066" width="3.7109375" style="26" customWidth="1"/>
    <col min="13067" max="13067" width="12.7109375" style="26" customWidth="1"/>
    <col min="13068" max="13312" width="9.140625" style="26"/>
    <col min="13313" max="13313" width="5.140625" style="26" customWidth="1"/>
    <col min="13314" max="13314" width="3.7109375" style="26" customWidth="1"/>
    <col min="13315" max="13315" width="25.42578125" style="26" customWidth="1"/>
    <col min="13316" max="13316" width="3.7109375" style="26" customWidth="1"/>
    <col min="13317" max="13317" width="16" style="26" customWidth="1"/>
    <col min="13318" max="13318" width="3.7109375" style="26" customWidth="1"/>
    <col min="13319" max="13319" width="9.140625" style="26"/>
    <col min="13320" max="13320" width="3.7109375" style="26" customWidth="1"/>
    <col min="13321" max="13321" width="9.140625" style="26"/>
    <col min="13322" max="13322" width="3.7109375" style="26" customWidth="1"/>
    <col min="13323" max="13323" width="12.7109375" style="26" customWidth="1"/>
    <col min="13324" max="13568" width="9.140625" style="26"/>
    <col min="13569" max="13569" width="5.140625" style="26" customWidth="1"/>
    <col min="13570" max="13570" width="3.7109375" style="26" customWidth="1"/>
    <col min="13571" max="13571" width="25.42578125" style="26" customWidth="1"/>
    <col min="13572" max="13572" width="3.7109375" style="26" customWidth="1"/>
    <col min="13573" max="13573" width="16" style="26" customWidth="1"/>
    <col min="13574" max="13574" width="3.7109375" style="26" customWidth="1"/>
    <col min="13575" max="13575" width="9.140625" style="26"/>
    <col min="13576" max="13576" width="3.7109375" style="26" customWidth="1"/>
    <col min="13577" max="13577" width="9.140625" style="26"/>
    <col min="13578" max="13578" width="3.7109375" style="26" customWidth="1"/>
    <col min="13579" max="13579" width="12.7109375" style="26" customWidth="1"/>
    <col min="13580" max="13824" width="9.140625" style="26"/>
    <col min="13825" max="13825" width="5.140625" style="26" customWidth="1"/>
    <col min="13826" max="13826" width="3.7109375" style="26" customWidth="1"/>
    <col min="13827" max="13827" width="25.42578125" style="26" customWidth="1"/>
    <col min="13828" max="13828" width="3.7109375" style="26" customWidth="1"/>
    <col min="13829" max="13829" width="16" style="26" customWidth="1"/>
    <col min="13830" max="13830" width="3.7109375" style="26" customWidth="1"/>
    <col min="13831" max="13831" width="9.140625" style="26"/>
    <col min="13832" max="13832" width="3.7109375" style="26" customWidth="1"/>
    <col min="13833" max="13833" width="9.140625" style="26"/>
    <col min="13834" max="13834" width="3.7109375" style="26" customWidth="1"/>
    <col min="13835" max="13835" width="12.7109375" style="26" customWidth="1"/>
    <col min="13836" max="14080" width="9.140625" style="26"/>
    <col min="14081" max="14081" width="5.140625" style="26" customWidth="1"/>
    <col min="14082" max="14082" width="3.7109375" style="26" customWidth="1"/>
    <col min="14083" max="14083" width="25.42578125" style="26" customWidth="1"/>
    <col min="14084" max="14084" width="3.7109375" style="26" customWidth="1"/>
    <col min="14085" max="14085" width="16" style="26" customWidth="1"/>
    <col min="14086" max="14086" width="3.7109375" style="26" customWidth="1"/>
    <col min="14087" max="14087" width="9.140625" style="26"/>
    <col min="14088" max="14088" width="3.7109375" style="26" customWidth="1"/>
    <col min="14089" max="14089" width="9.140625" style="26"/>
    <col min="14090" max="14090" width="3.7109375" style="26" customWidth="1"/>
    <col min="14091" max="14091" width="12.7109375" style="26" customWidth="1"/>
    <col min="14092" max="14336" width="9.140625" style="26"/>
    <col min="14337" max="14337" width="5.140625" style="26" customWidth="1"/>
    <col min="14338" max="14338" width="3.7109375" style="26" customWidth="1"/>
    <col min="14339" max="14339" width="25.42578125" style="26" customWidth="1"/>
    <col min="14340" max="14340" width="3.7109375" style="26" customWidth="1"/>
    <col min="14341" max="14341" width="16" style="26" customWidth="1"/>
    <col min="14342" max="14342" width="3.7109375" style="26" customWidth="1"/>
    <col min="14343" max="14343" width="9.140625" style="26"/>
    <col min="14344" max="14344" width="3.7109375" style="26" customWidth="1"/>
    <col min="14345" max="14345" width="9.140625" style="26"/>
    <col min="14346" max="14346" width="3.7109375" style="26" customWidth="1"/>
    <col min="14347" max="14347" width="12.7109375" style="26" customWidth="1"/>
    <col min="14348" max="14592" width="9.140625" style="26"/>
    <col min="14593" max="14593" width="5.140625" style="26" customWidth="1"/>
    <col min="14594" max="14594" width="3.7109375" style="26" customWidth="1"/>
    <col min="14595" max="14595" width="25.42578125" style="26" customWidth="1"/>
    <col min="14596" max="14596" width="3.7109375" style="26" customWidth="1"/>
    <col min="14597" max="14597" width="16" style="26" customWidth="1"/>
    <col min="14598" max="14598" width="3.7109375" style="26" customWidth="1"/>
    <col min="14599" max="14599" width="9.140625" style="26"/>
    <col min="14600" max="14600" width="3.7109375" style="26" customWidth="1"/>
    <col min="14601" max="14601" width="9.140625" style="26"/>
    <col min="14602" max="14602" width="3.7109375" style="26" customWidth="1"/>
    <col min="14603" max="14603" width="12.7109375" style="26" customWidth="1"/>
    <col min="14604" max="14848" width="9.140625" style="26"/>
    <col min="14849" max="14849" width="5.140625" style="26" customWidth="1"/>
    <col min="14850" max="14850" width="3.7109375" style="26" customWidth="1"/>
    <col min="14851" max="14851" width="25.42578125" style="26" customWidth="1"/>
    <col min="14852" max="14852" width="3.7109375" style="26" customWidth="1"/>
    <col min="14853" max="14853" width="16" style="26" customWidth="1"/>
    <col min="14854" max="14854" width="3.7109375" style="26" customWidth="1"/>
    <col min="14855" max="14855" width="9.140625" style="26"/>
    <col min="14856" max="14856" width="3.7109375" style="26" customWidth="1"/>
    <col min="14857" max="14857" width="9.140625" style="26"/>
    <col min="14858" max="14858" width="3.7109375" style="26" customWidth="1"/>
    <col min="14859" max="14859" width="12.7109375" style="26" customWidth="1"/>
    <col min="14860" max="15104" width="9.140625" style="26"/>
    <col min="15105" max="15105" width="5.140625" style="26" customWidth="1"/>
    <col min="15106" max="15106" width="3.7109375" style="26" customWidth="1"/>
    <col min="15107" max="15107" width="25.42578125" style="26" customWidth="1"/>
    <col min="15108" max="15108" width="3.7109375" style="26" customWidth="1"/>
    <col min="15109" max="15109" width="16" style="26" customWidth="1"/>
    <col min="15110" max="15110" width="3.7109375" style="26" customWidth="1"/>
    <col min="15111" max="15111" width="9.140625" style="26"/>
    <col min="15112" max="15112" width="3.7109375" style="26" customWidth="1"/>
    <col min="15113" max="15113" width="9.140625" style="26"/>
    <col min="15114" max="15114" width="3.7109375" style="26" customWidth="1"/>
    <col min="15115" max="15115" width="12.7109375" style="26" customWidth="1"/>
    <col min="15116" max="15360" width="9.140625" style="26"/>
    <col min="15361" max="15361" width="5.140625" style="26" customWidth="1"/>
    <col min="15362" max="15362" width="3.7109375" style="26" customWidth="1"/>
    <col min="15363" max="15363" width="25.42578125" style="26" customWidth="1"/>
    <col min="15364" max="15364" width="3.7109375" style="26" customWidth="1"/>
    <col min="15365" max="15365" width="16" style="26" customWidth="1"/>
    <col min="15366" max="15366" width="3.7109375" style="26" customWidth="1"/>
    <col min="15367" max="15367" width="9.140625" style="26"/>
    <col min="15368" max="15368" width="3.7109375" style="26" customWidth="1"/>
    <col min="15369" max="15369" width="9.140625" style="26"/>
    <col min="15370" max="15370" width="3.7109375" style="26" customWidth="1"/>
    <col min="15371" max="15371" width="12.7109375" style="26" customWidth="1"/>
    <col min="15372" max="15616" width="9.140625" style="26"/>
    <col min="15617" max="15617" width="5.140625" style="26" customWidth="1"/>
    <col min="15618" max="15618" width="3.7109375" style="26" customWidth="1"/>
    <col min="15619" max="15619" width="25.42578125" style="26" customWidth="1"/>
    <col min="15620" max="15620" width="3.7109375" style="26" customWidth="1"/>
    <col min="15621" max="15621" width="16" style="26" customWidth="1"/>
    <col min="15622" max="15622" width="3.7109375" style="26" customWidth="1"/>
    <col min="15623" max="15623" width="9.140625" style="26"/>
    <col min="15624" max="15624" width="3.7109375" style="26" customWidth="1"/>
    <col min="15625" max="15625" width="9.140625" style="26"/>
    <col min="15626" max="15626" width="3.7109375" style="26" customWidth="1"/>
    <col min="15627" max="15627" width="12.7109375" style="26" customWidth="1"/>
    <col min="15628" max="15872" width="9.140625" style="26"/>
    <col min="15873" max="15873" width="5.140625" style="26" customWidth="1"/>
    <col min="15874" max="15874" width="3.7109375" style="26" customWidth="1"/>
    <col min="15875" max="15875" width="25.42578125" style="26" customWidth="1"/>
    <col min="15876" max="15876" width="3.7109375" style="26" customWidth="1"/>
    <col min="15877" max="15877" width="16" style="26" customWidth="1"/>
    <col min="15878" max="15878" width="3.7109375" style="26" customWidth="1"/>
    <col min="15879" max="15879" width="9.140625" style="26"/>
    <col min="15880" max="15880" width="3.7109375" style="26" customWidth="1"/>
    <col min="15881" max="15881" width="9.140625" style="26"/>
    <col min="15882" max="15882" width="3.7109375" style="26" customWidth="1"/>
    <col min="15883" max="15883" width="12.7109375" style="26" customWidth="1"/>
    <col min="15884" max="16128" width="9.140625" style="26"/>
    <col min="16129" max="16129" width="5.140625" style="26" customWidth="1"/>
    <col min="16130" max="16130" width="3.7109375" style="26" customWidth="1"/>
    <col min="16131" max="16131" width="25.42578125" style="26" customWidth="1"/>
    <col min="16132" max="16132" width="3.7109375" style="26" customWidth="1"/>
    <col min="16133" max="16133" width="16" style="26" customWidth="1"/>
    <col min="16134" max="16134" width="3.7109375" style="26" customWidth="1"/>
    <col min="16135" max="16135" width="9.140625" style="26"/>
    <col min="16136" max="16136" width="3.7109375" style="26" customWidth="1"/>
    <col min="16137" max="16137" width="9.140625" style="26"/>
    <col min="16138" max="16138" width="3.7109375" style="26" customWidth="1"/>
    <col min="16139" max="16139" width="12.7109375" style="26" customWidth="1"/>
    <col min="16140" max="16384" width="9.140625" style="26"/>
  </cols>
  <sheetData>
    <row r="1" spans="1:13">
      <c r="A1" s="569" t="s">
        <v>1</v>
      </c>
      <c r="B1" s="569"/>
      <c r="C1" s="569"/>
      <c r="D1" s="569"/>
      <c r="E1" s="569"/>
      <c r="F1" s="569"/>
      <c r="G1" s="569"/>
      <c r="H1" s="569"/>
      <c r="I1" s="569"/>
      <c r="J1" s="569"/>
      <c r="K1" s="569"/>
    </row>
    <row r="2" spans="1:13">
      <c r="A2" s="569" t="s">
        <v>73</v>
      </c>
      <c r="B2" s="569"/>
      <c r="C2" s="569"/>
      <c r="D2" s="569"/>
      <c r="E2" s="569"/>
      <c r="F2" s="569"/>
      <c r="G2" s="569"/>
      <c r="H2" s="569"/>
      <c r="I2" s="569"/>
      <c r="J2" s="569"/>
      <c r="K2" s="569"/>
    </row>
    <row r="3" spans="1:13">
      <c r="A3" s="570" t="s">
        <v>74</v>
      </c>
      <c r="B3" s="570"/>
      <c r="C3" s="570"/>
      <c r="D3" s="570"/>
      <c r="E3" s="570"/>
      <c r="F3" s="570"/>
      <c r="G3" s="570"/>
      <c r="H3" s="570"/>
      <c r="I3" s="570"/>
      <c r="J3" s="570"/>
      <c r="K3" s="570"/>
    </row>
    <row r="4" spans="1:13">
      <c r="A4" s="570" t="s">
        <v>75</v>
      </c>
      <c r="B4" s="570"/>
      <c r="C4" s="570"/>
      <c r="D4" s="570"/>
      <c r="E4" s="570"/>
      <c r="F4" s="570"/>
      <c r="G4" s="570"/>
      <c r="H4" s="570"/>
      <c r="I4" s="570"/>
      <c r="J4" s="570"/>
      <c r="K4" s="570"/>
    </row>
    <row r="5" spans="1:13">
      <c r="A5" s="27"/>
      <c r="B5" s="27"/>
      <c r="C5" s="27"/>
      <c r="D5" s="27"/>
      <c r="E5" s="27"/>
      <c r="F5" s="27"/>
      <c r="G5" s="27"/>
      <c r="H5" s="27"/>
      <c r="I5" s="27"/>
      <c r="J5" s="27"/>
      <c r="K5" s="27"/>
    </row>
    <row r="6" spans="1:13" ht="38.25">
      <c r="A6" s="28" t="s">
        <v>76</v>
      </c>
      <c r="B6" s="28"/>
      <c r="C6" s="28" t="s">
        <v>77</v>
      </c>
      <c r="D6" s="28"/>
      <c r="E6" s="28" t="s">
        <v>78</v>
      </c>
      <c r="F6" s="28"/>
      <c r="G6" s="28" t="s">
        <v>79</v>
      </c>
      <c r="H6" s="28"/>
      <c r="I6" s="28" t="s">
        <v>80</v>
      </c>
      <c r="J6" s="28"/>
      <c r="K6" s="28" t="s">
        <v>81</v>
      </c>
    </row>
    <row r="7" spans="1:13">
      <c r="A7" s="29">
        <v>-1</v>
      </c>
      <c r="B7" s="29"/>
      <c r="C7" s="29">
        <v>-2</v>
      </c>
      <c r="D7" s="29"/>
      <c r="E7" s="29">
        <v>-3</v>
      </c>
      <c r="F7" s="29"/>
      <c r="G7" s="29">
        <v>-4</v>
      </c>
      <c r="H7" s="29"/>
      <c r="I7" s="29">
        <v>-5</v>
      </c>
      <c r="J7" s="30"/>
      <c r="K7" s="29">
        <v>-6</v>
      </c>
    </row>
    <row r="8" spans="1:13">
      <c r="A8" s="31"/>
      <c r="B8" s="31"/>
      <c r="C8" s="31"/>
      <c r="D8" s="31"/>
      <c r="E8" s="31"/>
      <c r="F8" s="31"/>
      <c r="G8" s="31"/>
      <c r="H8" s="31"/>
      <c r="I8" s="31"/>
      <c r="J8" s="30"/>
      <c r="K8" s="31"/>
    </row>
    <row r="9" spans="1:13">
      <c r="A9" s="29"/>
      <c r="B9" s="29"/>
      <c r="C9" s="29"/>
      <c r="D9" s="29"/>
      <c r="E9" s="29"/>
      <c r="F9" s="29"/>
      <c r="G9" s="29"/>
      <c r="H9" s="29"/>
      <c r="I9" s="29"/>
      <c r="J9" s="30"/>
      <c r="K9" s="32" t="s">
        <v>82</v>
      </c>
    </row>
    <row r="10" spans="1:13">
      <c r="A10" s="33">
        <v>1</v>
      </c>
      <c r="B10" s="30"/>
      <c r="C10" s="34" t="s">
        <v>83</v>
      </c>
      <c r="D10" s="30"/>
      <c r="E10" s="35">
        <v>19899701.280000001</v>
      </c>
      <c r="F10" s="30"/>
      <c r="G10" s="36">
        <f>E39</f>
        <v>1255</v>
      </c>
      <c r="H10" s="30"/>
      <c r="I10" s="37">
        <v>1</v>
      </c>
      <c r="J10" s="30"/>
      <c r="K10" s="35">
        <f>E10*I10</f>
        <v>19899701.280000001</v>
      </c>
    </row>
    <row r="11" spans="1:13">
      <c r="A11" s="30"/>
      <c r="B11" s="30"/>
      <c r="C11" s="34"/>
      <c r="D11" s="30"/>
      <c r="E11" s="35"/>
      <c r="F11" s="30"/>
      <c r="G11" s="36"/>
      <c r="H11" s="30"/>
      <c r="I11" s="38"/>
      <c r="J11" s="30"/>
      <c r="K11" s="35"/>
    </row>
    <row r="12" spans="1:13">
      <c r="A12" s="33">
        <f>+A10+1</f>
        <v>2</v>
      </c>
      <c r="B12" s="30"/>
      <c r="C12" s="34" t="s">
        <v>84</v>
      </c>
      <c r="D12" s="30"/>
      <c r="E12" s="35">
        <v>4620948.0100000007</v>
      </c>
      <c r="F12" s="39" t="s">
        <v>85</v>
      </c>
      <c r="G12" s="36">
        <f>E40</f>
        <v>1255</v>
      </c>
      <c r="H12" s="30"/>
      <c r="I12" s="37">
        <v>1</v>
      </c>
      <c r="J12" s="30"/>
      <c r="K12" s="35">
        <f>E12*I12</f>
        <v>4620948.0100000007</v>
      </c>
    </row>
    <row r="13" spans="1:13">
      <c r="A13" s="30"/>
      <c r="B13" s="30"/>
      <c r="C13" s="34"/>
      <c r="D13" s="30"/>
      <c r="E13" s="35"/>
      <c r="F13" s="30"/>
      <c r="G13" s="36"/>
      <c r="H13" s="30"/>
      <c r="I13" s="37"/>
      <c r="J13" s="30"/>
      <c r="K13" s="35"/>
    </row>
    <row r="14" spans="1:13">
      <c r="A14" s="33">
        <f>+A12+1</f>
        <v>3</v>
      </c>
      <c r="B14" s="30" t="s">
        <v>86</v>
      </c>
      <c r="C14" s="34" t="s">
        <v>87</v>
      </c>
      <c r="D14" s="30"/>
      <c r="E14" s="35">
        <v>14276099.460000005</v>
      </c>
      <c r="F14" s="30"/>
      <c r="G14" s="36">
        <f>E41</f>
        <v>1121</v>
      </c>
      <c r="H14" s="30"/>
      <c r="I14" s="37">
        <f>G10/G14</f>
        <v>1.1195361284567351</v>
      </c>
      <c r="J14" s="30"/>
      <c r="K14" s="35">
        <f>E14*I14</f>
        <v>15982609.118911693</v>
      </c>
    </row>
    <row r="15" spans="1:13">
      <c r="A15" s="30"/>
      <c r="B15" s="30"/>
      <c r="C15" s="34"/>
      <c r="D15" s="30"/>
      <c r="E15" s="30"/>
      <c r="F15" s="30"/>
      <c r="G15" s="30"/>
      <c r="H15" s="30"/>
      <c r="I15" s="30"/>
      <c r="J15" s="30"/>
      <c r="K15" s="30"/>
      <c r="L15" s="40"/>
      <c r="M15" s="40"/>
    </row>
    <row r="16" spans="1:13">
      <c r="A16" s="33">
        <f>+A14+1</f>
        <v>4</v>
      </c>
      <c r="B16" s="30" t="s">
        <v>86</v>
      </c>
      <c r="C16" s="34" t="s">
        <v>88</v>
      </c>
      <c r="D16" s="30"/>
      <c r="E16" s="35">
        <v>0</v>
      </c>
      <c r="F16" s="30"/>
      <c r="G16" s="36">
        <f>E42</f>
        <v>855</v>
      </c>
      <c r="H16" s="30"/>
      <c r="I16" s="37">
        <f>G12/G16</f>
        <v>1.4678362573099415</v>
      </c>
      <c r="J16" s="30"/>
      <c r="K16" s="35">
        <f>E16*I16</f>
        <v>0</v>
      </c>
    </row>
    <row r="17" spans="1:14">
      <c r="A17" s="30"/>
      <c r="B17" s="30"/>
      <c r="C17" s="34"/>
      <c r="D17" s="30"/>
      <c r="E17" s="30"/>
      <c r="F17" s="30"/>
      <c r="G17" s="30"/>
      <c r="H17" s="30"/>
      <c r="I17" s="30"/>
      <c r="J17" s="30"/>
      <c r="K17" s="30"/>
      <c r="L17" s="40"/>
      <c r="M17" s="40"/>
    </row>
    <row r="18" spans="1:14">
      <c r="A18" s="33">
        <f>+A16+1</f>
        <v>5</v>
      </c>
      <c r="B18" s="30" t="s">
        <v>86</v>
      </c>
      <c r="C18" s="34" t="s">
        <v>89</v>
      </c>
      <c r="D18" s="30"/>
      <c r="E18" s="35">
        <v>2018729</v>
      </c>
      <c r="F18" s="30"/>
      <c r="G18" s="36">
        <f>E43</f>
        <v>776</v>
      </c>
      <c r="H18" s="30"/>
      <c r="I18" s="37">
        <f>G14/G18</f>
        <v>1.4445876288659794</v>
      </c>
      <c r="J18" s="30"/>
      <c r="K18" s="35">
        <f>E18*I18</f>
        <v>2916230.9394329898</v>
      </c>
    </row>
    <row r="19" spans="1:14">
      <c r="A19" s="30"/>
      <c r="B19" s="30"/>
      <c r="C19" s="34"/>
      <c r="D19" s="30"/>
      <c r="E19" s="30"/>
      <c r="F19" s="30"/>
      <c r="G19" s="30"/>
      <c r="H19" s="30"/>
      <c r="I19" s="30"/>
      <c r="J19" s="30"/>
      <c r="K19" s="30"/>
      <c r="L19" s="40"/>
      <c r="M19" s="40"/>
    </row>
    <row r="20" spans="1:14" ht="15.75" thickBot="1">
      <c r="A20" s="33">
        <f>+A18+1</f>
        <v>6</v>
      </c>
      <c r="B20" s="30"/>
      <c r="C20" s="34" t="s">
        <v>90</v>
      </c>
      <c r="D20" s="30"/>
      <c r="E20" s="30"/>
      <c r="F20" s="30"/>
      <c r="G20" s="30"/>
      <c r="H20" s="30"/>
      <c r="I20" s="30"/>
      <c r="J20" s="30"/>
      <c r="K20" s="41">
        <f>K10+K12+K14+K16+K18</f>
        <v>43419489.348344684</v>
      </c>
      <c r="L20" s="40"/>
      <c r="M20" s="40"/>
    </row>
    <row r="21" spans="1:14" ht="15.75" thickTop="1">
      <c r="A21" s="30"/>
      <c r="B21" s="30"/>
      <c r="C21" s="34"/>
      <c r="D21" s="30"/>
      <c r="E21" s="30"/>
      <c r="F21" s="30"/>
      <c r="G21" s="30"/>
      <c r="H21" s="30"/>
      <c r="I21" s="30"/>
      <c r="J21" s="30"/>
      <c r="K21" s="30"/>
      <c r="L21" s="40"/>
      <c r="M21" s="40"/>
    </row>
    <row r="22" spans="1:14">
      <c r="A22" s="33">
        <f>+A20+1</f>
        <v>7</v>
      </c>
      <c r="B22" s="30"/>
      <c r="C22" s="34" t="s">
        <v>91</v>
      </c>
      <c r="D22" s="30"/>
      <c r="E22" s="30"/>
      <c r="F22" s="30"/>
      <c r="G22" s="30"/>
      <c r="H22" s="30"/>
      <c r="I22" s="30"/>
      <c r="J22" s="30"/>
      <c r="K22" s="42">
        <f>AVERAGE(K10,K12,K14,K18,K16)</f>
        <v>8683897.8696689364</v>
      </c>
      <c r="L22" s="40"/>
      <c r="M22" s="40"/>
    </row>
    <row r="23" spans="1:14">
      <c r="A23" s="27"/>
      <c r="B23" s="27"/>
      <c r="C23" s="27"/>
      <c r="D23" s="27"/>
      <c r="E23" s="27"/>
      <c r="F23" s="27"/>
      <c r="G23" s="27"/>
      <c r="H23" s="27"/>
      <c r="I23" s="27"/>
      <c r="J23" s="27"/>
      <c r="K23" s="27"/>
    </row>
    <row r="24" spans="1:14">
      <c r="A24" s="33">
        <f>+A22+1</f>
        <v>8</v>
      </c>
      <c r="B24" s="30"/>
      <c r="C24" s="30" t="s">
        <v>92</v>
      </c>
      <c r="D24" s="30"/>
      <c r="E24" s="30"/>
      <c r="F24" s="30"/>
      <c r="G24" s="30"/>
      <c r="H24" s="30"/>
      <c r="I24" s="30"/>
      <c r="J24" s="30"/>
      <c r="K24" s="35">
        <v>22969954.699999999</v>
      </c>
      <c r="L24" s="40"/>
      <c r="M24" s="40"/>
    </row>
    <row r="25" spans="1:14">
      <c r="A25" s="27"/>
      <c r="B25" s="27"/>
      <c r="C25" s="27"/>
      <c r="D25" s="27"/>
      <c r="E25" s="27"/>
      <c r="F25" s="27"/>
      <c r="G25" s="27"/>
      <c r="H25" s="27"/>
      <c r="I25" s="27"/>
      <c r="J25" s="27"/>
      <c r="K25" s="27"/>
    </row>
    <row r="26" spans="1:14">
      <c r="A26" s="33">
        <f>+A24+1</f>
        <v>9</v>
      </c>
      <c r="B26" s="27"/>
      <c r="C26" s="30" t="s">
        <v>93</v>
      </c>
      <c r="D26" s="27"/>
      <c r="E26" s="27"/>
      <c r="F26" s="27"/>
      <c r="G26" s="27"/>
      <c r="H26" s="27"/>
      <c r="I26" s="27"/>
      <c r="J26" s="27"/>
      <c r="K26" s="35">
        <v>-23185362.719999999</v>
      </c>
    </row>
    <row r="27" spans="1:14">
      <c r="A27" s="27"/>
      <c r="B27" s="27"/>
      <c r="C27" s="27"/>
      <c r="D27" s="27"/>
      <c r="E27" s="27"/>
      <c r="F27" s="27"/>
      <c r="G27" s="27"/>
      <c r="H27" s="27"/>
      <c r="I27" s="27"/>
      <c r="J27" s="27"/>
      <c r="K27" s="27"/>
    </row>
    <row r="28" spans="1:14">
      <c r="A28" s="33">
        <f>+A26+1</f>
        <v>10</v>
      </c>
      <c r="B28" s="27"/>
      <c r="C28" s="30" t="s">
        <v>94</v>
      </c>
      <c r="D28" s="27"/>
      <c r="E28" s="27"/>
      <c r="F28" s="27"/>
      <c r="G28" s="27"/>
      <c r="H28" s="27"/>
      <c r="I28" s="27"/>
      <c r="J28" s="27"/>
      <c r="K28" s="35">
        <f>K24+K26</f>
        <v>-215408.01999999955</v>
      </c>
    </row>
    <row r="29" spans="1:14">
      <c r="A29" s="27"/>
      <c r="B29" s="27"/>
      <c r="C29" s="27"/>
      <c r="D29" s="27"/>
      <c r="E29" s="27"/>
      <c r="F29" s="27"/>
      <c r="G29" s="27"/>
      <c r="H29" s="27"/>
      <c r="I29" s="27"/>
      <c r="J29" s="27"/>
      <c r="K29" s="27"/>
    </row>
    <row r="30" spans="1:14" ht="15.75" thickBot="1">
      <c r="A30" s="33">
        <f>+A28+1</f>
        <v>11</v>
      </c>
      <c r="B30" s="30"/>
      <c r="C30" s="30" t="s">
        <v>95</v>
      </c>
      <c r="D30" s="30"/>
      <c r="E30" s="30"/>
      <c r="F30" s="30"/>
      <c r="G30" s="30"/>
      <c r="H30" s="30"/>
      <c r="I30" s="30"/>
      <c r="J30" s="30"/>
      <c r="K30" s="41">
        <f>-K28</f>
        <v>215408.01999999955</v>
      </c>
      <c r="L30" s="40"/>
      <c r="M30" s="40"/>
    </row>
    <row r="31" spans="1:14" ht="15.75" thickTop="1">
      <c r="A31" s="30"/>
      <c r="B31" s="30"/>
      <c r="C31" s="30"/>
      <c r="D31" s="30"/>
      <c r="E31" s="30"/>
      <c r="F31" s="30"/>
      <c r="G31" s="30"/>
      <c r="H31" s="30"/>
      <c r="I31" s="30"/>
      <c r="J31" s="30"/>
      <c r="K31" s="30"/>
      <c r="L31" s="40"/>
      <c r="M31" s="40"/>
      <c r="N31" s="43"/>
    </row>
    <row r="32" spans="1:14">
      <c r="A32" s="33">
        <f>+A30+1</f>
        <v>12</v>
      </c>
      <c r="B32" s="30"/>
      <c r="C32" s="30" t="s">
        <v>96</v>
      </c>
      <c r="D32" s="30"/>
      <c r="E32" s="30"/>
      <c r="F32" s="30"/>
      <c r="G32" s="30"/>
      <c r="H32" s="30"/>
      <c r="I32" s="30"/>
      <c r="J32" s="30"/>
      <c r="K32" s="44">
        <v>1</v>
      </c>
      <c r="L32" s="40"/>
      <c r="M32" s="40"/>
    </row>
    <row r="33" spans="1:13">
      <c r="A33" s="30"/>
      <c r="B33" s="30"/>
      <c r="C33" s="30"/>
      <c r="D33" s="30"/>
      <c r="E33" s="30"/>
      <c r="F33" s="30"/>
      <c r="G33" s="30"/>
      <c r="H33" s="30"/>
      <c r="I33" s="30"/>
      <c r="J33" s="30"/>
      <c r="K33" s="30"/>
      <c r="L33" s="40"/>
      <c r="M33" s="40"/>
    </row>
    <row r="34" spans="1:13" ht="15.75" thickBot="1">
      <c r="A34" s="33">
        <f>+A32+1</f>
        <v>13</v>
      </c>
      <c r="B34" s="30"/>
      <c r="C34" s="30" t="s">
        <v>97</v>
      </c>
      <c r="D34" s="30"/>
      <c r="E34" s="30"/>
      <c r="F34" s="30"/>
      <c r="G34" s="30"/>
      <c r="H34" s="30"/>
      <c r="I34" s="30"/>
      <c r="J34" s="30"/>
      <c r="K34" s="45">
        <f>K30*K32</f>
        <v>215408.01999999955</v>
      </c>
      <c r="L34" s="40"/>
      <c r="M34" s="40"/>
    </row>
    <row r="35" spans="1:13" ht="15.75" thickTop="1">
      <c r="A35" s="30"/>
      <c r="B35" s="30"/>
      <c r="C35" s="30"/>
      <c r="D35" s="30"/>
      <c r="E35" s="30"/>
      <c r="F35" s="30"/>
      <c r="G35" s="30"/>
      <c r="H35" s="30"/>
      <c r="I35" s="30"/>
      <c r="J35" s="30"/>
      <c r="K35" s="30"/>
      <c r="L35" s="40"/>
      <c r="M35" s="40"/>
    </row>
    <row r="36" spans="1:13">
      <c r="A36" s="27"/>
      <c r="B36" s="30"/>
      <c r="C36" s="30"/>
      <c r="D36" s="30"/>
      <c r="E36" s="30"/>
      <c r="F36" s="30"/>
      <c r="G36" s="30"/>
      <c r="H36" s="30"/>
      <c r="I36" s="30"/>
      <c r="J36" s="30"/>
      <c r="K36" s="30"/>
      <c r="L36" s="40"/>
      <c r="M36" s="40"/>
    </row>
    <row r="37" spans="1:13" ht="16.5">
      <c r="A37" s="27"/>
      <c r="B37" s="46" t="s">
        <v>98</v>
      </c>
      <c r="C37" s="30" t="s">
        <v>99</v>
      </c>
      <c r="D37" s="30"/>
      <c r="E37" s="30"/>
      <c r="F37" s="30"/>
      <c r="G37" s="571" t="s">
        <v>100</v>
      </c>
      <c r="H37" s="572"/>
      <c r="I37" s="572"/>
      <c r="J37" s="572"/>
      <c r="K37" s="47">
        <v>1012476</v>
      </c>
      <c r="L37" s="40"/>
      <c r="M37" s="40"/>
    </row>
    <row r="38" spans="1:13">
      <c r="A38" s="27"/>
      <c r="B38" s="30"/>
      <c r="C38" s="30" t="s">
        <v>101</v>
      </c>
      <c r="D38" s="30"/>
      <c r="E38" s="30"/>
      <c r="F38" s="30"/>
      <c r="G38" s="30"/>
      <c r="H38" s="30"/>
      <c r="I38" s="30"/>
      <c r="J38" s="30"/>
      <c r="K38" s="30"/>
      <c r="L38" s="40"/>
      <c r="M38" s="40"/>
    </row>
    <row r="39" spans="1:13">
      <c r="A39" s="27"/>
      <c r="B39" s="30"/>
      <c r="C39" s="30" t="s">
        <v>102</v>
      </c>
      <c r="D39" s="30"/>
      <c r="E39" s="30">
        <v>1255</v>
      </c>
      <c r="F39" s="30"/>
      <c r="G39" s="30"/>
      <c r="H39" s="30"/>
      <c r="I39" s="30"/>
      <c r="J39" s="30"/>
      <c r="K39" s="30"/>
      <c r="L39" s="40"/>
      <c r="M39" s="40"/>
    </row>
    <row r="40" spans="1:13">
      <c r="A40" s="27"/>
      <c r="B40" s="30"/>
      <c r="C40" s="30" t="s">
        <v>103</v>
      </c>
      <c r="D40" s="30"/>
      <c r="E40" s="30">
        <v>1255</v>
      </c>
      <c r="F40" s="30"/>
      <c r="G40" s="30"/>
      <c r="H40" s="30"/>
      <c r="I40" s="30"/>
      <c r="J40" s="30"/>
      <c r="K40" s="30"/>
      <c r="L40" s="40"/>
      <c r="M40" s="40"/>
    </row>
    <row r="41" spans="1:13">
      <c r="A41" s="27"/>
      <c r="B41" s="30"/>
      <c r="C41" s="30" t="s">
        <v>104</v>
      </c>
      <c r="D41" s="30"/>
      <c r="E41" s="30">
        <v>1121</v>
      </c>
      <c r="F41" s="30"/>
      <c r="G41" s="30"/>
      <c r="H41" s="30"/>
      <c r="I41" s="30"/>
      <c r="J41" s="30"/>
      <c r="K41" s="42"/>
      <c r="L41" s="40"/>
      <c r="M41" s="40"/>
    </row>
    <row r="42" spans="1:13">
      <c r="A42" s="27"/>
      <c r="B42" s="30"/>
      <c r="C42" s="30" t="s">
        <v>105</v>
      </c>
      <c r="D42" s="30"/>
      <c r="E42" s="30">
        <v>855</v>
      </c>
      <c r="F42" s="30"/>
      <c r="G42" s="30"/>
      <c r="H42" s="30"/>
      <c r="I42" s="48"/>
      <c r="J42" s="30"/>
      <c r="K42" s="30"/>
      <c r="L42" s="40"/>
      <c r="M42" s="40"/>
    </row>
    <row r="43" spans="1:13">
      <c r="A43" s="27"/>
      <c r="B43" s="30"/>
      <c r="C43" s="30" t="s">
        <v>106</v>
      </c>
      <c r="D43" s="30"/>
      <c r="E43" s="30">
        <v>776</v>
      </c>
      <c r="F43" s="30"/>
      <c r="G43" s="30"/>
      <c r="H43" s="30"/>
      <c r="I43" s="30"/>
      <c r="J43" s="30"/>
      <c r="K43" s="30"/>
      <c r="L43" s="40"/>
      <c r="M43" s="40"/>
    </row>
    <row r="44" spans="1:13">
      <c r="A44" s="27"/>
      <c r="B44" s="30"/>
      <c r="C44" s="30"/>
      <c r="D44" s="30"/>
      <c r="E44" s="30"/>
      <c r="F44" s="30"/>
      <c r="G44" s="30"/>
      <c r="H44" s="30"/>
      <c r="I44" s="30"/>
      <c r="J44" s="30"/>
      <c r="K44" s="30"/>
      <c r="L44" s="40"/>
      <c r="M44" s="40"/>
    </row>
    <row r="45" spans="1:13">
      <c r="A45" s="27"/>
      <c r="B45" s="30"/>
      <c r="C45" s="30" t="s">
        <v>107</v>
      </c>
      <c r="D45" s="30"/>
      <c r="E45" s="27" t="s">
        <v>108</v>
      </c>
      <c r="F45" s="30"/>
      <c r="G45" s="30"/>
      <c r="H45" s="30"/>
      <c r="I45" s="30"/>
      <c r="J45" s="30"/>
      <c r="K45" s="30"/>
      <c r="L45" s="40"/>
      <c r="M45" s="40"/>
    </row>
    <row r="46" spans="1:13">
      <c r="A46" s="27"/>
      <c r="B46" s="27"/>
      <c r="C46" s="27"/>
      <c r="D46" s="27"/>
      <c r="E46" s="27"/>
      <c r="F46" s="27"/>
      <c r="G46" s="27"/>
      <c r="H46" s="27"/>
      <c r="I46" s="27"/>
      <c r="J46" s="27"/>
      <c r="K46" s="27"/>
    </row>
  </sheetData>
  <mergeCells count="5">
    <mergeCell ref="A1:K1"/>
    <mergeCell ref="A2:K2"/>
    <mergeCell ref="A3:K3"/>
    <mergeCell ref="A4:K4"/>
    <mergeCell ref="G37:J37"/>
  </mergeCells>
  <pageMargins left="0.7" right="0.7" top="0.75" bottom="0.75" header="0.3" footer="0.3"/>
  <pageSetup scale="92" orientation="portrait" r:id="rId1"/>
  <headerFooter>
    <oddFooter>&amp;C&amp;"Calibri,Regular"&amp;11&amp;B&amp;K000000AEP CONFIDENTIAL</oddFooter>
    <evenFooter>&amp;C&amp;"Calibri,Regular"&amp;11&amp;B&amp;K000000AEP CONFIDENTIAL</evenFooter>
    <firstFooter>&amp;C&amp;"Calibri,Regular"&amp;11&amp;B&amp;K000000AEP CONFIDENTIAL</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B15DF-6E0F-4CFB-A86E-23FDCA200E9F}">
  <sheetPr>
    <pageSetUpPr fitToPage="1"/>
  </sheetPr>
  <dimension ref="A1:M52"/>
  <sheetViews>
    <sheetView zoomScaleNormal="100" workbookViewId="0">
      <pane xSplit="1" ySplit="8" topLeftCell="B9" activePane="bottomRight" state="frozen"/>
      <selection pane="topRight" activeCell="H63" sqref="H63"/>
      <selection pane="bottomLeft" activeCell="H63" sqref="H63"/>
      <selection pane="bottomRight" activeCell="H48" sqref="H48"/>
    </sheetView>
  </sheetViews>
  <sheetFormatPr defaultColWidth="13.7109375" defaultRowHeight="12.75"/>
  <cols>
    <col min="1" max="1" width="7.85546875" style="9" bestFit="1" customWidth="1"/>
    <col min="2" max="2" width="12.42578125" style="9" bestFit="1" customWidth="1"/>
    <col min="3" max="3" width="13.140625" style="9" customWidth="1"/>
    <col min="4" max="4" width="17.7109375" style="9" customWidth="1"/>
    <col min="5" max="5" width="20.5703125" style="9" customWidth="1"/>
    <col min="6" max="6" width="1.140625" style="9" customWidth="1"/>
    <col min="7" max="7" width="12.42578125" style="9" bestFit="1" customWidth="1"/>
    <col min="8" max="8" width="15.140625" style="9" bestFit="1" customWidth="1"/>
    <col min="9" max="9" width="20.28515625" style="9" bestFit="1" customWidth="1"/>
    <col min="10" max="10" width="0.5703125" style="9" customWidth="1"/>
    <col min="11" max="11" width="42.7109375" style="9" bestFit="1" customWidth="1"/>
    <col min="12" max="12" width="14.140625" style="9" bestFit="1" customWidth="1"/>
    <col min="13" max="13" width="1" style="9" bestFit="1" customWidth="1"/>
    <col min="14" max="16384" width="13.7109375" style="9"/>
  </cols>
  <sheetData>
    <row r="1" spans="1:13">
      <c r="K1" s="577" t="s">
        <v>85</v>
      </c>
      <c r="L1" s="576"/>
      <c r="M1" s="576"/>
    </row>
    <row r="2" spans="1:13">
      <c r="B2" s="578" t="s">
        <v>1</v>
      </c>
      <c r="C2" s="579"/>
      <c r="D2" s="579"/>
      <c r="E2" s="579"/>
      <c r="F2" s="579"/>
      <c r="G2" s="579"/>
      <c r="H2" s="579"/>
      <c r="I2" s="579"/>
      <c r="J2" s="579"/>
      <c r="K2" s="579"/>
      <c r="L2" s="579"/>
      <c r="M2" s="10" t="s">
        <v>85</v>
      </c>
    </row>
    <row r="3" spans="1:13">
      <c r="B3" s="578" t="s">
        <v>109</v>
      </c>
      <c r="C3" s="579"/>
      <c r="D3" s="579"/>
      <c r="E3" s="579"/>
      <c r="F3" s="579"/>
      <c r="G3" s="579"/>
      <c r="H3" s="579"/>
      <c r="I3" s="579"/>
      <c r="J3" s="579"/>
      <c r="K3" s="579"/>
      <c r="L3" s="579"/>
      <c r="M3" s="10" t="s">
        <v>85</v>
      </c>
    </row>
    <row r="4" spans="1:13">
      <c r="B4" s="578" t="s">
        <v>110</v>
      </c>
      <c r="C4" s="579"/>
      <c r="D4" s="579"/>
      <c r="E4" s="579"/>
      <c r="F4" s="579"/>
      <c r="G4" s="579"/>
      <c r="H4" s="579"/>
      <c r="I4" s="579"/>
      <c r="J4" s="579"/>
      <c r="K4" s="579"/>
      <c r="L4" s="579"/>
    </row>
    <row r="5" spans="1:13">
      <c r="B5" s="578" t="s">
        <v>111</v>
      </c>
      <c r="C5" s="579"/>
      <c r="D5" s="579"/>
      <c r="E5" s="579"/>
      <c r="F5" s="579"/>
      <c r="G5" s="579"/>
      <c r="H5" s="579"/>
      <c r="I5" s="579"/>
      <c r="J5" s="579"/>
      <c r="K5" s="579"/>
      <c r="L5" s="579"/>
    </row>
    <row r="7" spans="1:13" ht="25.5">
      <c r="A7" s="580" t="s">
        <v>76</v>
      </c>
      <c r="B7" s="573" t="s">
        <v>112</v>
      </c>
      <c r="C7" s="573" t="s">
        <v>113</v>
      </c>
      <c r="D7" s="573" t="s">
        <v>114</v>
      </c>
      <c r="E7" s="573" t="s">
        <v>115</v>
      </c>
      <c r="F7" s="12"/>
      <c r="G7" s="573" t="s">
        <v>116</v>
      </c>
      <c r="H7" s="573" t="s">
        <v>114</v>
      </c>
      <c r="I7" s="573" t="s">
        <v>117</v>
      </c>
      <c r="J7" s="12"/>
      <c r="K7" s="573" t="s">
        <v>118</v>
      </c>
      <c r="L7" s="11" t="s">
        <v>119</v>
      </c>
      <c r="M7" s="13"/>
    </row>
    <row r="8" spans="1:13">
      <c r="A8" s="576"/>
      <c r="B8" s="574"/>
      <c r="C8" s="574"/>
      <c r="D8" s="574"/>
      <c r="E8" s="574"/>
      <c r="F8" s="12"/>
      <c r="G8" s="574"/>
      <c r="H8" s="574"/>
      <c r="I8" s="574"/>
      <c r="J8" s="12"/>
      <c r="K8" s="574"/>
      <c r="L8" s="14">
        <v>1</v>
      </c>
      <c r="M8" s="13"/>
    </row>
    <row r="9" spans="1:13">
      <c r="B9" s="15" t="s">
        <v>120</v>
      </c>
      <c r="C9" s="15" t="s">
        <v>121</v>
      </c>
      <c r="D9" s="15" t="s">
        <v>122</v>
      </c>
      <c r="E9" s="15" t="s">
        <v>123</v>
      </c>
      <c r="G9" s="15" t="s">
        <v>124</v>
      </c>
      <c r="H9" s="15" t="s">
        <v>125</v>
      </c>
      <c r="I9" s="15" t="s">
        <v>126</v>
      </c>
      <c r="K9" s="15" t="s">
        <v>127</v>
      </c>
      <c r="L9" s="15" t="s">
        <v>128</v>
      </c>
    </row>
    <row r="10" spans="1:13">
      <c r="A10" s="16">
        <v>1</v>
      </c>
      <c r="B10" s="17">
        <v>5000</v>
      </c>
      <c r="C10" s="18">
        <v>43179.96</v>
      </c>
      <c r="D10" s="18">
        <v>70495.59</v>
      </c>
      <c r="E10" s="18">
        <f t="shared" ref="E10:E45" si="0">D10-C10</f>
        <v>27315.629999999997</v>
      </c>
      <c r="G10" s="18">
        <v>1402.28</v>
      </c>
      <c r="H10" s="18">
        <v>1913.12</v>
      </c>
      <c r="I10" s="18">
        <f t="shared" ref="I10:I45" si="1">H10-G10</f>
        <v>510.83999999999992</v>
      </c>
      <c r="K10" s="18">
        <f t="shared" ref="K10:K45" si="2">E10+I10</f>
        <v>27826.469999999998</v>
      </c>
      <c r="L10" s="18">
        <f t="shared" ref="L10:L45" si="3">K10*L$8</f>
        <v>27826.469999999998</v>
      </c>
    </row>
    <row r="11" spans="1:13">
      <c r="A11" s="16">
        <f t="shared" ref="A11:A46" si="4">A10+1</f>
        <v>2</v>
      </c>
      <c r="B11" s="17">
        <v>5010</v>
      </c>
      <c r="C11" s="18">
        <v>114956.49</v>
      </c>
      <c r="D11" s="18">
        <v>185191.76</v>
      </c>
      <c r="E11" s="18">
        <f t="shared" si="0"/>
        <v>70235.27</v>
      </c>
      <c r="G11" s="18">
        <v>4954.4799999999996</v>
      </c>
      <c r="H11" s="18">
        <v>6687.16</v>
      </c>
      <c r="I11" s="18">
        <f t="shared" si="1"/>
        <v>1732.6800000000003</v>
      </c>
      <c r="K11" s="18">
        <f t="shared" si="2"/>
        <v>71967.950000000012</v>
      </c>
      <c r="L11" s="18">
        <f t="shared" si="3"/>
        <v>71967.950000000012</v>
      </c>
    </row>
    <row r="12" spans="1:13">
      <c r="A12" s="16">
        <f t="shared" si="4"/>
        <v>3</v>
      </c>
      <c r="B12" s="17">
        <v>5020</v>
      </c>
      <c r="C12" s="18">
        <v>57562.51</v>
      </c>
      <c r="D12" s="18">
        <v>94423.23</v>
      </c>
      <c r="E12" s="18">
        <f t="shared" si="0"/>
        <v>36860.719999999994</v>
      </c>
      <c r="G12" s="18">
        <v>2592.2199999999998</v>
      </c>
      <c r="H12" s="18">
        <v>3504.55</v>
      </c>
      <c r="I12" s="18">
        <f t="shared" si="1"/>
        <v>912.33000000000038</v>
      </c>
      <c r="K12" s="18">
        <f t="shared" si="2"/>
        <v>37773.049999999996</v>
      </c>
      <c r="L12" s="18">
        <f t="shared" si="3"/>
        <v>37773.049999999996</v>
      </c>
    </row>
    <row r="13" spans="1:13">
      <c r="A13" s="16">
        <f t="shared" si="4"/>
        <v>4</v>
      </c>
      <c r="B13" s="17">
        <v>5050</v>
      </c>
      <c r="C13" s="18">
        <v>1465.98</v>
      </c>
      <c r="D13" s="18">
        <v>2613.2399999999998</v>
      </c>
      <c r="E13" s="18">
        <f t="shared" si="0"/>
        <v>1147.2599999999998</v>
      </c>
      <c r="G13" s="18">
        <v>96.1</v>
      </c>
      <c r="H13" s="18">
        <v>129.58000000000001</v>
      </c>
      <c r="I13" s="18">
        <f t="shared" si="1"/>
        <v>33.480000000000018</v>
      </c>
      <c r="K13" s="18">
        <f t="shared" si="2"/>
        <v>1180.7399999999998</v>
      </c>
      <c r="L13" s="18">
        <f t="shared" si="3"/>
        <v>1180.7399999999998</v>
      </c>
    </row>
    <row r="14" spans="1:13">
      <c r="A14" s="16">
        <f t="shared" si="4"/>
        <v>5</v>
      </c>
      <c r="B14" s="17">
        <v>5060</v>
      </c>
      <c r="C14" s="18">
        <v>56339.81</v>
      </c>
      <c r="D14" s="18">
        <v>92505.14</v>
      </c>
      <c r="E14" s="18">
        <f t="shared" si="0"/>
        <v>36165.33</v>
      </c>
      <c r="G14" s="18">
        <v>2141.35</v>
      </c>
      <c r="H14" s="18">
        <v>2917.05</v>
      </c>
      <c r="I14" s="18">
        <f t="shared" si="1"/>
        <v>775.70000000000027</v>
      </c>
      <c r="K14" s="18">
        <f t="shared" si="2"/>
        <v>36941.03</v>
      </c>
      <c r="L14" s="18">
        <f t="shared" si="3"/>
        <v>36941.03</v>
      </c>
    </row>
    <row r="15" spans="1:13">
      <c r="A15" s="16">
        <f t="shared" si="4"/>
        <v>6</v>
      </c>
      <c r="B15" s="17">
        <v>5100</v>
      </c>
      <c r="C15" s="18">
        <v>41651.33</v>
      </c>
      <c r="D15" s="18">
        <v>67393.7</v>
      </c>
      <c r="E15" s="18">
        <f t="shared" si="0"/>
        <v>25742.369999999995</v>
      </c>
      <c r="G15" s="18">
        <v>1723.05</v>
      </c>
      <c r="H15" s="18">
        <v>2325.9299999999998</v>
      </c>
      <c r="I15" s="18">
        <f t="shared" si="1"/>
        <v>602.87999999999988</v>
      </c>
      <c r="K15" s="18">
        <f t="shared" si="2"/>
        <v>26345.249999999996</v>
      </c>
      <c r="L15" s="18">
        <f t="shared" si="3"/>
        <v>26345.249999999996</v>
      </c>
    </row>
    <row r="16" spans="1:13">
      <c r="A16" s="16">
        <f t="shared" si="4"/>
        <v>7</v>
      </c>
      <c r="B16" s="17">
        <v>5110</v>
      </c>
      <c r="C16" s="18">
        <v>4275.96</v>
      </c>
      <c r="D16" s="18">
        <v>7172.77</v>
      </c>
      <c r="E16" s="18">
        <f t="shared" si="0"/>
        <v>2896.8100000000004</v>
      </c>
      <c r="G16" s="18">
        <v>183.91</v>
      </c>
      <c r="H16" s="18">
        <v>245.71</v>
      </c>
      <c r="I16" s="18">
        <f t="shared" si="1"/>
        <v>61.800000000000011</v>
      </c>
      <c r="K16" s="18">
        <f t="shared" si="2"/>
        <v>2958.6100000000006</v>
      </c>
      <c r="L16" s="18">
        <f t="shared" si="3"/>
        <v>2958.6100000000006</v>
      </c>
    </row>
    <row r="17" spans="1:12">
      <c r="A17" s="16">
        <f t="shared" si="4"/>
        <v>8</v>
      </c>
      <c r="B17" s="17">
        <v>5120</v>
      </c>
      <c r="C17" s="18">
        <v>74463.53</v>
      </c>
      <c r="D17" s="18">
        <v>117275.04</v>
      </c>
      <c r="E17" s="18">
        <f t="shared" si="0"/>
        <v>42811.509999999995</v>
      </c>
      <c r="G17" s="18">
        <v>2846.71</v>
      </c>
      <c r="H17" s="18">
        <v>3872.1</v>
      </c>
      <c r="I17" s="18">
        <f t="shared" si="1"/>
        <v>1025.3899999999999</v>
      </c>
      <c r="K17" s="18">
        <f t="shared" si="2"/>
        <v>43836.899999999994</v>
      </c>
      <c r="L17" s="18">
        <f t="shared" si="3"/>
        <v>43836.899999999994</v>
      </c>
    </row>
    <row r="18" spans="1:12">
      <c r="A18" s="16">
        <f t="shared" si="4"/>
        <v>9</v>
      </c>
      <c r="B18" s="17">
        <v>5130</v>
      </c>
      <c r="C18" s="18">
        <v>27202.12</v>
      </c>
      <c r="D18" s="18">
        <v>45066.68</v>
      </c>
      <c r="E18" s="18">
        <f t="shared" si="0"/>
        <v>17864.560000000001</v>
      </c>
      <c r="G18" s="18">
        <v>1198.97</v>
      </c>
      <c r="H18" s="18">
        <v>1626.44</v>
      </c>
      <c r="I18" s="18">
        <f t="shared" si="1"/>
        <v>427.47</v>
      </c>
      <c r="K18" s="18">
        <f t="shared" si="2"/>
        <v>18292.030000000002</v>
      </c>
      <c r="L18" s="18">
        <f t="shared" si="3"/>
        <v>18292.030000000002</v>
      </c>
    </row>
    <row r="19" spans="1:12">
      <c r="A19" s="16">
        <f t="shared" si="4"/>
        <v>10</v>
      </c>
      <c r="B19" s="17">
        <v>5140</v>
      </c>
      <c r="C19" s="18">
        <v>7378.31</v>
      </c>
      <c r="D19" s="18">
        <v>11682.64</v>
      </c>
      <c r="E19" s="18">
        <f t="shared" si="0"/>
        <v>4304.329999999999</v>
      </c>
      <c r="G19" s="18">
        <v>237.7</v>
      </c>
      <c r="H19" s="18">
        <v>326.81</v>
      </c>
      <c r="I19" s="18">
        <f t="shared" si="1"/>
        <v>89.110000000000014</v>
      </c>
      <c r="K19" s="18">
        <f t="shared" si="2"/>
        <v>4393.4399999999987</v>
      </c>
      <c r="L19" s="18">
        <f t="shared" si="3"/>
        <v>4393.4399999999987</v>
      </c>
    </row>
    <row r="20" spans="1:12">
      <c r="A20" s="16">
        <f t="shared" si="4"/>
        <v>11</v>
      </c>
      <c r="B20" s="17">
        <v>5660</v>
      </c>
      <c r="C20" s="18">
        <v>962.95</v>
      </c>
      <c r="D20" s="18">
        <v>82.78</v>
      </c>
      <c r="E20" s="18">
        <f t="shared" si="0"/>
        <v>-880.17000000000007</v>
      </c>
      <c r="G20" s="18">
        <v>0</v>
      </c>
      <c r="H20" s="18">
        <v>0</v>
      </c>
      <c r="I20" s="18">
        <f t="shared" si="1"/>
        <v>0</v>
      </c>
      <c r="K20" s="18">
        <f t="shared" si="2"/>
        <v>-880.17000000000007</v>
      </c>
      <c r="L20" s="18">
        <f t="shared" si="3"/>
        <v>-880.17000000000007</v>
      </c>
    </row>
    <row r="21" spans="1:12">
      <c r="A21" s="16">
        <f t="shared" si="4"/>
        <v>12</v>
      </c>
      <c r="B21" s="17">
        <v>5710</v>
      </c>
      <c r="C21" s="18">
        <v>-305.89</v>
      </c>
      <c r="D21" s="18">
        <v>-0.45</v>
      </c>
      <c r="E21" s="18">
        <f t="shared" si="0"/>
        <v>305.44</v>
      </c>
      <c r="G21" s="18">
        <v>33.82</v>
      </c>
      <c r="H21" s="18">
        <v>45.73</v>
      </c>
      <c r="I21" s="18">
        <f t="shared" si="1"/>
        <v>11.909999999999997</v>
      </c>
      <c r="K21" s="18">
        <f t="shared" si="2"/>
        <v>317.35000000000002</v>
      </c>
      <c r="L21" s="18">
        <f t="shared" si="3"/>
        <v>317.35000000000002</v>
      </c>
    </row>
    <row r="22" spans="1:12">
      <c r="A22" s="16">
        <f t="shared" si="4"/>
        <v>13</v>
      </c>
      <c r="B22" s="17">
        <v>5800</v>
      </c>
      <c r="C22" s="18">
        <v>7105.64</v>
      </c>
      <c r="D22" s="18">
        <v>14556.27</v>
      </c>
      <c r="E22" s="18">
        <f t="shared" si="0"/>
        <v>7450.63</v>
      </c>
      <c r="G22" s="18">
        <v>1677.36</v>
      </c>
      <c r="H22" s="18">
        <v>2279.25</v>
      </c>
      <c r="I22" s="18">
        <f t="shared" si="1"/>
        <v>601.8900000000001</v>
      </c>
      <c r="K22" s="18">
        <f t="shared" si="2"/>
        <v>8052.52</v>
      </c>
      <c r="L22" s="18">
        <f t="shared" si="3"/>
        <v>8052.52</v>
      </c>
    </row>
    <row r="23" spans="1:12">
      <c r="A23" s="16">
        <f t="shared" si="4"/>
        <v>14</v>
      </c>
      <c r="B23" s="17">
        <v>5830</v>
      </c>
      <c r="C23" s="18">
        <v>23515.09</v>
      </c>
      <c r="D23" s="18">
        <v>48235.48</v>
      </c>
      <c r="E23" s="18">
        <f t="shared" si="0"/>
        <v>24720.390000000003</v>
      </c>
      <c r="G23" s="18">
        <v>4864.07</v>
      </c>
      <c r="H23" s="18">
        <v>6693.79</v>
      </c>
      <c r="I23" s="18">
        <f t="shared" si="1"/>
        <v>1829.7200000000003</v>
      </c>
      <c r="K23" s="18">
        <f t="shared" si="2"/>
        <v>26550.110000000004</v>
      </c>
      <c r="L23" s="18">
        <f t="shared" si="3"/>
        <v>26550.110000000004</v>
      </c>
    </row>
    <row r="24" spans="1:12">
      <c r="A24" s="16">
        <f t="shared" si="4"/>
        <v>15</v>
      </c>
      <c r="B24" s="17">
        <v>5840</v>
      </c>
      <c r="C24" s="18">
        <v>6.13</v>
      </c>
      <c r="D24" s="18">
        <v>5.27</v>
      </c>
      <c r="E24" s="18">
        <f t="shared" si="0"/>
        <v>-0.86000000000000032</v>
      </c>
      <c r="G24" s="18">
        <v>3.03</v>
      </c>
      <c r="H24" s="18">
        <v>4.5199999999999996</v>
      </c>
      <c r="I24" s="18">
        <f t="shared" si="1"/>
        <v>1.4899999999999998</v>
      </c>
      <c r="K24" s="18">
        <f t="shared" si="2"/>
        <v>0.62999999999999945</v>
      </c>
      <c r="L24" s="18">
        <f t="shared" si="3"/>
        <v>0.62999999999999945</v>
      </c>
    </row>
    <row r="25" spans="1:12">
      <c r="A25" s="16">
        <f t="shared" si="4"/>
        <v>16</v>
      </c>
      <c r="B25" s="17">
        <v>5850</v>
      </c>
      <c r="C25" s="18">
        <v>64.900000000000006</v>
      </c>
      <c r="D25" s="18">
        <v>132.1</v>
      </c>
      <c r="E25" s="18">
        <f t="shared" si="0"/>
        <v>67.199999999999989</v>
      </c>
      <c r="G25" s="18">
        <v>13.74</v>
      </c>
      <c r="H25" s="18">
        <v>20.46</v>
      </c>
      <c r="I25" s="18">
        <f t="shared" si="1"/>
        <v>6.7200000000000006</v>
      </c>
      <c r="K25" s="18">
        <f t="shared" si="2"/>
        <v>73.919999999999987</v>
      </c>
      <c r="L25" s="18">
        <f t="shared" si="3"/>
        <v>73.919999999999987</v>
      </c>
    </row>
    <row r="26" spans="1:12">
      <c r="A26" s="16">
        <f t="shared" si="4"/>
        <v>17</v>
      </c>
      <c r="B26" s="17">
        <v>5860</v>
      </c>
      <c r="C26" s="18">
        <v>33537.550000000003</v>
      </c>
      <c r="D26" s="18">
        <v>68836.38</v>
      </c>
      <c r="E26" s="18">
        <f t="shared" si="0"/>
        <v>35298.83</v>
      </c>
      <c r="G26" s="18">
        <v>8147.26</v>
      </c>
      <c r="H26" s="18">
        <v>11177.91</v>
      </c>
      <c r="I26" s="18">
        <f t="shared" si="1"/>
        <v>3030.6499999999996</v>
      </c>
      <c r="K26" s="18">
        <f t="shared" si="2"/>
        <v>38329.480000000003</v>
      </c>
      <c r="L26" s="18">
        <f t="shared" si="3"/>
        <v>38329.480000000003</v>
      </c>
    </row>
    <row r="27" spans="1:12">
      <c r="A27" s="16">
        <f t="shared" si="4"/>
        <v>18</v>
      </c>
      <c r="B27" s="17">
        <v>5870</v>
      </c>
      <c r="C27" s="18">
        <v>4203.21</v>
      </c>
      <c r="D27" s="18">
        <v>8556.15</v>
      </c>
      <c r="E27" s="18">
        <f t="shared" si="0"/>
        <v>4352.9399999999996</v>
      </c>
      <c r="G27" s="18">
        <v>1016.51</v>
      </c>
      <c r="H27" s="18">
        <v>1392.09</v>
      </c>
      <c r="I27" s="18">
        <f t="shared" si="1"/>
        <v>375.57999999999993</v>
      </c>
      <c r="K27" s="18">
        <f t="shared" si="2"/>
        <v>4728.5199999999995</v>
      </c>
      <c r="L27" s="18">
        <f t="shared" si="3"/>
        <v>4728.5199999999995</v>
      </c>
    </row>
    <row r="28" spans="1:12">
      <c r="A28" s="16">
        <f t="shared" si="4"/>
        <v>19</v>
      </c>
      <c r="B28" s="17">
        <v>5880</v>
      </c>
      <c r="C28" s="18">
        <v>68874.320000000007</v>
      </c>
      <c r="D28" s="18">
        <v>138108.70000000001</v>
      </c>
      <c r="E28" s="18">
        <f t="shared" si="0"/>
        <v>69234.38</v>
      </c>
      <c r="G28" s="18">
        <v>17510.39</v>
      </c>
      <c r="H28" s="18">
        <v>23508.03</v>
      </c>
      <c r="I28" s="18">
        <f t="shared" si="1"/>
        <v>5997.6399999999994</v>
      </c>
      <c r="K28" s="18">
        <f t="shared" si="2"/>
        <v>75232.02</v>
      </c>
      <c r="L28" s="18">
        <f t="shared" si="3"/>
        <v>75232.02</v>
      </c>
    </row>
    <row r="29" spans="1:12">
      <c r="A29" s="16">
        <f t="shared" si="4"/>
        <v>20</v>
      </c>
      <c r="B29" s="17">
        <v>5900</v>
      </c>
      <c r="C29" s="18">
        <v>973.6</v>
      </c>
      <c r="D29" s="18">
        <v>2045.64</v>
      </c>
      <c r="E29" s="18">
        <f t="shared" si="0"/>
        <v>1072.04</v>
      </c>
      <c r="G29" s="18">
        <v>248.38</v>
      </c>
      <c r="H29" s="18">
        <v>342.14</v>
      </c>
      <c r="I29" s="18">
        <f t="shared" si="1"/>
        <v>93.759999999999991</v>
      </c>
      <c r="K29" s="18">
        <f t="shared" si="2"/>
        <v>1165.8</v>
      </c>
      <c r="L29" s="18">
        <f t="shared" si="3"/>
        <v>1165.8</v>
      </c>
    </row>
    <row r="30" spans="1:12">
      <c r="A30" s="16">
        <f t="shared" si="4"/>
        <v>21</v>
      </c>
      <c r="B30" s="17">
        <v>5920</v>
      </c>
      <c r="C30" s="18">
        <v>75.180000000000007</v>
      </c>
      <c r="D30" s="18">
        <v>23.78</v>
      </c>
      <c r="E30" s="18">
        <f t="shared" si="0"/>
        <v>-51.400000000000006</v>
      </c>
      <c r="G30" s="18">
        <v>2.2999999999999998</v>
      </c>
      <c r="H30" s="18">
        <v>3.42</v>
      </c>
      <c r="I30" s="18">
        <f t="shared" si="1"/>
        <v>1.1200000000000001</v>
      </c>
      <c r="K30" s="18">
        <f t="shared" si="2"/>
        <v>-50.280000000000008</v>
      </c>
      <c r="L30" s="18">
        <f t="shared" si="3"/>
        <v>-50.280000000000008</v>
      </c>
    </row>
    <row r="31" spans="1:12">
      <c r="A31" s="16">
        <f t="shared" si="4"/>
        <v>22</v>
      </c>
      <c r="B31" s="17">
        <v>5930</v>
      </c>
      <c r="C31" s="18">
        <v>256225.43</v>
      </c>
      <c r="D31" s="18">
        <v>516329.76</v>
      </c>
      <c r="E31" s="18">
        <f t="shared" si="0"/>
        <v>260104.33000000002</v>
      </c>
      <c r="G31" s="18">
        <v>68567.740000000005</v>
      </c>
      <c r="H31" s="18">
        <v>92368.28</v>
      </c>
      <c r="I31" s="18">
        <f t="shared" si="1"/>
        <v>23800.539999999994</v>
      </c>
      <c r="K31" s="18">
        <f t="shared" si="2"/>
        <v>283904.87</v>
      </c>
      <c r="L31" s="18">
        <f t="shared" si="3"/>
        <v>283904.87</v>
      </c>
    </row>
    <row r="32" spans="1:12">
      <c r="A32" s="16">
        <f t="shared" si="4"/>
        <v>23</v>
      </c>
      <c r="B32" s="17">
        <v>5940</v>
      </c>
      <c r="C32" s="18">
        <v>121.65</v>
      </c>
      <c r="D32" s="18">
        <v>253.2</v>
      </c>
      <c r="E32" s="18">
        <f t="shared" si="0"/>
        <v>131.54999999999998</v>
      </c>
      <c r="G32" s="18">
        <v>62.22</v>
      </c>
      <c r="H32" s="18">
        <v>83.23</v>
      </c>
      <c r="I32" s="18">
        <f t="shared" si="1"/>
        <v>21.010000000000005</v>
      </c>
      <c r="K32" s="18">
        <f t="shared" si="2"/>
        <v>152.56</v>
      </c>
      <c r="L32" s="18">
        <f t="shared" si="3"/>
        <v>152.56</v>
      </c>
    </row>
    <row r="33" spans="1:12">
      <c r="A33" s="16">
        <f t="shared" si="4"/>
        <v>24</v>
      </c>
      <c r="B33" s="17">
        <v>5950</v>
      </c>
      <c r="C33" s="18">
        <v>88.23</v>
      </c>
      <c r="D33" s="18">
        <v>177.37</v>
      </c>
      <c r="E33" s="18">
        <f t="shared" si="0"/>
        <v>89.14</v>
      </c>
      <c r="G33" s="18">
        <v>18.010000000000002</v>
      </c>
      <c r="H33" s="18">
        <v>26.81</v>
      </c>
      <c r="I33" s="18">
        <f t="shared" si="1"/>
        <v>8.7999999999999972</v>
      </c>
      <c r="K33" s="18">
        <f t="shared" si="2"/>
        <v>97.94</v>
      </c>
      <c r="L33" s="18">
        <f t="shared" si="3"/>
        <v>97.94</v>
      </c>
    </row>
    <row r="34" spans="1:12">
      <c r="A34" s="16">
        <f t="shared" si="4"/>
        <v>25</v>
      </c>
      <c r="B34" s="17">
        <v>5960</v>
      </c>
      <c r="C34" s="18">
        <v>73.37</v>
      </c>
      <c r="D34" s="18">
        <v>151.86000000000001</v>
      </c>
      <c r="E34" s="18">
        <f t="shared" si="0"/>
        <v>78.490000000000009</v>
      </c>
      <c r="G34" s="18">
        <v>16.66</v>
      </c>
      <c r="H34" s="18">
        <v>23.85</v>
      </c>
      <c r="I34" s="18">
        <f t="shared" si="1"/>
        <v>7.1900000000000013</v>
      </c>
      <c r="K34" s="18">
        <f t="shared" si="2"/>
        <v>85.68</v>
      </c>
      <c r="L34" s="18">
        <f t="shared" si="3"/>
        <v>85.68</v>
      </c>
    </row>
    <row r="35" spans="1:12">
      <c r="A35" s="16">
        <f t="shared" si="4"/>
        <v>26</v>
      </c>
      <c r="B35" s="17">
        <v>5970</v>
      </c>
      <c r="C35" s="18">
        <v>1327.96</v>
      </c>
      <c r="D35" s="18">
        <v>2741.89</v>
      </c>
      <c r="E35" s="18">
        <f t="shared" si="0"/>
        <v>1413.9299999999998</v>
      </c>
      <c r="G35" s="18">
        <v>252.17</v>
      </c>
      <c r="H35" s="18">
        <v>361.05</v>
      </c>
      <c r="I35" s="18">
        <f t="shared" si="1"/>
        <v>108.88000000000002</v>
      </c>
      <c r="K35" s="18">
        <f t="shared" si="2"/>
        <v>1522.81</v>
      </c>
      <c r="L35" s="18">
        <f t="shared" si="3"/>
        <v>1522.81</v>
      </c>
    </row>
    <row r="36" spans="1:12">
      <c r="A36" s="16">
        <f t="shared" si="4"/>
        <v>27</v>
      </c>
      <c r="B36" s="17">
        <v>5980</v>
      </c>
      <c r="C36" s="18">
        <v>8.5</v>
      </c>
      <c r="D36" s="18">
        <v>17.98</v>
      </c>
      <c r="E36" s="18">
        <f t="shared" si="0"/>
        <v>9.48</v>
      </c>
      <c r="G36" s="18">
        <v>0.97</v>
      </c>
      <c r="H36" s="18">
        <v>1.45</v>
      </c>
      <c r="I36" s="18">
        <f t="shared" si="1"/>
        <v>0.48</v>
      </c>
      <c r="K36" s="18">
        <f t="shared" si="2"/>
        <v>9.9600000000000009</v>
      </c>
      <c r="L36" s="18">
        <f t="shared" si="3"/>
        <v>9.9600000000000009</v>
      </c>
    </row>
    <row r="37" spans="1:12">
      <c r="A37" s="16">
        <f t="shared" si="4"/>
        <v>28</v>
      </c>
      <c r="B37" s="17">
        <v>9020</v>
      </c>
      <c r="C37" s="18">
        <v>5831.51</v>
      </c>
      <c r="D37" s="18">
        <v>12148.76</v>
      </c>
      <c r="E37" s="18">
        <f t="shared" si="0"/>
        <v>6317.25</v>
      </c>
      <c r="G37" s="18">
        <v>1604.28</v>
      </c>
      <c r="H37" s="18">
        <v>2178.96</v>
      </c>
      <c r="I37" s="18">
        <f t="shared" si="1"/>
        <v>574.68000000000006</v>
      </c>
      <c r="K37" s="18">
        <f t="shared" si="2"/>
        <v>6891.93</v>
      </c>
      <c r="L37" s="18">
        <f t="shared" si="3"/>
        <v>6891.93</v>
      </c>
    </row>
    <row r="38" spans="1:12">
      <c r="A38" s="16">
        <f t="shared" si="4"/>
        <v>29</v>
      </c>
      <c r="B38" s="17">
        <v>9030</v>
      </c>
      <c r="C38" s="18">
        <v>19989.25</v>
      </c>
      <c r="D38" s="18">
        <v>41016.17</v>
      </c>
      <c r="E38" s="18">
        <f t="shared" si="0"/>
        <v>21026.92</v>
      </c>
      <c r="G38" s="18">
        <v>4566.16</v>
      </c>
      <c r="H38" s="18">
        <v>6171.32</v>
      </c>
      <c r="I38" s="18">
        <f t="shared" si="1"/>
        <v>1605.1599999999999</v>
      </c>
      <c r="K38" s="18">
        <f t="shared" si="2"/>
        <v>22632.079999999998</v>
      </c>
      <c r="L38" s="18">
        <f t="shared" si="3"/>
        <v>22632.079999999998</v>
      </c>
    </row>
    <row r="39" spans="1:12">
      <c r="A39" s="16">
        <f t="shared" si="4"/>
        <v>30</v>
      </c>
      <c r="B39" s="17">
        <v>9070</v>
      </c>
      <c r="C39" s="18">
        <v>492.92</v>
      </c>
      <c r="D39" s="18">
        <v>982.46</v>
      </c>
      <c r="E39" s="18">
        <f t="shared" si="0"/>
        <v>489.54</v>
      </c>
      <c r="G39" s="18">
        <v>123.51</v>
      </c>
      <c r="H39" s="18">
        <v>166.07</v>
      </c>
      <c r="I39" s="18">
        <f t="shared" si="1"/>
        <v>42.559999999999988</v>
      </c>
      <c r="K39" s="18">
        <f t="shared" si="2"/>
        <v>532.1</v>
      </c>
      <c r="L39" s="18">
        <f t="shared" si="3"/>
        <v>532.1</v>
      </c>
    </row>
    <row r="40" spans="1:12">
      <c r="A40" s="16">
        <f t="shared" si="4"/>
        <v>31</v>
      </c>
      <c r="B40" s="17">
        <v>9080</v>
      </c>
      <c r="C40" s="18">
        <v>6923.6</v>
      </c>
      <c r="D40" s="18">
        <v>14123.25</v>
      </c>
      <c r="E40" s="18">
        <f t="shared" si="0"/>
        <v>7199.65</v>
      </c>
      <c r="G40" s="18">
        <v>1861.63</v>
      </c>
      <c r="H40" s="18">
        <v>2518.61</v>
      </c>
      <c r="I40" s="18">
        <f t="shared" si="1"/>
        <v>656.98</v>
      </c>
      <c r="K40" s="18">
        <f t="shared" si="2"/>
        <v>7856.6299999999992</v>
      </c>
      <c r="L40" s="18">
        <f t="shared" si="3"/>
        <v>7856.6299999999992</v>
      </c>
    </row>
    <row r="41" spans="1:12">
      <c r="A41" s="16">
        <f t="shared" si="4"/>
        <v>32</v>
      </c>
      <c r="B41" s="17">
        <v>9200</v>
      </c>
      <c r="C41" s="18">
        <v>91415.19</v>
      </c>
      <c r="D41" s="18">
        <v>188411.03</v>
      </c>
      <c r="E41" s="18">
        <f t="shared" si="0"/>
        <v>96995.839999999997</v>
      </c>
      <c r="G41" s="18">
        <v>22969.34</v>
      </c>
      <c r="H41" s="18">
        <v>31034.58</v>
      </c>
      <c r="I41" s="18">
        <f t="shared" si="1"/>
        <v>8065.2400000000016</v>
      </c>
      <c r="K41" s="18">
        <f t="shared" si="2"/>
        <v>105061.08</v>
      </c>
      <c r="L41" s="18">
        <f t="shared" si="3"/>
        <v>105061.08</v>
      </c>
    </row>
    <row r="42" spans="1:12">
      <c r="A42" s="16">
        <f t="shared" si="4"/>
        <v>33</v>
      </c>
      <c r="B42" s="17">
        <v>9220</v>
      </c>
      <c r="C42" s="18">
        <v>-4.6500000000000004</v>
      </c>
      <c r="D42" s="18">
        <v>-9.92</v>
      </c>
      <c r="E42" s="18">
        <f t="shared" si="0"/>
        <v>-5.27</v>
      </c>
      <c r="G42" s="18">
        <v>0</v>
      </c>
      <c r="H42" s="18">
        <v>0</v>
      </c>
      <c r="I42" s="18">
        <f t="shared" si="1"/>
        <v>0</v>
      </c>
      <c r="K42" s="18">
        <f t="shared" si="2"/>
        <v>-5.27</v>
      </c>
      <c r="L42" s="18">
        <f t="shared" si="3"/>
        <v>-5.27</v>
      </c>
    </row>
    <row r="43" spans="1:12">
      <c r="A43" s="16">
        <f t="shared" si="4"/>
        <v>34</v>
      </c>
      <c r="B43" s="17">
        <v>9280</v>
      </c>
      <c r="C43" s="18">
        <v>4869.12</v>
      </c>
      <c r="D43" s="18">
        <v>9832.86</v>
      </c>
      <c r="E43" s="18">
        <f t="shared" si="0"/>
        <v>4963.7400000000007</v>
      </c>
      <c r="G43" s="18">
        <v>1062.33</v>
      </c>
      <c r="H43" s="18">
        <v>1432.46</v>
      </c>
      <c r="I43" s="18">
        <f t="shared" si="1"/>
        <v>370.13000000000011</v>
      </c>
      <c r="K43" s="18">
        <f t="shared" si="2"/>
        <v>5333.8700000000008</v>
      </c>
      <c r="L43" s="18">
        <f t="shared" si="3"/>
        <v>5333.8700000000008</v>
      </c>
    </row>
    <row r="44" spans="1:12">
      <c r="A44" s="16">
        <f t="shared" si="4"/>
        <v>35</v>
      </c>
      <c r="B44" s="17">
        <v>9302</v>
      </c>
      <c r="C44" s="18">
        <v>659.91</v>
      </c>
      <c r="D44" s="18">
        <v>299.56</v>
      </c>
      <c r="E44" s="18">
        <f t="shared" si="0"/>
        <v>-360.34999999999997</v>
      </c>
      <c r="G44" s="18">
        <v>58.74</v>
      </c>
      <c r="H44" s="18">
        <v>84.79</v>
      </c>
      <c r="I44" s="18">
        <f t="shared" si="1"/>
        <v>26.050000000000004</v>
      </c>
      <c r="K44" s="18">
        <f t="shared" si="2"/>
        <v>-334.29999999999995</v>
      </c>
      <c r="L44" s="18">
        <f t="shared" si="3"/>
        <v>-334.29999999999995</v>
      </c>
    </row>
    <row r="45" spans="1:12">
      <c r="A45" s="16">
        <f t="shared" si="4"/>
        <v>36</v>
      </c>
      <c r="B45" s="17">
        <v>9350</v>
      </c>
      <c r="C45" s="18">
        <v>23443.78</v>
      </c>
      <c r="D45" s="18">
        <v>581.09</v>
      </c>
      <c r="E45" s="18">
        <f t="shared" si="0"/>
        <v>-22862.69</v>
      </c>
      <c r="G45" s="18">
        <v>1805.34</v>
      </c>
      <c r="H45" s="18">
        <v>2486.92</v>
      </c>
      <c r="I45" s="18">
        <f t="shared" si="1"/>
        <v>681.58000000000015</v>
      </c>
      <c r="K45" s="18">
        <f t="shared" si="2"/>
        <v>-22181.109999999997</v>
      </c>
      <c r="L45" s="18">
        <f t="shared" si="3"/>
        <v>-22181.109999999997</v>
      </c>
    </row>
    <row r="46" spans="1:12" ht="13.5" thickBot="1">
      <c r="A46" s="16">
        <f t="shared" si="4"/>
        <v>37</v>
      </c>
      <c r="B46" s="19" t="s">
        <v>129</v>
      </c>
      <c r="C46" s="20">
        <f>SUM(C10:C45)</f>
        <v>978954.45000000007</v>
      </c>
      <c r="D46" s="20">
        <f>SUM(D10:D45)</f>
        <v>1761459.2100000007</v>
      </c>
      <c r="E46" s="20">
        <f>SUM(E10:E45)</f>
        <v>782504.76000000024</v>
      </c>
      <c r="G46" s="20">
        <f>SUM(G10:G45)</f>
        <v>153862.72999999998</v>
      </c>
      <c r="H46" s="20">
        <f>SUM(H10:H45)</f>
        <v>207954.17</v>
      </c>
      <c r="I46" s="20">
        <f>SUM(I10:I45)</f>
        <v>54091.439999999995</v>
      </c>
      <c r="K46" s="20">
        <f>SUM(K10:K45)</f>
        <v>836596.2</v>
      </c>
      <c r="L46" s="21">
        <f>SUM(L10:L45)</f>
        <v>836596.2</v>
      </c>
    </row>
    <row r="47" spans="1:12" ht="13.5" thickTop="1">
      <c r="G47" s="22"/>
    </row>
    <row r="48" spans="1:12">
      <c r="A48" s="16">
        <f>1+A46</f>
        <v>38</v>
      </c>
      <c r="B48" s="575" t="s">
        <v>130</v>
      </c>
      <c r="C48" s="576"/>
      <c r="D48" s="576"/>
      <c r="E48" s="576"/>
      <c r="G48" s="22"/>
    </row>
    <row r="49" spans="1:7">
      <c r="G49" s="22"/>
    </row>
    <row r="50" spans="1:7">
      <c r="A50" s="23" t="s">
        <v>131</v>
      </c>
      <c r="B50" s="24" t="s">
        <v>132</v>
      </c>
      <c r="G50" s="22"/>
    </row>
    <row r="51" spans="1:7">
      <c r="G51" s="22"/>
    </row>
    <row r="52" spans="1:7">
      <c r="G52" s="25"/>
    </row>
  </sheetData>
  <mergeCells count="15">
    <mergeCell ref="A7:A8"/>
    <mergeCell ref="B7:B8"/>
    <mergeCell ref="C7:C8"/>
    <mergeCell ref="D7:D8"/>
    <mergeCell ref="E7:E8"/>
    <mergeCell ref="K1:M1"/>
    <mergeCell ref="B2:L2"/>
    <mergeCell ref="B3:L3"/>
    <mergeCell ref="B4:L4"/>
    <mergeCell ref="B5:L5"/>
    <mergeCell ref="G7:G8"/>
    <mergeCell ref="H7:H8"/>
    <mergeCell ref="I7:I8"/>
    <mergeCell ref="K7:K8"/>
    <mergeCell ref="B48:E48"/>
  </mergeCells>
  <pageMargins left="0.75" right="0.75" top="1" bottom="1" header="0.5" footer="0.5"/>
  <pageSetup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7215E-CEC8-4F3A-ABE6-D1E00AECA328}">
  <sheetPr>
    <pageSetUpPr fitToPage="1"/>
  </sheetPr>
  <dimension ref="A1:G21"/>
  <sheetViews>
    <sheetView zoomScale="130" zoomScaleNormal="130" workbookViewId="0">
      <selection activeCell="G13" sqref="G13"/>
    </sheetView>
  </sheetViews>
  <sheetFormatPr defaultColWidth="8.7109375" defaultRowHeight="15"/>
  <cols>
    <col min="1" max="1" width="7.85546875" style="74" bestFit="1" customWidth="1"/>
    <col min="2" max="2" width="1.85546875" style="49" customWidth="1"/>
    <col min="3" max="3" width="43.5703125" style="49" bestFit="1" customWidth="1"/>
    <col min="4" max="4" width="1.85546875" style="49" customWidth="1"/>
    <col min="5" max="5" width="7.7109375" style="49" bestFit="1" customWidth="1"/>
    <col min="6" max="6" width="1.85546875" style="49" customWidth="1"/>
    <col min="7" max="7" width="12.140625" style="49" bestFit="1" customWidth="1"/>
    <col min="8" max="8" width="2" style="49" customWidth="1"/>
    <col min="9" max="9" width="12.5703125" style="49" bestFit="1" customWidth="1"/>
    <col min="10" max="16384" width="8.7109375" style="49"/>
  </cols>
  <sheetData>
    <row r="1" spans="1:7">
      <c r="A1" s="581" t="s">
        <v>1</v>
      </c>
      <c r="B1" s="581"/>
      <c r="C1" s="581"/>
      <c r="D1" s="581"/>
      <c r="E1" s="581"/>
      <c r="F1" s="581"/>
      <c r="G1" s="581"/>
    </row>
    <row r="2" spans="1:7">
      <c r="A2" s="581" t="s">
        <v>133</v>
      </c>
      <c r="B2" s="581"/>
      <c r="C2" s="581"/>
      <c r="D2" s="581"/>
      <c r="E2" s="581"/>
      <c r="F2" s="581"/>
      <c r="G2" s="581"/>
    </row>
    <row r="3" spans="1:7">
      <c r="A3" s="581" t="s">
        <v>74</v>
      </c>
      <c r="B3" s="581"/>
      <c r="C3" s="581"/>
      <c r="D3" s="581"/>
      <c r="E3" s="581"/>
      <c r="F3" s="581"/>
      <c r="G3" s="581"/>
    </row>
    <row r="4" spans="1:7">
      <c r="A4" s="581" t="s">
        <v>134</v>
      </c>
      <c r="B4" s="581"/>
      <c r="C4" s="581"/>
      <c r="D4" s="581"/>
      <c r="E4" s="581"/>
      <c r="F4" s="581"/>
      <c r="G4" s="581"/>
    </row>
    <row r="5" spans="1:7">
      <c r="A5" s="50"/>
      <c r="B5" s="51"/>
      <c r="C5" s="52"/>
      <c r="D5" s="52"/>
      <c r="E5" s="52"/>
      <c r="F5" s="52"/>
      <c r="G5" s="53"/>
    </row>
    <row r="6" spans="1:7" ht="25.5">
      <c r="A6" s="54" t="s">
        <v>76</v>
      </c>
      <c r="B6" s="54"/>
      <c r="C6" s="54" t="s">
        <v>3</v>
      </c>
      <c r="D6" s="54"/>
      <c r="E6" s="54" t="s">
        <v>112</v>
      </c>
      <c r="F6" s="54"/>
      <c r="G6" s="54" t="s">
        <v>135</v>
      </c>
    </row>
    <row r="7" spans="1:7">
      <c r="A7" s="55" t="s">
        <v>120</v>
      </c>
      <c r="B7" s="56"/>
      <c r="C7" s="55" t="s">
        <v>121</v>
      </c>
      <c r="D7" s="56"/>
      <c r="E7" s="55" t="s">
        <v>136</v>
      </c>
      <c r="F7" s="56"/>
      <c r="G7" s="55" t="s">
        <v>123</v>
      </c>
    </row>
    <row r="8" spans="1:7">
      <c r="A8" s="57"/>
      <c r="B8" s="58"/>
      <c r="C8" s="58"/>
      <c r="D8" s="58"/>
      <c r="E8" s="58"/>
      <c r="F8" s="58"/>
      <c r="G8" s="58"/>
    </row>
    <row r="9" spans="1:7">
      <c r="A9" s="57">
        <v>1</v>
      </c>
      <c r="B9" s="58"/>
      <c r="C9" s="58" t="s">
        <v>137</v>
      </c>
      <c r="D9" s="58"/>
      <c r="E9" s="57">
        <v>593</v>
      </c>
      <c r="F9" s="58"/>
      <c r="G9" s="59">
        <f>23043838-218442</f>
        <v>22825396</v>
      </c>
    </row>
    <row r="10" spans="1:7">
      <c r="A10" s="57"/>
      <c r="B10" s="58"/>
      <c r="C10" s="58"/>
      <c r="D10" s="58"/>
      <c r="E10" s="57"/>
      <c r="F10" s="58"/>
      <c r="G10" s="58"/>
    </row>
    <row r="11" spans="1:7">
      <c r="A11" s="57">
        <v>2</v>
      </c>
      <c r="B11" s="58"/>
      <c r="C11" s="60" t="s">
        <v>138</v>
      </c>
      <c r="D11" s="61"/>
      <c r="E11" s="62">
        <v>593</v>
      </c>
      <c r="F11" s="61"/>
      <c r="G11" s="63">
        <v>28985357.800000001</v>
      </c>
    </row>
    <row r="12" spans="1:7">
      <c r="A12" s="57"/>
      <c r="B12" s="58"/>
      <c r="C12" s="58"/>
      <c r="D12" s="58"/>
      <c r="E12" s="57"/>
      <c r="F12" s="58"/>
      <c r="G12" s="58"/>
    </row>
    <row r="13" spans="1:7">
      <c r="A13" s="64">
        <v>3</v>
      </c>
      <c r="B13" s="50"/>
      <c r="C13" s="58" t="s">
        <v>139</v>
      </c>
      <c r="D13" s="58"/>
      <c r="E13" s="57">
        <v>593</v>
      </c>
      <c r="F13" s="58"/>
      <c r="G13" s="65">
        <f>G9-G11</f>
        <v>-6159961.8000000007</v>
      </c>
    </row>
    <row r="14" spans="1:7">
      <c r="A14" s="64"/>
      <c r="B14" s="50"/>
      <c r="C14" s="66"/>
      <c r="D14" s="66"/>
      <c r="E14" s="67"/>
      <c r="F14" s="66"/>
      <c r="G14" s="68"/>
    </row>
    <row r="15" spans="1:7">
      <c r="A15" s="64">
        <v>4</v>
      </c>
      <c r="B15" s="50"/>
      <c r="C15" s="69" t="s">
        <v>140</v>
      </c>
      <c r="D15" s="69"/>
      <c r="E15" s="52"/>
      <c r="F15" s="69"/>
      <c r="G15" s="70">
        <v>1</v>
      </c>
    </row>
    <row r="16" spans="1:7">
      <c r="A16" s="64"/>
      <c r="B16" s="50"/>
      <c r="C16" s="71"/>
      <c r="D16" s="71"/>
      <c r="E16" s="72"/>
      <c r="F16" s="71"/>
      <c r="G16" s="53"/>
    </row>
    <row r="17" spans="1:7" ht="15.75" thickBot="1">
      <c r="A17" s="64">
        <v>5</v>
      </c>
      <c r="B17" s="50"/>
      <c r="C17" s="69" t="s">
        <v>141</v>
      </c>
      <c r="D17" s="69"/>
      <c r="E17" s="52" t="s">
        <v>142</v>
      </c>
      <c r="F17" s="69"/>
      <c r="G17" s="73">
        <f>G13*G15</f>
        <v>-6159961.8000000007</v>
      </c>
    </row>
    <row r="18" spans="1:7" ht="15.75" thickTop="1">
      <c r="A18" s="64"/>
      <c r="B18" s="50"/>
      <c r="C18" s="66"/>
      <c r="D18" s="66"/>
      <c r="E18" s="66"/>
      <c r="F18" s="66"/>
      <c r="G18" s="68"/>
    </row>
    <row r="19" spans="1:7">
      <c r="A19" s="57"/>
      <c r="B19" s="58"/>
      <c r="C19" s="58"/>
      <c r="D19" s="58"/>
      <c r="E19" s="58"/>
      <c r="F19" s="58"/>
      <c r="G19" s="58"/>
    </row>
    <row r="20" spans="1:7">
      <c r="A20" s="57" t="s">
        <v>131</v>
      </c>
      <c r="B20" s="58"/>
      <c r="C20" s="58" t="s">
        <v>143</v>
      </c>
      <c r="D20" s="58"/>
      <c r="E20" s="58"/>
      <c r="F20" s="58"/>
      <c r="G20" s="58"/>
    </row>
    <row r="21" spans="1:7">
      <c r="A21" s="57"/>
      <c r="B21" s="58"/>
      <c r="C21" s="58"/>
      <c r="D21" s="58"/>
      <c r="E21" s="58"/>
      <c r="F21" s="58"/>
      <c r="G21" s="58"/>
    </row>
  </sheetData>
  <mergeCells count="4">
    <mergeCell ref="A1:G1"/>
    <mergeCell ref="A2:G2"/>
    <mergeCell ref="A3:G3"/>
    <mergeCell ref="A4:G4"/>
  </mergeCells>
  <pageMargins left="0.7" right="0.7" top="0.75" bottom="0.75" header="0.3" footer="0.3"/>
  <pageSetup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D9340-5FF9-4376-B5DF-8A2B5E15A81D}">
  <dimension ref="A1:T943"/>
  <sheetViews>
    <sheetView showGridLines="0" view="pageBreakPreview" zoomScaleNormal="100" zoomScaleSheetLayoutView="100" workbookViewId="0">
      <pane xSplit="3" ySplit="4" topLeftCell="D5" activePane="bottomRight" state="frozen"/>
      <selection pane="topRight" activeCell="D1" sqref="D1"/>
      <selection pane="bottomLeft" activeCell="A5" sqref="A5"/>
      <selection pane="bottomRight" activeCell="E407" sqref="E407"/>
    </sheetView>
  </sheetViews>
  <sheetFormatPr defaultColWidth="9.140625" defaultRowHeight="14.1" customHeight="1"/>
  <cols>
    <col min="1" max="1" width="4.7109375" style="75" bestFit="1" customWidth="1"/>
    <col min="2" max="2" width="74.7109375" style="76" customWidth="1"/>
    <col min="3" max="3" width="28.7109375" style="76" customWidth="1"/>
    <col min="4" max="4" width="19" style="76" customWidth="1"/>
    <col min="5" max="5" width="17.140625" style="76" customWidth="1"/>
    <col min="6" max="6" width="15" style="76" customWidth="1"/>
    <col min="7" max="7" width="18" style="76" customWidth="1"/>
    <col min="8" max="8" width="10.7109375" style="76" customWidth="1"/>
    <col min="9" max="9" width="22.140625" style="309" customWidth="1"/>
    <col min="10" max="10" width="26" style="76" customWidth="1"/>
    <col min="11" max="11" width="38.7109375" style="76" customWidth="1"/>
    <col min="12" max="12" width="74" style="75" customWidth="1"/>
    <col min="13" max="13" width="22.28515625" style="76" customWidth="1"/>
    <col min="14" max="16384" width="9.140625" style="76"/>
  </cols>
  <sheetData>
    <row r="1" spans="1:12" ht="14.1" customHeight="1">
      <c r="F1" s="80">
        <f>F2-D2</f>
        <v>-5145742.4900000012</v>
      </c>
    </row>
    <row r="2" spans="1:12" ht="14.1" customHeight="1">
      <c r="C2" s="75" t="s">
        <v>144</v>
      </c>
      <c r="D2" s="310">
        <f>D390+D392</f>
        <v>29677.80799999804</v>
      </c>
      <c r="E2" s="75"/>
      <c r="F2" s="310">
        <f>F390+F392</f>
        <v>-5116064.6820000028</v>
      </c>
      <c r="K2" s="80"/>
    </row>
    <row r="3" spans="1:12" ht="14.1" customHeight="1">
      <c r="A3" s="75" t="s">
        <v>145</v>
      </c>
      <c r="B3" s="75"/>
      <c r="C3" s="75" t="s">
        <v>146</v>
      </c>
      <c r="D3" s="75" t="s">
        <v>147</v>
      </c>
      <c r="E3" s="75" t="s">
        <v>148</v>
      </c>
      <c r="F3" s="75" t="s">
        <v>149</v>
      </c>
      <c r="G3" s="310" t="s">
        <v>150</v>
      </c>
      <c r="H3" s="310"/>
      <c r="I3" s="310"/>
      <c r="J3" s="311" t="s">
        <v>151</v>
      </c>
      <c r="K3" s="311"/>
      <c r="L3" s="310"/>
    </row>
    <row r="4" spans="1:12" ht="26.25" customHeight="1">
      <c r="A4" s="312" t="s">
        <v>152</v>
      </c>
      <c r="B4" s="312" t="s">
        <v>3</v>
      </c>
      <c r="C4" s="313" t="s">
        <v>153</v>
      </c>
      <c r="D4" s="313" t="s">
        <v>154</v>
      </c>
      <c r="E4" s="313" t="s">
        <v>155</v>
      </c>
      <c r="F4" s="313" t="s">
        <v>156</v>
      </c>
      <c r="G4" s="313" t="s">
        <v>157</v>
      </c>
      <c r="H4" s="314"/>
      <c r="I4" s="313" t="s">
        <v>158</v>
      </c>
      <c r="J4" s="315" t="s">
        <v>159</v>
      </c>
      <c r="K4" s="315"/>
      <c r="L4" s="316" t="s">
        <v>160</v>
      </c>
    </row>
    <row r="5" spans="1:12" ht="14.1" customHeight="1">
      <c r="B5" s="317" t="s">
        <v>161</v>
      </c>
      <c r="C5" s="317" t="s">
        <v>162</v>
      </c>
      <c r="D5" s="317" t="s">
        <v>163</v>
      </c>
      <c r="E5" s="318" t="s">
        <v>164</v>
      </c>
      <c r="F5" s="318" t="s">
        <v>165</v>
      </c>
      <c r="G5" s="318" t="s">
        <v>166</v>
      </c>
      <c r="H5" s="319"/>
      <c r="I5" s="318"/>
    </row>
    <row r="6" spans="1:12" ht="13.5" customHeight="1">
      <c r="C6" s="80"/>
      <c r="E6" s="320"/>
      <c r="H6" s="80"/>
      <c r="I6" s="76"/>
    </row>
    <row r="7" spans="1:12" ht="14.1" customHeight="1">
      <c r="A7" s="75">
        <v>1</v>
      </c>
      <c r="B7" s="76" t="s">
        <v>167</v>
      </c>
      <c r="C7" s="87">
        <f t="shared" ref="C7:F9" si="0">C267</f>
        <v>650666343.95999992</v>
      </c>
      <c r="D7" s="87">
        <f t="shared" si="0"/>
        <v>0</v>
      </c>
      <c r="E7" s="87">
        <f t="shared" si="0"/>
        <v>650666343.95999992</v>
      </c>
      <c r="F7" s="87">
        <f t="shared" si="0"/>
        <v>-53897239.240777612</v>
      </c>
      <c r="G7" s="87">
        <f>E7+F7</f>
        <v>596769104.71922231</v>
      </c>
      <c r="H7" s="87"/>
      <c r="I7" s="321"/>
    </row>
    <row r="8" spans="1:12" ht="14.1" customHeight="1">
      <c r="A8" s="75">
        <f>A7+1</f>
        <v>2</v>
      </c>
      <c r="B8" s="89" t="s">
        <v>168</v>
      </c>
      <c r="C8" s="87">
        <f t="shared" si="0"/>
        <v>5664875.54</v>
      </c>
      <c r="D8" s="87">
        <f t="shared" si="0"/>
        <v>5664875.54</v>
      </c>
      <c r="E8" s="87">
        <f t="shared" si="0"/>
        <v>0</v>
      </c>
      <c r="F8" s="87">
        <f t="shared" si="0"/>
        <v>0</v>
      </c>
      <c r="G8" s="87">
        <f>E8+F8</f>
        <v>0</v>
      </c>
      <c r="H8" s="87"/>
      <c r="I8" s="321"/>
    </row>
    <row r="9" spans="1:12" ht="14.1" customHeight="1">
      <c r="A9" s="75">
        <f>A8+1</f>
        <v>3</v>
      </c>
      <c r="B9" s="76" t="s">
        <v>169</v>
      </c>
      <c r="C9" s="87">
        <f t="shared" si="0"/>
        <v>-6574896</v>
      </c>
      <c r="D9" s="87">
        <f t="shared" si="0"/>
        <v>-6574896</v>
      </c>
      <c r="E9" s="87">
        <f t="shared" si="0"/>
        <v>0</v>
      </c>
      <c r="F9" s="87">
        <f t="shared" si="0"/>
        <v>0</v>
      </c>
      <c r="G9" s="87">
        <f>E9+F9</f>
        <v>0</v>
      </c>
      <c r="H9" s="87"/>
      <c r="I9" s="321"/>
    </row>
    <row r="10" spans="1:12" ht="14.1" customHeight="1">
      <c r="A10" s="75">
        <f>+A9+1</f>
        <v>4</v>
      </c>
      <c r="B10" s="76" t="s">
        <v>170</v>
      </c>
      <c r="C10" s="87">
        <f>C304</f>
        <v>55081909.05999998</v>
      </c>
      <c r="D10" s="87">
        <f>D304</f>
        <v>6049273.4599999711</v>
      </c>
      <c r="E10" s="87">
        <f>E304</f>
        <v>49032635.710000008</v>
      </c>
      <c r="F10" s="87">
        <f>F304</f>
        <v>-2939757.4900000286</v>
      </c>
      <c r="G10" s="87">
        <f>E10+F10</f>
        <v>46092878.219999976</v>
      </c>
      <c r="H10" s="87"/>
      <c r="I10" s="321"/>
    </row>
    <row r="11" spans="1:12" ht="14.1" customHeight="1">
      <c r="A11" s="75">
        <f t="shared" ref="A11:A74" si="1">+A10+1</f>
        <v>5</v>
      </c>
      <c r="B11" s="90" t="s">
        <v>171</v>
      </c>
      <c r="C11" s="92">
        <f>C275</f>
        <v>22603522.400000002</v>
      </c>
      <c r="D11" s="92">
        <f>D275</f>
        <v>316449.31359999999</v>
      </c>
      <c r="E11" s="92">
        <f>E275</f>
        <v>22287073.086400002</v>
      </c>
      <c r="F11" s="92">
        <f>F275</f>
        <v>316449.31359999999</v>
      </c>
      <c r="G11" s="92">
        <f>E11+F11</f>
        <v>22603522.400000002</v>
      </c>
      <c r="H11" s="87"/>
      <c r="I11" s="321"/>
    </row>
    <row r="12" spans="1:12" s="95" customFormat="1" ht="14.1" customHeight="1">
      <c r="A12" s="75">
        <f t="shared" si="1"/>
        <v>6</v>
      </c>
      <c r="B12" s="93" t="s">
        <v>172</v>
      </c>
      <c r="C12" s="94">
        <f>SUM(C7:C11)</f>
        <v>727441754.9599998</v>
      </c>
      <c r="D12" s="94">
        <f>SUM(D7:D11)</f>
        <v>5455702.3135999711</v>
      </c>
      <c r="E12" s="94">
        <f>SUM(E7:E11)</f>
        <v>721986052.75639999</v>
      </c>
      <c r="F12" s="94">
        <f>SUM(F7:F11)</f>
        <v>-56520547.417177647</v>
      </c>
      <c r="G12" s="94">
        <f>SUM(G7:G11)</f>
        <v>665465505.33922231</v>
      </c>
      <c r="H12" s="94"/>
      <c r="I12" s="94"/>
    </row>
    <row r="13" spans="1:12" s="95" customFormat="1" ht="14.1" customHeight="1">
      <c r="A13" s="75">
        <f t="shared" si="1"/>
        <v>7</v>
      </c>
      <c r="B13" s="96"/>
      <c r="C13" s="94"/>
      <c r="D13" s="94"/>
      <c r="E13" s="322"/>
      <c r="F13" s="87"/>
      <c r="G13" s="323"/>
      <c r="H13" s="94"/>
      <c r="I13" s="323"/>
    </row>
    <row r="14" spans="1:12" ht="14.1" customHeight="1">
      <c r="A14" s="75">
        <f t="shared" si="1"/>
        <v>8</v>
      </c>
      <c r="B14" s="81" t="s">
        <v>173</v>
      </c>
      <c r="C14" s="87"/>
      <c r="D14" s="87"/>
      <c r="E14" s="324"/>
      <c r="F14" s="87"/>
      <c r="G14" s="321"/>
      <c r="H14" s="87"/>
      <c r="I14" s="321"/>
    </row>
    <row r="15" spans="1:12" ht="14.1" customHeight="1">
      <c r="A15" s="75">
        <f t="shared" si="1"/>
        <v>9</v>
      </c>
      <c r="B15" s="76" t="s">
        <v>174</v>
      </c>
      <c r="C15" s="87">
        <f>C345</f>
        <v>303748627.52999997</v>
      </c>
      <c r="D15" s="87">
        <f>D345</f>
        <v>4318076.5300000077</v>
      </c>
      <c r="E15" s="87">
        <f>E345</f>
        <v>299430551</v>
      </c>
      <c r="F15" s="87">
        <f>F345</f>
        <v>-41409833.259649344</v>
      </c>
      <c r="G15" s="87">
        <f t="shared" ref="G15:G22" si="2">E15+F15</f>
        <v>258020717.74035066</v>
      </c>
      <c r="H15" s="87"/>
      <c r="I15" s="321"/>
    </row>
    <row r="16" spans="1:12" ht="14.1" customHeight="1">
      <c r="A16" s="75">
        <f t="shared" si="1"/>
        <v>10</v>
      </c>
      <c r="B16" s="76" t="s">
        <v>175</v>
      </c>
      <c r="C16" s="87">
        <f>C372</f>
        <v>96971566.600000024</v>
      </c>
      <c r="D16" s="87">
        <f>D372</f>
        <v>-542314.39999997732</v>
      </c>
      <c r="E16" s="87">
        <f>E372</f>
        <v>97513881</v>
      </c>
      <c r="F16" s="87">
        <f>F372</f>
        <v>1762451.7700000231</v>
      </c>
      <c r="G16" s="87">
        <f t="shared" si="2"/>
        <v>99276332.770000026</v>
      </c>
      <c r="H16" s="87"/>
      <c r="I16" s="321"/>
    </row>
    <row r="17" spans="1:11" ht="14.1" customHeight="1">
      <c r="A17" s="75">
        <f t="shared" si="1"/>
        <v>11</v>
      </c>
      <c r="B17" s="76" t="s">
        <v>176</v>
      </c>
      <c r="C17" s="87">
        <f>C400</f>
        <v>42022818.206999995</v>
      </c>
      <c r="D17" s="87">
        <f>D400</f>
        <v>42023.206999998336</v>
      </c>
      <c r="E17" s="87">
        <f>E400</f>
        <v>41980795</v>
      </c>
      <c r="F17" s="87">
        <f>F400</f>
        <v>-6810104.4930000026</v>
      </c>
      <c r="G17" s="87">
        <f t="shared" si="2"/>
        <v>35170690.506999999</v>
      </c>
      <c r="H17" s="87"/>
      <c r="I17" s="321"/>
    </row>
    <row r="18" spans="1:11" ht="14.1" customHeight="1">
      <c r="A18" s="75">
        <f t="shared" si="1"/>
        <v>12</v>
      </c>
      <c r="B18" s="76" t="s">
        <v>177</v>
      </c>
      <c r="C18" s="87">
        <f>C409</f>
        <v>5010286.08</v>
      </c>
      <c r="D18" s="87">
        <f>D409</f>
        <v>61.080000000136351</v>
      </c>
      <c r="E18" s="87">
        <f>E409</f>
        <v>5010225</v>
      </c>
      <c r="F18" s="87">
        <f>F409</f>
        <v>109613.42000000011</v>
      </c>
      <c r="G18" s="87">
        <f t="shared" si="2"/>
        <v>5119838.42</v>
      </c>
      <c r="H18" s="87"/>
      <c r="I18" s="321"/>
      <c r="J18" s="80"/>
      <c r="K18" s="80"/>
    </row>
    <row r="19" spans="1:11" ht="14.1" customHeight="1">
      <c r="A19" s="75">
        <f t="shared" si="1"/>
        <v>13</v>
      </c>
      <c r="B19" s="76" t="s">
        <v>178</v>
      </c>
      <c r="C19" s="87">
        <f>C423</f>
        <v>9329.2200000000012</v>
      </c>
      <c r="D19" s="87">
        <f>D423</f>
        <v>0.11421320356203069</v>
      </c>
      <c r="E19" s="87">
        <f>E423</f>
        <v>9329.1057867964391</v>
      </c>
      <c r="F19" s="87">
        <f>F423</f>
        <v>0</v>
      </c>
      <c r="G19" s="87">
        <f t="shared" si="2"/>
        <v>9329.1057867964391</v>
      </c>
      <c r="H19" s="87"/>
      <c r="I19" s="321"/>
      <c r="J19" s="80"/>
      <c r="K19" s="80"/>
    </row>
    <row r="20" spans="1:11" ht="14.1" customHeight="1">
      <c r="A20" s="75">
        <f t="shared" si="1"/>
        <v>14</v>
      </c>
      <c r="B20" s="76" t="s">
        <v>179</v>
      </c>
      <c r="C20" s="87">
        <f>C416</f>
        <v>1776406.0100000002</v>
      </c>
      <c r="D20" s="87">
        <f>D416</f>
        <v>4.0100000000384171</v>
      </c>
      <c r="E20" s="87">
        <f>E416</f>
        <v>1776402</v>
      </c>
      <c r="F20" s="87">
        <f>F416</f>
        <v>-1495547.2999999998</v>
      </c>
      <c r="G20" s="87">
        <f t="shared" si="2"/>
        <v>280854.70000000019</v>
      </c>
      <c r="H20" s="87"/>
      <c r="I20" s="321"/>
      <c r="J20" s="80"/>
      <c r="K20" s="80"/>
    </row>
    <row r="21" spans="1:11" ht="14.1" customHeight="1">
      <c r="A21" s="75">
        <f t="shared" si="1"/>
        <v>15</v>
      </c>
      <c r="B21" s="76" t="s">
        <v>180</v>
      </c>
      <c r="C21" s="87">
        <f>C444</f>
        <v>27641391.560000002</v>
      </c>
      <c r="D21" s="87">
        <f>D444</f>
        <v>357565.14239999978</v>
      </c>
      <c r="E21" s="87">
        <f>E444</f>
        <v>27283826.417599998</v>
      </c>
      <c r="F21" s="87">
        <f>F444</f>
        <v>4293253.153633601</v>
      </c>
      <c r="G21" s="87">
        <f t="shared" si="2"/>
        <v>31577079.5712336</v>
      </c>
      <c r="H21" s="87"/>
      <c r="I21" s="321"/>
      <c r="J21" s="80"/>
      <c r="K21" s="80"/>
    </row>
    <row r="22" spans="1:11" ht="14.1" customHeight="1">
      <c r="A22" s="75">
        <f t="shared" si="1"/>
        <v>16</v>
      </c>
      <c r="B22" s="90" t="s">
        <v>181</v>
      </c>
      <c r="C22" s="92">
        <v>0</v>
      </c>
      <c r="D22" s="92">
        <v>0</v>
      </c>
      <c r="E22" s="92">
        <v>0</v>
      </c>
      <c r="F22" s="92">
        <v>0</v>
      </c>
      <c r="G22" s="92">
        <f t="shared" si="2"/>
        <v>0</v>
      </c>
      <c r="H22" s="87"/>
      <c r="I22" s="321"/>
      <c r="J22" s="80"/>
      <c r="K22" s="80"/>
    </row>
    <row r="23" spans="1:11" s="95" customFormat="1" ht="14.1" customHeight="1">
      <c r="A23" s="75">
        <f t="shared" si="1"/>
        <v>17</v>
      </c>
      <c r="B23" s="93" t="s">
        <v>182</v>
      </c>
      <c r="C23" s="94">
        <f>SUM(C15:C22)</f>
        <v>477180425.20700002</v>
      </c>
      <c r="D23" s="94">
        <f>SUM(D15:D22)</f>
        <v>4175415.6836132328</v>
      </c>
      <c r="E23" s="94">
        <f>SUM(E15:E22)</f>
        <v>473005009.52338678</v>
      </c>
      <c r="F23" s="94">
        <f>SUM(F15:F22)</f>
        <v>-43550166.709015712</v>
      </c>
      <c r="G23" s="94">
        <f>SUM(G15:G22)</f>
        <v>429454842.81437111</v>
      </c>
      <c r="H23" s="94"/>
      <c r="I23" s="94"/>
      <c r="J23" s="80"/>
      <c r="K23" s="80"/>
    </row>
    <row r="24" spans="1:11" s="95" customFormat="1" ht="14.1" customHeight="1">
      <c r="A24" s="75">
        <f t="shared" si="1"/>
        <v>18</v>
      </c>
      <c r="B24" s="96"/>
      <c r="C24" s="94"/>
      <c r="D24" s="94"/>
      <c r="E24" s="94"/>
      <c r="F24" s="87"/>
      <c r="G24" s="323"/>
      <c r="H24" s="94"/>
      <c r="I24" s="323"/>
      <c r="J24" s="80"/>
      <c r="K24" s="80"/>
    </row>
    <row r="25" spans="1:11" ht="14.1" customHeight="1">
      <c r="A25" s="75">
        <f t="shared" si="1"/>
        <v>19</v>
      </c>
      <c r="B25" s="76" t="s">
        <v>183</v>
      </c>
      <c r="C25" s="87">
        <f>C479</f>
        <v>125983659.73999999</v>
      </c>
      <c r="D25" s="87">
        <f>D479</f>
        <v>1381277.7399999979</v>
      </c>
      <c r="E25" s="87">
        <f>E479</f>
        <v>124602382</v>
      </c>
      <c r="F25" s="87">
        <f>F479</f>
        <v>-8351712.5660330011</v>
      </c>
      <c r="G25" s="87">
        <f>E25+F25</f>
        <v>116250669.43396699</v>
      </c>
      <c r="H25" s="87"/>
      <c r="I25" s="321"/>
      <c r="J25" s="80"/>
      <c r="K25" s="80"/>
    </row>
    <row r="26" spans="1:11" ht="14.1" customHeight="1">
      <c r="A26" s="75">
        <f t="shared" si="1"/>
        <v>20</v>
      </c>
      <c r="B26" s="76" t="s">
        <v>184</v>
      </c>
      <c r="C26" s="87">
        <f>C498</f>
        <v>21435609.890000001</v>
      </c>
      <c r="D26" s="87">
        <f>D498</f>
        <v>376559.890000001</v>
      </c>
      <c r="E26" s="87">
        <f>E498</f>
        <v>21059050</v>
      </c>
      <c r="F26" s="87">
        <f>F498</f>
        <v>5888215.6612645462</v>
      </c>
      <c r="G26" s="87">
        <f>E26+F26</f>
        <v>26947265.661264546</v>
      </c>
      <c r="H26" s="87"/>
      <c r="I26" s="321"/>
      <c r="J26" s="80"/>
      <c r="K26" s="80"/>
    </row>
    <row r="27" spans="1:11" ht="14.1" customHeight="1">
      <c r="A27" s="75">
        <f t="shared" si="1"/>
        <v>21</v>
      </c>
      <c r="B27" s="76" t="s">
        <v>185</v>
      </c>
      <c r="C27" s="87">
        <f>C521</f>
        <v>-2143873.2999999998</v>
      </c>
      <c r="D27" s="87">
        <f>D521</f>
        <v>-886776.29999999981</v>
      </c>
      <c r="E27" s="87">
        <f>E521</f>
        <v>-1257097</v>
      </c>
      <c r="F27" s="87">
        <f>F521</f>
        <v>-140918.22003622132</v>
      </c>
      <c r="G27" s="87">
        <f>E27+F27</f>
        <v>-1398015.2200362212</v>
      </c>
      <c r="H27" s="87"/>
      <c r="I27" s="321"/>
      <c r="J27" s="80"/>
      <c r="K27" s="80"/>
    </row>
    <row r="28" spans="1:11" ht="14.1" customHeight="1">
      <c r="A28" s="75">
        <f t="shared" si="1"/>
        <v>22</v>
      </c>
      <c r="B28" s="76" t="s">
        <v>186</v>
      </c>
      <c r="C28" s="87">
        <f>C506</f>
        <v>1839861.6099999999</v>
      </c>
      <c r="D28" s="87">
        <f>D506</f>
        <v>-0.39000000013038516</v>
      </c>
      <c r="E28" s="87">
        <f>E506</f>
        <v>1839862</v>
      </c>
      <c r="F28" s="87">
        <f>F506</f>
        <v>-243878.88847500016</v>
      </c>
      <c r="G28" s="87">
        <f>E28+F28</f>
        <v>1595983.1115249998</v>
      </c>
      <c r="H28" s="87"/>
      <c r="I28" s="321"/>
      <c r="J28" s="80"/>
      <c r="K28" s="80"/>
    </row>
    <row r="29" spans="1:11" ht="14.1" customHeight="1">
      <c r="A29" s="75">
        <f t="shared" si="1"/>
        <v>23</v>
      </c>
      <c r="B29" s="90" t="s">
        <v>187</v>
      </c>
      <c r="C29" s="92">
        <f>C517</f>
        <v>12288351.789999999</v>
      </c>
      <c r="D29" s="92">
        <f>D517</f>
        <v>5266555.17</v>
      </c>
      <c r="E29" s="92">
        <f>E517</f>
        <v>7021796.6200000001</v>
      </c>
      <c r="F29" s="92">
        <f>F517</f>
        <v>153068.90000000008</v>
      </c>
      <c r="G29" s="92">
        <f>E29+F29</f>
        <v>7174865.5200000005</v>
      </c>
      <c r="H29" s="87"/>
      <c r="I29" s="321"/>
      <c r="J29" s="80"/>
      <c r="K29" s="80"/>
    </row>
    <row r="30" spans="1:11" s="95" customFormat="1" ht="14.1" customHeight="1">
      <c r="A30" s="75">
        <f t="shared" si="1"/>
        <v>24</v>
      </c>
      <c r="B30" s="93" t="s">
        <v>188</v>
      </c>
      <c r="C30" s="94">
        <f>SUM(C12)-SUM(C23:C29)</f>
        <v>90857720.022999763</v>
      </c>
      <c r="D30" s="94">
        <f>SUM(D12)-SUM(D23:D29)</f>
        <v>-4857329.4800132597</v>
      </c>
      <c r="E30" s="94">
        <f>SUM(E12)-SUM(E23:E29)</f>
        <v>95715049.613013268</v>
      </c>
      <c r="F30" s="94">
        <f>SUM(F12)-SUM(F23:F29)</f>
        <v>-10275155.594882257</v>
      </c>
      <c r="G30" s="94">
        <f>SUM(G12)-SUM(G23:G29)</f>
        <v>85439894.018130898</v>
      </c>
      <c r="H30" s="94"/>
      <c r="I30" s="325"/>
      <c r="J30" s="80"/>
      <c r="K30" s="80"/>
    </row>
    <row r="31" spans="1:11" s="95" customFormat="1" ht="14.1" customHeight="1">
      <c r="A31" s="75">
        <f t="shared" si="1"/>
        <v>25</v>
      </c>
      <c r="B31" s="96"/>
      <c r="C31" s="94"/>
      <c r="D31" s="94"/>
      <c r="E31" s="94">
        <f>E30+E27</f>
        <v>94457952.613013268</v>
      </c>
      <c r="F31" s="94">
        <f>F30+F27</f>
        <v>-10416073.814918479</v>
      </c>
      <c r="G31" s="94">
        <f>G30+G27</f>
        <v>84041878.798094675</v>
      </c>
      <c r="H31" s="94"/>
      <c r="I31" s="323"/>
      <c r="J31" s="80"/>
      <c r="K31" s="80"/>
    </row>
    <row r="32" spans="1:11" ht="14.1" customHeight="1">
      <c r="A32" s="75">
        <f t="shared" si="1"/>
        <v>26</v>
      </c>
      <c r="B32" s="81" t="s">
        <v>189</v>
      </c>
      <c r="C32" s="87"/>
      <c r="D32" s="87"/>
      <c r="E32" s="87"/>
      <c r="F32" s="326"/>
      <c r="G32" s="321"/>
      <c r="H32" s="87"/>
      <c r="I32" s="321"/>
      <c r="J32" s="80"/>
      <c r="K32" s="80"/>
    </row>
    <row r="33" spans="1:11" ht="14.1" customHeight="1">
      <c r="A33" s="75">
        <f t="shared" si="1"/>
        <v>27</v>
      </c>
      <c r="B33" s="76" t="s">
        <v>190</v>
      </c>
      <c r="C33" s="87">
        <f t="shared" ref="C33:F36" si="3">C522</f>
        <v>-4143717</v>
      </c>
      <c r="D33" s="87">
        <f t="shared" si="3"/>
        <v>-1877580</v>
      </c>
      <c r="E33" s="87">
        <f t="shared" si="3"/>
        <v>-2266137</v>
      </c>
      <c r="F33" s="87">
        <f t="shared" si="3"/>
        <v>-469374.66569704702</v>
      </c>
      <c r="G33" s="87">
        <f>E33+F33</f>
        <v>-2735511.665697047</v>
      </c>
      <c r="H33" s="87"/>
      <c r="I33" s="321"/>
      <c r="J33" s="80"/>
      <c r="K33" s="80"/>
    </row>
    <row r="34" spans="1:11" ht="14.1" customHeight="1">
      <c r="A34" s="75">
        <f t="shared" si="1"/>
        <v>28</v>
      </c>
      <c r="B34" s="76" t="s">
        <v>191</v>
      </c>
      <c r="C34" s="87">
        <f t="shared" si="3"/>
        <v>8216488.4500000002</v>
      </c>
      <c r="D34" s="87">
        <f t="shared" si="3"/>
        <v>505682.45000000019</v>
      </c>
      <c r="E34" s="87">
        <f t="shared" si="3"/>
        <v>7710806</v>
      </c>
      <c r="F34" s="87">
        <f t="shared" si="3"/>
        <v>4873835</v>
      </c>
      <c r="G34" s="87">
        <f>E34+F34</f>
        <v>12584641</v>
      </c>
      <c r="H34" s="87"/>
      <c r="I34" s="321"/>
      <c r="J34" s="80"/>
      <c r="K34" s="80"/>
    </row>
    <row r="35" spans="1:11" ht="14.1" customHeight="1">
      <c r="A35" s="75">
        <f t="shared" si="1"/>
        <v>29</v>
      </c>
      <c r="B35" s="76" t="s">
        <v>192</v>
      </c>
      <c r="C35" s="87">
        <f t="shared" si="3"/>
        <v>0</v>
      </c>
      <c r="D35" s="87">
        <f t="shared" si="3"/>
        <v>0</v>
      </c>
      <c r="E35" s="87">
        <f t="shared" si="3"/>
        <v>0</v>
      </c>
      <c r="F35" s="87">
        <f t="shared" si="3"/>
        <v>0</v>
      </c>
      <c r="G35" s="87">
        <f>E35+F35</f>
        <v>0</v>
      </c>
      <c r="H35" s="87"/>
      <c r="I35" s="321"/>
      <c r="J35" s="80"/>
      <c r="K35" s="80"/>
    </row>
    <row r="36" spans="1:11" ht="14.1" customHeight="1">
      <c r="A36" s="75">
        <f t="shared" si="1"/>
        <v>30</v>
      </c>
      <c r="B36" s="121" t="s">
        <v>193</v>
      </c>
      <c r="C36" s="87">
        <f t="shared" si="3"/>
        <v>0</v>
      </c>
      <c r="D36" s="87">
        <f t="shared" si="3"/>
        <v>0</v>
      </c>
      <c r="E36" s="87">
        <f t="shared" si="3"/>
        <v>0</v>
      </c>
      <c r="F36" s="87">
        <f t="shared" si="3"/>
        <v>0</v>
      </c>
      <c r="G36" s="87">
        <f>E36+F36</f>
        <v>0</v>
      </c>
      <c r="H36" s="87"/>
      <c r="I36" s="321"/>
      <c r="J36" s="80"/>
      <c r="K36" s="80"/>
    </row>
    <row r="37" spans="1:11" s="95" customFormat="1" ht="14.1" customHeight="1">
      <c r="A37" s="75">
        <f t="shared" si="1"/>
        <v>31</v>
      </c>
      <c r="B37" s="93" t="s">
        <v>194</v>
      </c>
      <c r="C37" s="97">
        <f>SUM(C32:C36)</f>
        <v>4072771.45</v>
      </c>
      <c r="D37" s="97">
        <f>SUM(D32:D36)</f>
        <v>-1371897.5499999998</v>
      </c>
      <c r="E37" s="97">
        <f>SUM(E32:E36)</f>
        <v>5444669</v>
      </c>
      <c r="F37" s="97">
        <f>SUM(F33:F36)</f>
        <v>4404460.3343029525</v>
      </c>
      <c r="G37" s="97">
        <f>SUM(G32:G36)</f>
        <v>9849129.3343029525</v>
      </c>
      <c r="H37" s="94"/>
      <c r="I37" s="94"/>
      <c r="J37" s="80"/>
      <c r="K37" s="80"/>
    </row>
    <row r="38" spans="1:11" s="95" customFormat="1" ht="14.1" customHeight="1">
      <c r="A38" s="75">
        <f t="shared" si="1"/>
        <v>32</v>
      </c>
      <c r="B38" s="96"/>
      <c r="C38" s="94"/>
      <c r="D38" s="94"/>
      <c r="E38" s="94"/>
      <c r="F38" s="87"/>
      <c r="G38" s="323"/>
      <c r="H38" s="94"/>
      <c r="I38" s="323"/>
      <c r="J38" s="80"/>
      <c r="K38" s="80"/>
    </row>
    <row r="39" spans="1:11" s="75" customFormat="1" ht="14.1" customHeight="1">
      <c r="A39" s="75">
        <f t="shared" si="1"/>
        <v>33</v>
      </c>
      <c r="B39" s="98" t="s">
        <v>195</v>
      </c>
      <c r="C39" s="87">
        <f>C30-C37</f>
        <v>86784948.572999761</v>
      </c>
      <c r="D39" s="87">
        <f>D30-D37</f>
        <v>-3485431.9300132599</v>
      </c>
      <c r="E39" s="87">
        <f>E30-E37</f>
        <v>90270380.613013268</v>
      </c>
      <c r="F39" s="87">
        <f>F30-F37</f>
        <v>-14679615.92918521</v>
      </c>
      <c r="G39" s="87">
        <f>G30-G37</f>
        <v>75590764.683827952</v>
      </c>
      <c r="H39" s="87"/>
      <c r="I39" s="327"/>
      <c r="J39" s="80"/>
      <c r="K39" s="80"/>
    </row>
    <row r="40" spans="1:11" s="75" customFormat="1" ht="14.1" customHeight="1">
      <c r="A40" s="75">
        <f t="shared" si="1"/>
        <v>34</v>
      </c>
      <c r="B40" s="99" t="s">
        <v>196</v>
      </c>
      <c r="C40" s="92">
        <f>-C500-C501-C502-C503-C504</f>
        <v>6039049.0599999996</v>
      </c>
      <c r="D40" s="92">
        <f>-D500-D501-D502-D503-D504</f>
        <v>72863.060000000027</v>
      </c>
      <c r="E40" s="92">
        <f>-E500-E501-E502-E503-E504</f>
        <v>5966186</v>
      </c>
      <c r="F40" s="92">
        <f>-SUM(F500:F504)</f>
        <v>4013313.0600000005</v>
      </c>
      <c r="G40" s="92">
        <f>E40+F40</f>
        <v>9979499.0600000005</v>
      </c>
      <c r="H40" s="87"/>
      <c r="I40" s="327"/>
      <c r="J40" s="80"/>
      <c r="K40" s="80"/>
    </row>
    <row r="41" spans="1:11" s="75" customFormat="1" ht="14.1" customHeight="1" thickBot="1">
      <c r="A41" s="75">
        <f t="shared" si="1"/>
        <v>35</v>
      </c>
      <c r="B41" s="100" t="s">
        <v>197</v>
      </c>
      <c r="C41" s="101">
        <f>C40+C39</f>
        <v>92823997.632999763</v>
      </c>
      <c r="D41" s="101">
        <f>D40+D39</f>
        <v>-3412568.8700132598</v>
      </c>
      <c r="E41" s="101">
        <f>E39+E40</f>
        <v>96236566.613013268</v>
      </c>
      <c r="F41" s="101">
        <f>F39+F40</f>
        <v>-10666302.869185209</v>
      </c>
      <c r="G41" s="101">
        <f>SUM(G39:G40)</f>
        <v>85570263.743827954</v>
      </c>
      <c r="H41" s="87"/>
      <c r="I41" s="328"/>
      <c r="J41" s="80"/>
      <c r="K41" s="80"/>
    </row>
    <row r="42" spans="1:11" s="75" customFormat="1" ht="14.1" customHeight="1" thickTop="1">
      <c r="A42" s="75">
        <f t="shared" si="1"/>
        <v>36</v>
      </c>
      <c r="B42" s="98"/>
      <c r="C42" s="87"/>
      <c r="D42" s="87"/>
      <c r="E42" s="87"/>
      <c r="F42" s="87"/>
      <c r="G42" s="321"/>
      <c r="H42" s="87"/>
      <c r="J42" s="80"/>
      <c r="K42" s="80"/>
    </row>
    <row r="43" spans="1:11" ht="14.1" customHeight="1">
      <c r="A43" s="75">
        <f t="shared" si="1"/>
        <v>37</v>
      </c>
      <c r="B43" s="76" t="s">
        <v>198</v>
      </c>
      <c r="C43" s="87">
        <f>C172</f>
        <v>3657961431.1199999</v>
      </c>
      <c r="D43" s="87">
        <f>D172</f>
        <v>77564198.450000077</v>
      </c>
      <c r="E43" s="87">
        <f>E172</f>
        <v>3580397232.6700001</v>
      </c>
      <c r="F43" s="87">
        <f>F172</f>
        <v>-601498841.80999994</v>
      </c>
      <c r="G43" s="87">
        <f>G172</f>
        <v>2978898390.8599997</v>
      </c>
      <c r="H43" s="87"/>
      <c r="I43" s="76"/>
      <c r="J43" s="80"/>
      <c r="K43" s="80"/>
    </row>
    <row r="44" spans="1:11" ht="14.1" customHeight="1">
      <c r="A44" s="75">
        <f t="shared" si="1"/>
        <v>38</v>
      </c>
      <c r="B44" s="90" t="s">
        <v>199</v>
      </c>
      <c r="C44" s="92">
        <f>-C189-C197-C200</f>
        <v>-1402526541.25</v>
      </c>
      <c r="D44" s="92">
        <f>-D189-D197-D200</f>
        <v>-24055752.250000037</v>
      </c>
      <c r="E44" s="92">
        <f>-E189-E197-E200</f>
        <v>-1378470789</v>
      </c>
      <c r="F44" s="92">
        <f>-F189-F197</f>
        <v>354370732.91999996</v>
      </c>
      <c r="G44" s="92">
        <f>-G189-G197</f>
        <v>-1024100056.08</v>
      </c>
      <c r="H44" s="87"/>
      <c r="I44" s="76"/>
      <c r="J44" s="80"/>
      <c r="K44" s="80"/>
    </row>
    <row r="45" spans="1:11" ht="14.1" customHeight="1">
      <c r="A45" s="75">
        <f t="shared" si="1"/>
        <v>39</v>
      </c>
      <c r="B45" s="81" t="s">
        <v>200</v>
      </c>
      <c r="C45" s="87">
        <f>SUM(C43:C44)</f>
        <v>2255434889.8699999</v>
      </c>
      <c r="D45" s="87">
        <f>SUM(D43:D44)</f>
        <v>53508446.20000004</v>
      </c>
      <c r="E45" s="87">
        <f>SUM(E43:E44)</f>
        <v>2201926443.6700001</v>
      </c>
      <c r="F45" s="87">
        <f>SUM(F43:F44)</f>
        <v>-247128108.88999999</v>
      </c>
      <c r="G45" s="87">
        <f>SUM(G43:G44)</f>
        <v>1954798334.7799997</v>
      </c>
      <c r="H45" s="329"/>
      <c r="I45" s="76"/>
      <c r="J45" s="80"/>
      <c r="K45" s="80"/>
    </row>
    <row r="46" spans="1:11" ht="14.1" customHeight="1">
      <c r="A46" s="75">
        <f t="shared" si="1"/>
        <v>40</v>
      </c>
      <c r="B46" s="76" t="s">
        <v>201</v>
      </c>
      <c r="C46" s="87">
        <f>C237</f>
        <v>801671.21</v>
      </c>
      <c r="D46" s="87">
        <f>D237</f>
        <v>801.20999999996275</v>
      </c>
      <c r="E46" s="87">
        <f>E237</f>
        <v>800870</v>
      </c>
      <c r="F46" s="87">
        <f>F237</f>
        <v>801.20999999996275</v>
      </c>
      <c r="G46" s="87">
        <f>E46+F46</f>
        <v>801671.21</v>
      </c>
      <c r="H46" s="87"/>
      <c r="I46" s="80"/>
      <c r="J46" s="80"/>
      <c r="K46" s="80"/>
    </row>
    <row r="47" spans="1:11" ht="14.1" customHeight="1">
      <c r="A47" s="75">
        <f t="shared" si="1"/>
        <v>41</v>
      </c>
      <c r="B47" s="76" t="s">
        <v>202</v>
      </c>
      <c r="C47" s="87">
        <f>C248+C249</f>
        <v>49892012.340000004</v>
      </c>
      <c r="D47" s="87">
        <f>D248+D249</f>
        <v>48488568.340000004</v>
      </c>
      <c r="E47" s="87">
        <f>E248+E249</f>
        <v>1403444</v>
      </c>
      <c r="F47" s="87">
        <f>F248+F249</f>
        <v>28641.75</v>
      </c>
      <c r="G47" s="87">
        <f>E47+F47</f>
        <v>1432085.75</v>
      </c>
      <c r="H47" s="87"/>
      <c r="I47" s="76"/>
      <c r="J47" s="80"/>
      <c r="K47" s="80"/>
    </row>
    <row r="48" spans="1:11" ht="14.1" customHeight="1">
      <c r="A48" s="75">
        <f t="shared" si="1"/>
        <v>42</v>
      </c>
      <c r="B48" s="76" t="s">
        <v>203</v>
      </c>
      <c r="C48" s="87">
        <f>C245</f>
        <v>90981940.441999987</v>
      </c>
      <c r="D48" s="87">
        <f>D245</f>
        <v>1209867.4419999928</v>
      </c>
      <c r="E48" s="87">
        <f>E245</f>
        <v>89772073</v>
      </c>
      <c r="F48" s="87">
        <f>F245</f>
        <v>184807.44199999282</v>
      </c>
      <c r="G48" s="87">
        <f>E48+F48</f>
        <v>89956880.441999987</v>
      </c>
      <c r="H48" s="87"/>
      <c r="I48" s="76"/>
      <c r="J48" s="80"/>
      <c r="K48" s="80"/>
    </row>
    <row r="49" spans="1:12" ht="14.1" customHeight="1">
      <c r="A49" s="75">
        <f t="shared" si="1"/>
        <v>43</v>
      </c>
      <c r="B49" s="76" t="s">
        <v>204</v>
      </c>
      <c r="C49" s="87">
        <f>C457</f>
        <v>0</v>
      </c>
      <c r="D49" s="87">
        <f>D457</f>
        <v>0</v>
      </c>
      <c r="E49" s="87">
        <f>E457</f>
        <v>0</v>
      </c>
      <c r="F49" s="87">
        <f>F457</f>
        <v>-60772164.879299641</v>
      </c>
      <c r="G49" s="87">
        <f>E49+F49</f>
        <v>-60772164.879299641</v>
      </c>
      <c r="H49" s="87"/>
      <c r="I49" s="76"/>
      <c r="J49" s="80"/>
      <c r="K49" s="80"/>
    </row>
    <row r="50" spans="1:12" ht="14.1" customHeight="1">
      <c r="A50" s="75">
        <f t="shared" si="1"/>
        <v>44</v>
      </c>
      <c r="B50" s="76" t="s">
        <v>205</v>
      </c>
      <c r="C50" s="87">
        <f>C230</f>
        <v>158950249.46000001</v>
      </c>
      <c r="D50" s="87">
        <f>D230</f>
        <v>1814865.459999996</v>
      </c>
      <c r="E50" s="87">
        <f>E230</f>
        <v>157135384</v>
      </c>
      <c r="F50" s="87">
        <f>F230</f>
        <v>1649477.659999996</v>
      </c>
      <c r="G50" s="87">
        <f>G230</f>
        <v>158784861.66000003</v>
      </c>
      <c r="H50" s="87"/>
      <c r="I50" s="76"/>
      <c r="J50" s="80"/>
      <c r="K50" s="80"/>
    </row>
    <row r="51" spans="1:12" ht="14.1" customHeight="1">
      <c r="A51" s="75">
        <f t="shared" si="1"/>
        <v>45</v>
      </c>
      <c r="B51" s="76" t="s">
        <v>206</v>
      </c>
      <c r="C51" s="87">
        <f>(+C257+C258+C259+C260)</f>
        <v>-37460316.32</v>
      </c>
      <c r="D51" s="87">
        <f t="shared" ref="D51:F51" si="4">(+D257+D258+D259+D260)</f>
        <v>-367913.17999999988</v>
      </c>
      <c r="E51" s="87">
        <f t="shared" si="4"/>
        <v>-37092403.140000001</v>
      </c>
      <c r="F51" s="87">
        <f t="shared" si="4"/>
        <v>10000000</v>
      </c>
      <c r="G51" s="87">
        <f>(+G257+G258+G259+G260)</f>
        <v>-27092403.140000001</v>
      </c>
      <c r="H51" s="87"/>
      <c r="I51" s="76"/>
      <c r="J51" s="80"/>
      <c r="K51" s="80"/>
    </row>
    <row r="52" spans="1:12" ht="14.1" customHeight="1">
      <c r="A52" s="75">
        <f t="shared" si="1"/>
        <v>46</v>
      </c>
      <c r="B52" s="90" t="s">
        <v>207</v>
      </c>
      <c r="C52" s="92">
        <f>C254</f>
        <v>-453392109.80999994</v>
      </c>
      <c r="D52" s="92">
        <f>D254</f>
        <v>-113764182.80999994</v>
      </c>
      <c r="E52" s="92">
        <f>E254</f>
        <v>-339627927</v>
      </c>
      <c r="F52" s="92">
        <f>F254</f>
        <v>93977971.09415172</v>
      </c>
      <c r="G52" s="92">
        <f>E52+F52</f>
        <v>-245649955.90584826</v>
      </c>
      <c r="H52" s="87"/>
      <c r="I52" s="330"/>
      <c r="J52" s="80"/>
      <c r="K52" s="80"/>
    </row>
    <row r="53" spans="1:12" s="95" customFormat="1" ht="14.1" customHeight="1" thickBot="1">
      <c r="A53" s="75">
        <f t="shared" si="1"/>
        <v>47</v>
      </c>
      <c r="B53" s="102" t="s">
        <v>208</v>
      </c>
      <c r="C53" s="103">
        <f>SUM(C45:C52)</f>
        <v>2065208337.1919999</v>
      </c>
      <c r="D53" s="103">
        <f>SUM(D45:D52)</f>
        <v>-9109547.337999925</v>
      </c>
      <c r="E53" s="103">
        <f>SUM(E45:E52)</f>
        <v>2074317884.5300002</v>
      </c>
      <c r="F53" s="103">
        <f>SUM(F45:F52)</f>
        <v>-202058574.61314791</v>
      </c>
      <c r="G53" s="103">
        <f>SUM(G45:G52)</f>
        <v>1872259309.9168518</v>
      </c>
      <c r="H53" s="94"/>
      <c r="I53" s="331" t="s">
        <v>209</v>
      </c>
      <c r="J53" s="80"/>
      <c r="K53" s="80"/>
    </row>
    <row r="54" spans="1:12" s="95" customFormat="1" ht="14.1" customHeight="1" thickTop="1">
      <c r="A54" s="75">
        <f t="shared" si="1"/>
        <v>48</v>
      </c>
      <c r="B54" s="96"/>
      <c r="C54" s="94"/>
      <c r="D54" s="94"/>
      <c r="E54" s="94"/>
      <c r="F54" s="94"/>
      <c r="G54" s="94"/>
      <c r="H54" s="94"/>
      <c r="J54" s="80"/>
      <c r="K54" s="80"/>
    </row>
    <row r="55" spans="1:12" s="95" customFormat="1" ht="14.1" customHeight="1">
      <c r="A55" s="75">
        <f t="shared" si="1"/>
        <v>49</v>
      </c>
      <c r="B55" s="93" t="s">
        <v>210</v>
      </c>
      <c r="C55" s="105">
        <f>C41/C53</f>
        <v>4.4946553798639849E-2</v>
      </c>
      <c r="D55" s="106">
        <f>+D41/D53</f>
        <v>0.3746145382853367</v>
      </c>
      <c r="E55" s="105">
        <f>+E41/E53</f>
        <v>4.6394319467972282E-2</v>
      </c>
      <c r="F55" s="106"/>
      <c r="G55" s="105">
        <f>+G41/G53</f>
        <v>4.5704280005758491E-2</v>
      </c>
      <c r="H55" s="332"/>
      <c r="J55" s="80"/>
      <c r="K55" s="80"/>
    </row>
    <row r="56" spans="1:12" s="95" customFormat="1" ht="14.1" customHeight="1">
      <c r="A56" s="75">
        <f t="shared" si="1"/>
        <v>50</v>
      </c>
      <c r="B56" s="96"/>
      <c r="C56" s="106"/>
      <c r="D56" s="106"/>
      <c r="E56" s="332"/>
      <c r="F56" s="332"/>
      <c r="G56" s="332"/>
      <c r="I56" s="333"/>
      <c r="J56" s="80"/>
      <c r="K56" s="80"/>
    </row>
    <row r="57" spans="1:12" ht="13.5" customHeight="1">
      <c r="A57" s="75">
        <f t="shared" si="1"/>
        <v>51</v>
      </c>
      <c r="C57" s="87"/>
      <c r="D57" s="144"/>
      <c r="E57" s="144"/>
      <c r="F57" s="144"/>
      <c r="G57" s="332"/>
      <c r="I57" s="76"/>
      <c r="J57" s="80"/>
      <c r="K57" s="80"/>
    </row>
    <row r="58" spans="1:12" s="89" customFormat="1" ht="14.1" customHeight="1">
      <c r="A58" s="75">
        <f t="shared" si="1"/>
        <v>52</v>
      </c>
      <c r="B58" s="107" t="s">
        <v>211</v>
      </c>
      <c r="C58" s="87"/>
      <c r="D58" s="94"/>
      <c r="E58" s="94"/>
      <c r="F58" s="94"/>
      <c r="G58" s="126"/>
      <c r="J58" s="80"/>
      <c r="K58" s="80"/>
      <c r="L58" s="95"/>
    </row>
    <row r="59" spans="1:12" ht="14.1" customHeight="1">
      <c r="A59" s="75">
        <f t="shared" si="1"/>
        <v>53</v>
      </c>
      <c r="B59" s="109" t="s">
        <v>212</v>
      </c>
      <c r="C59" s="87"/>
      <c r="D59" s="94"/>
      <c r="E59" s="87"/>
      <c r="F59" s="87"/>
      <c r="G59" s="80"/>
      <c r="I59" s="76"/>
      <c r="J59" s="80"/>
      <c r="K59" s="80"/>
    </row>
    <row r="60" spans="1:12" ht="14.1" customHeight="1">
      <c r="A60" s="75">
        <f t="shared" si="1"/>
        <v>54</v>
      </c>
      <c r="B60" s="76" t="s">
        <v>213</v>
      </c>
      <c r="C60" s="87">
        <v>52919.18</v>
      </c>
      <c r="D60" s="87">
        <f>C60-E60</f>
        <v>1058.1800000000003</v>
      </c>
      <c r="E60" s="87">
        <v>51861</v>
      </c>
      <c r="F60" s="87">
        <v>-4029984.82</v>
      </c>
      <c r="G60" s="87">
        <f>E60+F60</f>
        <v>-3978123.82</v>
      </c>
      <c r="H60" s="87"/>
      <c r="I60" s="98" t="s">
        <v>214</v>
      </c>
      <c r="J60" s="80"/>
      <c r="K60" s="80"/>
    </row>
    <row r="61" spans="1:12" ht="14.1" customHeight="1">
      <c r="A61" s="75">
        <f t="shared" si="1"/>
        <v>55</v>
      </c>
      <c r="B61" s="90" t="s">
        <v>215</v>
      </c>
      <c r="C61" s="87">
        <v>0</v>
      </c>
      <c r="D61" s="87">
        <f>C61-E61</f>
        <v>0</v>
      </c>
      <c r="E61" s="87">
        <v>0</v>
      </c>
      <c r="F61" s="87">
        <v>0</v>
      </c>
      <c r="G61" s="87">
        <f>E61+F61</f>
        <v>0</v>
      </c>
      <c r="H61" s="87"/>
      <c r="I61" s="98" t="s">
        <v>214</v>
      </c>
      <c r="J61" s="80"/>
      <c r="K61" s="80"/>
    </row>
    <row r="62" spans="1:12" ht="14.1" customHeight="1">
      <c r="A62" s="75">
        <f t="shared" si="1"/>
        <v>56</v>
      </c>
      <c r="B62" s="81" t="s">
        <v>216</v>
      </c>
      <c r="C62" s="110">
        <f>SUM(C60:C61)</f>
        <v>52919.18</v>
      </c>
      <c r="D62" s="110">
        <f>SUM(D60:D61)</f>
        <v>1058.1800000000003</v>
      </c>
      <c r="E62" s="110">
        <f>SUM(E60:E61)</f>
        <v>51861</v>
      </c>
      <c r="F62" s="110">
        <f>SUM(F60:F61)</f>
        <v>-4029984.82</v>
      </c>
      <c r="G62" s="110">
        <f>SUM(G60:G61)</f>
        <v>-3978123.82</v>
      </c>
      <c r="H62" s="110"/>
      <c r="I62" s="334"/>
      <c r="J62" s="80"/>
      <c r="K62" s="80"/>
      <c r="L62" s="75" t="s">
        <v>217</v>
      </c>
    </row>
    <row r="63" spans="1:12" ht="14.1" customHeight="1">
      <c r="A63" s="75">
        <f t="shared" si="1"/>
        <v>57</v>
      </c>
      <c r="C63" s="327"/>
      <c r="D63" s="87"/>
      <c r="E63" s="324"/>
      <c r="F63" s="87"/>
      <c r="G63" s="87"/>
      <c r="H63" s="87"/>
      <c r="I63" s="98"/>
      <c r="J63" s="80"/>
      <c r="K63" s="80"/>
    </row>
    <row r="64" spans="1:12" ht="14.1" customHeight="1">
      <c r="A64" s="75">
        <f t="shared" si="1"/>
        <v>58</v>
      </c>
      <c r="B64" s="81" t="s">
        <v>218</v>
      </c>
      <c r="C64" s="87"/>
      <c r="D64" s="94"/>
      <c r="E64" s="87"/>
      <c r="F64" s="87"/>
      <c r="G64" s="87"/>
      <c r="H64" s="87"/>
      <c r="I64" s="98"/>
      <c r="J64" s="80"/>
      <c r="K64" s="80"/>
    </row>
    <row r="65" spans="1:12" ht="14.1" customHeight="1">
      <c r="A65" s="75">
        <f t="shared" si="1"/>
        <v>59</v>
      </c>
      <c r="B65" s="81" t="s">
        <v>219</v>
      </c>
      <c r="C65" s="87"/>
      <c r="D65" s="94"/>
      <c r="E65" s="87"/>
      <c r="F65" s="87"/>
      <c r="G65" s="87"/>
      <c r="H65" s="87"/>
      <c r="I65" s="98"/>
      <c r="J65" s="80"/>
      <c r="K65" s="80"/>
    </row>
    <row r="66" spans="1:12" ht="14.1" customHeight="1">
      <c r="A66" s="75">
        <f t="shared" si="1"/>
        <v>60</v>
      </c>
      <c r="B66" s="76" t="s">
        <v>220</v>
      </c>
      <c r="C66" s="87">
        <v>4986110.3</v>
      </c>
      <c r="D66" s="87">
        <f t="shared" ref="D66:D73" si="5">C66-E66</f>
        <v>74791.299999999814</v>
      </c>
      <c r="E66" s="87">
        <v>4911319</v>
      </c>
      <c r="F66" s="87">
        <v>-2780439.54</v>
      </c>
      <c r="G66" s="87">
        <f t="shared" ref="G66:G73" si="6">E66+F66</f>
        <v>2130879.46</v>
      </c>
      <c r="H66" s="87"/>
      <c r="I66" s="98" t="s">
        <v>221</v>
      </c>
      <c r="J66" s="80"/>
      <c r="K66" s="80"/>
    </row>
    <row r="67" spans="1:12" ht="14.1" customHeight="1">
      <c r="A67" s="75">
        <f t="shared" si="1"/>
        <v>61</v>
      </c>
      <c r="B67" s="76" t="s">
        <v>222</v>
      </c>
      <c r="C67" s="87">
        <v>80522248.659999996</v>
      </c>
      <c r="D67" s="87">
        <f t="shared" si="5"/>
        <v>1207833.6599999964</v>
      </c>
      <c r="E67" s="87">
        <v>79314415</v>
      </c>
      <c r="F67" s="87">
        <v>-30319477.320000004</v>
      </c>
      <c r="G67" s="87">
        <f t="shared" si="6"/>
        <v>48994937.679999992</v>
      </c>
      <c r="H67" s="87"/>
      <c r="I67" s="98" t="s">
        <v>221</v>
      </c>
      <c r="J67" s="80"/>
      <c r="K67" s="80"/>
    </row>
    <row r="68" spans="1:12" ht="14.1" customHeight="1">
      <c r="A68" s="75">
        <f t="shared" si="1"/>
        <v>62</v>
      </c>
      <c r="B68" s="76" t="s">
        <v>223</v>
      </c>
      <c r="C68" s="87">
        <v>965925688.18000007</v>
      </c>
      <c r="D68" s="87">
        <f t="shared" si="5"/>
        <v>14488885.180000067</v>
      </c>
      <c r="E68" s="87">
        <v>951436803</v>
      </c>
      <c r="F68" s="87">
        <v>-517583705.8599999</v>
      </c>
      <c r="G68" s="87">
        <f t="shared" si="6"/>
        <v>433853097.1400001</v>
      </c>
      <c r="H68" s="87"/>
      <c r="I68" s="98" t="s">
        <v>221</v>
      </c>
      <c r="J68" s="80"/>
      <c r="K68" s="80"/>
    </row>
    <row r="69" spans="1:12" ht="14.1" customHeight="1">
      <c r="A69" s="75">
        <f t="shared" si="1"/>
        <v>63</v>
      </c>
      <c r="B69" s="76" t="s">
        <v>224</v>
      </c>
      <c r="C69" s="87">
        <v>0</v>
      </c>
      <c r="D69" s="87">
        <f t="shared" si="5"/>
        <v>0</v>
      </c>
      <c r="E69" s="87">
        <v>0</v>
      </c>
      <c r="F69" s="87">
        <v>0</v>
      </c>
      <c r="G69" s="87">
        <f t="shared" si="6"/>
        <v>0</v>
      </c>
      <c r="H69" s="87"/>
      <c r="I69" s="98" t="s">
        <v>221</v>
      </c>
      <c r="J69" s="80"/>
      <c r="K69" s="80"/>
    </row>
    <row r="70" spans="1:12" ht="14.1" customHeight="1">
      <c r="A70" s="75">
        <f t="shared" si="1"/>
        <v>64</v>
      </c>
      <c r="B70" s="76" t="s">
        <v>225</v>
      </c>
      <c r="C70" s="87">
        <v>120155019.09999999</v>
      </c>
      <c r="D70" s="87">
        <f t="shared" si="5"/>
        <v>1802325.099999994</v>
      </c>
      <c r="E70" s="87">
        <v>118352694</v>
      </c>
      <c r="F70" s="87">
        <v>-54489291.460000008</v>
      </c>
      <c r="G70" s="87">
        <f t="shared" si="6"/>
        <v>63863402.539999992</v>
      </c>
      <c r="H70" s="87"/>
      <c r="I70" s="98" t="s">
        <v>221</v>
      </c>
      <c r="J70" s="80"/>
      <c r="K70" s="80"/>
    </row>
    <row r="71" spans="1:12" ht="14.1" customHeight="1">
      <c r="A71" s="75">
        <f t="shared" si="1"/>
        <v>65</v>
      </c>
      <c r="B71" s="76" t="s">
        <v>226</v>
      </c>
      <c r="C71" s="87">
        <v>34660790.640000001</v>
      </c>
      <c r="D71" s="87">
        <f t="shared" si="5"/>
        <v>519911.6400000006</v>
      </c>
      <c r="E71" s="87">
        <v>34140879</v>
      </c>
      <c r="F71" s="87">
        <v>-21412522.949999999</v>
      </c>
      <c r="G71" s="87">
        <f t="shared" si="6"/>
        <v>12728356.050000001</v>
      </c>
      <c r="H71" s="87"/>
      <c r="I71" s="98" t="s">
        <v>221</v>
      </c>
      <c r="J71" s="80"/>
      <c r="K71" s="80"/>
    </row>
    <row r="72" spans="1:12" ht="14.1" customHeight="1">
      <c r="A72" s="75">
        <f t="shared" si="1"/>
        <v>66</v>
      </c>
      <c r="B72" s="76" t="s">
        <v>227</v>
      </c>
      <c r="C72" s="87">
        <v>14096575.02</v>
      </c>
      <c r="D72" s="87">
        <f t="shared" si="5"/>
        <v>211449.01999999955</v>
      </c>
      <c r="E72" s="87">
        <v>13885126</v>
      </c>
      <c r="F72" s="87">
        <v>-7380003.4000000004</v>
      </c>
      <c r="G72" s="87">
        <f t="shared" si="6"/>
        <v>6505122.5999999996</v>
      </c>
      <c r="H72" s="87"/>
      <c r="I72" s="98" t="s">
        <v>221</v>
      </c>
      <c r="J72" s="80"/>
      <c r="K72" s="80"/>
    </row>
    <row r="73" spans="1:12" ht="14.1" customHeight="1">
      <c r="A73" s="75">
        <f t="shared" si="1"/>
        <v>67</v>
      </c>
      <c r="B73" s="90" t="s">
        <v>228</v>
      </c>
      <c r="C73" s="87">
        <v>34041525.869999997</v>
      </c>
      <c r="D73" s="87">
        <f t="shared" si="5"/>
        <v>34041525.869999997</v>
      </c>
      <c r="E73" s="87">
        <v>0</v>
      </c>
      <c r="F73" s="87">
        <v>0</v>
      </c>
      <c r="G73" s="87">
        <f t="shared" si="6"/>
        <v>0</v>
      </c>
      <c r="H73" s="87"/>
      <c r="I73" s="98"/>
      <c r="J73" s="80"/>
      <c r="K73" s="80"/>
    </row>
    <row r="74" spans="1:12" s="95" customFormat="1" ht="12.75" customHeight="1">
      <c r="A74" s="75">
        <f t="shared" si="1"/>
        <v>68</v>
      </c>
      <c r="B74" s="93" t="s">
        <v>229</v>
      </c>
      <c r="C74" s="97">
        <f>SUM(C66:C73)</f>
        <v>1254387957.77</v>
      </c>
      <c r="D74" s="97">
        <f>SUM(D66:D73)</f>
        <v>52346721.770000055</v>
      </c>
      <c r="E74" s="97">
        <f>SUM(E66:E73)</f>
        <v>1202041236</v>
      </c>
      <c r="F74" s="97">
        <f>SUM(F66:F73)</f>
        <v>-633965440.52999997</v>
      </c>
      <c r="G74" s="97">
        <f>SUM(G66:G73)</f>
        <v>568075795.47000003</v>
      </c>
      <c r="H74" s="97"/>
      <c r="I74" s="335"/>
      <c r="J74" s="80"/>
      <c r="K74" s="80"/>
      <c r="L74" s="95">
        <v>1010001</v>
      </c>
    </row>
    <row r="75" spans="1:12" s="95" customFormat="1" ht="14.1" customHeight="1">
      <c r="A75" s="75">
        <f t="shared" ref="A75:A138" si="7">+A74+1</f>
        <v>69</v>
      </c>
      <c r="B75" s="96"/>
      <c r="C75" s="336"/>
      <c r="D75" s="94"/>
      <c r="E75" s="322"/>
      <c r="F75" s="94"/>
      <c r="G75" s="94"/>
      <c r="H75" s="94"/>
      <c r="I75" s="96"/>
      <c r="J75" s="80"/>
      <c r="K75" s="80"/>
    </row>
    <row r="76" spans="1:12" ht="14.1" customHeight="1">
      <c r="A76" s="75">
        <f t="shared" si="7"/>
        <v>70</v>
      </c>
      <c r="B76" s="81" t="s">
        <v>230</v>
      </c>
      <c r="C76" s="87"/>
      <c r="D76" s="87"/>
      <c r="E76" s="87"/>
      <c r="F76" s="87"/>
      <c r="G76" s="87"/>
      <c r="H76" s="87"/>
      <c r="I76" s="98"/>
      <c r="J76" s="80"/>
      <c r="K76" s="80"/>
    </row>
    <row r="77" spans="1:12" ht="14.1" customHeight="1">
      <c r="A77" s="75">
        <f t="shared" si="7"/>
        <v>71</v>
      </c>
      <c r="B77" s="76" t="s">
        <v>231</v>
      </c>
      <c r="C77" s="87">
        <v>0</v>
      </c>
      <c r="D77" s="94">
        <v>0</v>
      </c>
      <c r="E77" s="87">
        <v>0</v>
      </c>
      <c r="F77" s="87">
        <v>0</v>
      </c>
      <c r="G77" s="87">
        <f t="shared" ref="G77:G82" si="8">E77+F77</f>
        <v>0</v>
      </c>
      <c r="H77" s="87"/>
      <c r="I77" s="98"/>
      <c r="J77" s="80"/>
      <c r="K77" s="80"/>
    </row>
    <row r="78" spans="1:12" ht="14.1" customHeight="1">
      <c r="A78" s="75">
        <f t="shared" si="7"/>
        <v>72</v>
      </c>
      <c r="B78" s="76" t="s">
        <v>232</v>
      </c>
      <c r="C78" s="87">
        <v>0</v>
      </c>
      <c r="D78" s="94">
        <v>0</v>
      </c>
      <c r="E78" s="87">
        <v>0</v>
      </c>
      <c r="F78" s="87">
        <v>0</v>
      </c>
      <c r="G78" s="87">
        <f t="shared" si="8"/>
        <v>0</v>
      </c>
      <c r="H78" s="87"/>
      <c r="I78" s="98"/>
      <c r="J78" s="80"/>
      <c r="K78" s="80"/>
    </row>
    <row r="79" spans="1:12" ht="14.1" customHeight="1">
      <c r="A79" s="75">
        <f t="shared" si="7"/>
        <v>73</v>
      </c>
      <c r="B79" s="76" t="s">
        <v>233</v>
      </c>
      <c r="C79" s="87">
        <v>0</v>
      </c>
      <c r="D79" s="94">
        <v>0</v>
      </c>
      <c r="E79" s="87">
        <v>0</v>
      </c>
      <c r="F79" s="87">
        <v>0</v>
      </c>
      <c r="G79" s="87">
        <f t="shared" si="8"/>
        <v>0</v>
      </c>
      <c r="H79" s="87"/>
      <c r="I79" s="98"/>
      <c r="J79" s="80"/>
      <c r="K79" s="80"/>
    </row>
    <row r="80" spans="1:12" ht="14.1" customHeight="1">
      <c r="A80" s="75">
        <f t="shared" si="7"/>
        <v>74</v>
      </c>
      <c r="B80" s="76" t="s">
        <v>234</v>
      </c>
      <c r="C80" s="87">
        <v>0</v>
      </c>
      <c r="D80" s="94">
        <v>0</v>
      </c>
      <c r="E80" s="87">
        <v>0</v>
      </c>
      <c r="F80" s="87">
        <v>0</v>
      </c>
      <c r="G80" s="87">
        <f t="shared" si="8"/>
        <v>0</v>
      </c>
      <c r="H80" s="87"/>
      <c r="I80" s="98"/>
      <c r="J80" s="80"/>
      <c r="K80" s="80"/>
    </row>
    <row r="81" spans="1:11" ht="14.1" customHeight="1">
      <c r="A81" s="75">
        <f t="shared" si="7"/>
        <v>75</v>
      </c>
      <c r="B81" s="76" t="s">
        <v>235</v>
      </c>
      <c r="C81" s="87">
        <v>0</v>
      </c>
      <c r="D81" s="94">
        <v>0</v>
      </c>
      <c r="E81" s="87">
        <v>0</v>
      </c>
      <c r="F81" s="87">
        <v>0</v>
      </c>
      <c r="G81" s="87">
        <f t="shared" si="8"/>
        <v>0</v>
      </c>
      <c r="H81" s="87"/>
      <c r="I81" s="98"/>
      <c r="J81" s="80"/>
      <c r="K81" s="80"/>
    </row>
    <row r="82" spans="1:11" ht="14.1" customHeight="1">
      <c r="A82" s="75">
        <f t="shared" si="7"/>
        <v>76</v>
      </c>
      <c r="B82" s="90" t="s">
        <v>236</v>
      </c>
      <c r="C82" s="87">
        <v>0</v>
      </c>
      <c r="D82" s="94">
        <v>0</v>
      </c>
      <c r="E82" s="87">
        <v>0</v>
      </c>
      <c r="F82" s="87">
        <v>0</v>
      </c>
      <c r="G82" s="87">
        <f t="shared" si="8"/>
        <v>0</v>
      </c>
      <c r="H82" s="87"/>
      <c r="I82" s="98"/>
      <c r="J82" s="80"/>
      <c r="K82" s="80"/>
    </row>
    <row r="83" spans="1:11" s="95" customFormat="1" ht="14.1" customHeight="1">
      <c r="A83" s="75">
        <f t="shared" si="7"/>
        <v>77</v>
      </c>
      <c r="B83" s="93" t="s">
        <v>237</v>
      </c>
      <c r="C83" s="97">
        <f>SUM(C77:C82)</f>
        <v>0</v>
      </c>
      <c r="D83" s="97">
        <f>SUM(D77:D82)</f>
        <v>0</v>
      </c>
      <c r="E83" s="97">
        <f>SUM(E77:E82)</f>
        <v>0</v>
      </c>
      <c r="F83" s="97">
        <f>SUM(F77:F82)</f>
        <v>0</v>
      </c>
      <c r="G83" s="97">
        <f>SUM(G77:G82)</f>
        <v>0</v>
      </c>
      <c r="H83" s="97"/>
      <c r="I83" s="337"/>
      <c r="J83" s="80"/>
      <c r="K83" s="80"/>
    </row>
    <row r="84" spans="1:11" s="95" customFormat="1" ht="14.1" customHeight="1">
      <c r="A84" s="75">
        <f t="shared" si="7"/>
        <v>78</v>
      </c>
      <c r="B84" s="96"/>
      <c r="C84" s="94"/>
      <c r="D84" s="94"/>
      <c r="E84" s="94"/>
      <c r="F84" s="94"/>
      <c r="G84" s="94"/>
      <c r="H84" s="94"/>
      <c r="I84" s="96"/>
      <c r="J84" s="80"/>
      <c r="K84" s="80"/>
    </row>
    <row r="85" spans="1:11" ht="14.1" customHeight="1">
      <c r="A85" s="75">
        <f t="shared" si="7"/>
        <v>79</v>
      </c>
      <c r="B85" s="81" t="s">
        <v>238</v>
      </c>
      <c r="C85" s="87"/>
      <c r="D85" s="87"/>
      <c r="E85" s="87"/>
      <c r="F85" s="87"/>
      <c r="G85" s="87"/>
      <c r="H85" s="87"/>
      <c r="I85" s="98"/>
      <c r="J85" s="80"/>
      <c r="K85" s="80"/>
    </row>
    <row r="86" spans="1:11" ht="14.1" customHeight="1">
      <c r="A86" s="75">
        <f t="shared" si="7"/>
        <v>80</v>
      </c>
      <c r="B86" s="76" t="s">
        <v>239</v>
      </c>
      <c r="C86" s="87">
        <v>0</v>
      </c>
      <c r="D86" s="87">
        <v>0</v>
      </c>
      <c r="E86" s="87">
        <v>0</v>
      </c>
      <c r="F86" s="87">
        <v>0</v>
      </c>
      <c r="G86" s="87">
        <f t="shared" ref="G86:G93" si="9">E86+F86</f>
        <v>0</v>
      </c>
      <c r="H86" s="87"/>
      <c r="I86" s="98"/>
      <c r="J86" s="80"/>
      <c r="K86" s="80"/>
    </row>
    <row r="87" spans="1:11" ht="14.1" customHeight="1">
      <c r="A87" s="75">
        <f t="shared" si="7"/>
        <v>81</v>
      </c>
      <c r="B87" s="76" t="s">
        <v>240</v>
      </c>
      <c r="C87" s="87">
        <v>0</v>
      </c>
      <c r="D87" s="87">
        <v>0</v>
      </c>
      <c r="E87" s="87">
        <v>0</v>
      </c>
      <c r="F87" s="87">
        <v>0</v>
      </c>
      <c r="G87" s="87">
        <f t="shared" si="9"/>
        <v>0</v>
      </c>
      <c r="H87" s="87"/>
      <c r="I87" s="98"/>
      <c r="J87" s="80"/>
      <c r="K87" s="80"/>
    </row>
    <row r="88" spans="1:11" ht="14.1" customHeight="1">
      <c r="A88" s="75">
        <f t="shared" si="7"/>
        <v>82</v>
      </c>
      <c r="B88" s="76" t="s">
        <v>241</v>
      </c>
      <c r="C88" s="87">
        <v>0</v>
      </c>
      <c r="D88" s="87">
        <v>0</v>
      </c>
      <c r="E88" s="87">
        <v>0</v>
      </c>
      <c r="F88" s="87">
        <v>0</v>
      </c>
      <c r="G88" s="87">
        <f t="shared" si="9"/>
        <v>0</v>
      </c>
      <c r="H88" s="87"/>
      <c r="I88" s="98"/>
      <c r="J88" s="80"/>
      <c r="K88" s="80"/>
    </row>
    <row r="89" spans="1:11" ht="14.1" customHeight="1">
      <c r="A89" s="75">
        <f t="shared" si="7"/>
        <v>83</v>
      </c>
      <c r="B89" s="76" t="s">
        <v>242</v>
      </c>
      <c r="C89" s="87">
        <v>0</v>
      </c>
      <c r="D89" s="87">
        <v>0</v>
      </c>
      <c r="E89" s="87">
        <v>0</v>
      </c>
      <c r="F89" s="87">
        <v>0</v>
      </c>
      <c r="G89" s="87">
        <f t="shared" si="9"/>
        <v>0</v>
      </c>
      <c r="H89" s="87"/>
      <c r="I89" s="98"/>
      <c r="J89" s="80"/>
      <c r="K89" s="80"/>
    </row>
    <row r="90" spans="1:11" ht="14.1" customHeight="1">
      <c r="A90" s="75">
        <f t="shared" si="7"/>
        <v>84</v>
      </c>
      <c r="B90" s="76" t="s">
        <v>243</v>
      </c>
      <c r="C90" s="87">
        <v>0</v>
      </c>
      <c r="D90" s="87">
        <v>0</v>
      </c>
      <c r="E90" s="87">
        <v>0</v>
      </c>
      <c r="F90" s="87">
        <v>0</v>
      </c>
      <c r="G90" s="87">
        <f t="shared" si="9"/>
        <v>0</v>
      </c>
      <c r="H90" s="87"/>
      <c r="I90" s="98"/>
      <c r="J90" s="80"/>
      <c r="K90" s="80"/>
    </row>
    <row r="91" spans="1:11" ht="14.1" customHeight="1">
      <c r="A91" s="75">
        <f t="shared" si="7"/>
        <v>85</v>
      </c>
      <c r="B91" s="76" t="s">
        <v>244</v>
      </c>
      <c r="C91" s="87">
        <v>0</v>
      </c>
      <c r="D91" s="87">
        <v>0</v>
      </c>
      <c r="E91" s="87">
        <v>0</v>
      </c>
      <c r="F91" s="87">
        <v>0</v>
      </c>
      <c r="G91" s="87">
        <f t="shared" si="9"/>
        <v>0</v>
      </c>
      <c r="H91" s="87"/>
      <c r="I91" s="98"/>
      <c r="J91" s="80"/>
      <c r="K91" s="80"/>
    </row>
    <row r="92" spans="1:11" ht="14.1" customHeight="1">
      <c r="A92" s="75">
        <f t="shared" si="7"/>
        <v>86</v>
      </c>
      <c r="B92" s="76" t="s">
        <v>245</v>
      </c>
      <c r="C92" s="87">
        <v>0</v>
      </c>
      <c r="D92" s="87">
        <v>0</v>
      </c>
      <c r="E92" s="87">
        <v>0</v>
      </c>
      <c r="F92" s="87">
        <v>0</v>
      </c>
      <c r="G92" s="87">
        <f t="shared" si="9"/>
        <v>0</v>
      </c>
      <c r="H92" s="87"/>
      <c r="I92" s="98"/>
      <c r="J92" s="80"/>
      <c r="K92" s="80"/>
    </row>
    <row r="93" spans="1:11" ht="13.5" customHeight="1">
      <c r="A93" s="75">
        <f t="shared" si="7"/>
        <v>87</v>
      </c>
      <c r="B93" s="90" t="s">
        <v>246</v>
      </c>
      <c r="C93" s="87">
        <v>0</v>
      </c>
      <c r="D93" s="87">
        <v>0</v>
      </c>
      <c r="E93" s="87">
        <v>0</v>
      </c>
      <c r="F93" s="87">
        <v>0</v>
      </c>
      <c r="G93" s="87">
        <f t="shared" si="9"/>
        <v>0</v>
      </c>
      <c r="H93" s="87"/>
      <c r="I93" s="98"/>
      <c r="J93" s="80"/>
      <c r="K93" s="80"/>
    </row>
    <row r="94" spans="1:11" s="95" customFormat="1" ht="14.1" customHeight="1">
      <c r="A94" s="75">
        <f t="shared" si="7"/>
        <v>88</v>
      </c>
      <c r="B94" s="93" t="s">
        <v>247</v>
      </c>
      <c r="C94" s="97">
        <f>SUM(C86:C93)</f>
        <v>0</v>
      </c>
      <c r="D94" s="97">
        <f>SUM(D86:D93)</f>
        <v>0</v>
      </c>
      <c r="E94" s="97">
        <f>SUM(E86:E93)</f>
        <v>0</v>
      </c>
      <c r="F94" s="97">
        <f>SUM(F86:F93)</f>
        <v>0</v>
      </c>
      <c r="G94" s="97">
        <f>SUM(G86:G93)</f>
        <v>0</v>
      </c>
      <c r="H94" s="97"/>
      <c r="I94" s="335"/>
      <c r="J94" s="80"/>
      <c r="K94" s="80"/>
    </row>
    <row r="95" spans="1:11" s="95" customFormat="1" ht="14.1" customHeight="1">
      <c r="A95" s="75">
        <f t="shared" si="7"/>
        <v>89</v>
      </c>
      <c r="B95" s="96"/>
      <c r="C95" s="336"/>
      <c r="D95" s="94"/>
      <c r="E95" s="322"/>
      <c r="F95" s="94"/>
      <c r="G95" s="94"/>
      <c r="H95" s="94"/>
      <c r="I95" s="96"/>
      <c r="J95" s="80"/>
      <c r="K95" s="80"/>
    </row>
    <row r="96" spans="1:11" ht="14.1" customHeight="1">
      <c r="A96" s="75">
        <f t="shared" si="7"/>
        <v>90</v>
      </c>
      <c r="B96" s="81" t="s">
        <v>248</v>
      </c>
      <c r="C96" s="87"/>
      <c r="D96" s="94"/>
      <c r="E96" s="87"/>
      <c r="F96" s="87"/>
      <c r="G96" s="87"/>
      <c r="H96" s="87"/>
      <c r="I96" s="98"/>
      <c r="J96" s="80"/>
      <c r="K96" s="80"/>
    </row>
    <row r="97" spans="1:12" ht="14.1" customHeight="1">
      <c r="A97" s="75">
        <f t="shared" si="7"/>
        <v>91</v>
      </c>
      <c r="B97" s="76" t="s">
        <v>249</v>
      </c>
      <c r="C97" s="87">
        <v>0</v>
      </c>
      <c r="D97" s="87">
        <v>0</v>
      </c>
      <c r="E97" s="87">
        <v>0</v>
      </c>
      <c r="F97" s="87">
        <v>0</v>
      </c>
      <c r="G97" s="87">
        <f t="shared" ref="G97:G103" si="10">E97+F97</f>
        <v>0</v>
      </c>
      <c r="H97" s="87"/>
      <c r="I97" s="98"/>
      <c r="J97" s="80"/>
      <c r="K97" s="80"/>
    </row>
    <row r="98" spans="1:12" ht="14.1" customHeight="1">
      <c r="A98" s="75">
        <f t="shared" si="7"/>
        <v>92</v>
      </c>
      <c r="B98" s="76" t="s">
        <v>250</v>
      </c>
      <c r="C98" s="87">
        <v>0</v>
      </c>
      <c r="D98" s="87">
        <v>0</v>
      </c>
      <c r="E98" s="87">
        <v>0</v>
      </c>
      <c r="F98" s="87">
        <v>0</v>
      </c>
      <c r="G98" s="87">
        <f t="shared" si="10"/>
        <v>0</v>
      </c>
      <c r="H98" s="87"/>
      <c r="I98" s="98"/>
      <c r="J98" s="80"/>
      <c r="K98" s="80"/>
    </row>
    <row r="99" spans="1:12" ht="14.1" customHeight="1">
      <c r="A99" s="75">
        <f t="shared" si="7"/>
        <v>93</v>
      </c>
      <c r="B99" s="76" t="s">
        <v>251</v>
      </c>
      <c r="C99" s="87">
        <v>0</v>
      </c>
      <c r="D99" s="87">
        <v>0</v>
      </c>
      <c r="E99" s="87">
        <v>0</v>
      </c>
      <c r="F99" s="87">
        <v>0</v>
      </c>
      <c r="G99" s="87">
        <f t="shared" si="10"/>
        <v>0</v>
      </c>
      <c r="H99" s="87"/>
      <c r="I99" s="98"/>
      <c r="J99" s="80"/>
      <c r="K99" s="80"/>
    </row>
    <row r="100" spans="1:12" ht="14.1" customHeight="1">
      <c r="A100" s="75">
        <f t="shared" si="7"/>
        <v>94</v>
      </c>
      <c r="B100" s="76" t="s">
        <v>252</v>
      </c>
      <c r="C100" s="87">
        <v>0</v>
      </c>
      <c r="D100" s="87">
        <v>0</v>
      </c>
      <c r="E100" s="87">
        <v>0</v>
      </c>
      <c r="F100" s="87">
        <v>0</v>
      </c>
      <c r="G100" s="87">
        <f t="shared" si="10"/>
        <v>0</v>
      </c>
      <c r="H100" s="87"/>
      <c r="I100" s="98"/>
      <c r="J100" s="80"/>
      <c r="K100" s="80"/>
    </row>
    <row r="101" spans="1:12" ht="14.1" customHeight="1">
      <c r="A101" s="75">
        <f t="shared" si="7"/>
        <v>95</v>
      </c>
      <c r="B101" s="76" t="s">
        <v>253</v>
      </c>
      <c r="C101" s="87">
        <v>0</v>
      </c>
      <c r="D101" s="87">
        <v>0</v>
      </c>
      <c r="E101" s="87">
        <v>0</v>
      </c>
      <c r="F101" s="87">
        <v>0</v>
      </c>
      <c r="G101" s="87">
        <f t="shared" si="10"/>
        <v>0</v>
      </c>
      <c r="H101" s="87"/>
      <c r="I101" s="98"/>
      <c r="J101" s="80"/>
      <c r="K101" s="80"/>
    </row>
    <row r="102" spans="1:12" ht="14.1" customHeight="1">
      <c r="A102" s="75">
        <f t="shared" si="7"/>
        <v>96</v>
      </c>
      <c r="B102" s="76" t="s">
        <v>254</v>
      </c>
      <c r="C102" s="87">
        <v>0</v>
      </c>
      <c r="D102" s="87">
        <v>0</v>
      </c>
      <c r="E102" s="87">
        <v>0</v>
      </c>
      <c r="F102" s="87">
        <v>0</v>
      </c>
      <c r="G102" s="87">
        <f t="shared" si="10"/>
        <v>0</v>
      </c>
      <c r="H102" s="87"/>
      <c r="I102" s="98"/>
      <c r="J102" s="80"/>
      <c r="K102" s="80"/>
    </row>
    <row r="103" spans="1:12" ht="14.1" customHeight="1">
      <c r="A103" s="75">
        <f t="shared" si="7"/>
        <v>97</v>
      </c>
      <c r="B103" s="90" t="s">
        <v>255</v>
      </c>
      <c r="C103" s="92">
        <v>0</v>
      </c>
      <c r="D103" s="92">
        <v>0</v>
      </c>
      <c r="E103" s="92">
        <v>0</v>
      </c>
      <c r="F103" s="92">
        <v>0</v>
      </c>
      <c r="G103" s="92">
        <f t="shared" si="10"/>
        <v>0</v>
      </c>
      <c r="H103" s="87"/>
      <c r="I103" s="98"/>
      <c r="J103" s="80"/>
      <c r="K103" s="80"/>
    </row>
    <row r="104" spans="1:12" s="95" customFormat="1" ht="14.1" customHeight="1">
      <c r="A104" s="75">
        <f t="shared" si="7"/>
        <v>98</v>
      </c>
      <c r="B104" s="93" t="s">
        <v>256</v>
      </c>
      <c r="C104" s="94">
        <f>SUM(C96:C103)</f>
        <v>0</v>
      </c>
      <c r="D104" s="94">
        <f>SUM(D96:D103)</f>
        <v>0</v>
      </c>
      <c r="E104" s="94">
        <f>SUM(E96:E103)</f>
        <v>0</v>
      </c>
      <c r="F104" s="94">
        <f>SUM(F96:F103)</f>
        <v>0</v>
      </c>
      <c r="G104" s="94">
        <f>SUM(G97:G103)</f>
        <v>0</v>
      </c>
      <c r="H104" s="94"/>
      <c r="I104" s="338"/>
      <c r="J104" s="80"/>
      <c r="K104" s="80"/>
    </row>
    <row r="105" spans="1:12" s="95" customFormat="1" ht="14.1" customHeight="1">
      <c r="A105" s="75">
        <f t="shared" si="7"/>
        <v>99</v>
      </c>
      <c r="B105" s="93"/>
      <c r="C105" s="94"/>
      <c r="D105" s="94"/>
      <c r="E105" s="94"/>
      <c r="F105" s="94"/>
      <c r="G105" s="94"/>
      <c r="H105" s="94"/>
      <c r="I105" s="338"/>
      <c r="J105" s="80"/>
      <c r="K105" s="80"/>
    </row>
    <row r="106" spans="1:12" s="95" customFormat="1" ht="14.1" customHeight="1">
      <c r="A106" s="75">
        <f t="shared" si="7"/>
        <v>100</v>
      </c>
      <c r="B106" s="93" t="s">
        <v>257</v>
      </c>
      <c r="C106" s="87">
        <f>C104+C94+C83+C74</f>
        <v>1254387957.77</v>
      </c>
      <c r="D106" s="87">
        <f>D104+D94+D83+D74</f>
        <v>52346721.770000055</v>
      </c>
      <c r="E106" s="87">
        <f>E104+E94+E83+E74</f>
        <v>1202041236</v>
      </c>
      <c r="F106" s="87">
        <f>F104+F94+F83+F74</f>
        <v>-633965440.52999997</v>
      </c>
      <c r="G106" s="87">
        <f>G104+G94+G83+G74</f>
        <v>568075795.47000003</v>
      </c>
      <c r="H106" s="87"/>
      <c r="I106" s="339"/>
      <c r="J106" s="80"/>
      <c r="K106" s="80"/>
      <c r="L106" s="95">
        <v>1010001</v>
      </c>
    </row>
    <row r="107" spans="1:12" s="95" customFormat="1" ht="14.1" customHeight="1">
      <c r="A107" s="75">
        <f t="shared" si="7"/>
        <v>101</v>
      </c>
      <c r="B107" s="93"/>
      <c r="C107" s="87"/>
      <c r="D107" s="87"/>
      <c r="E107" s="87"/>
      <c r="F107" s="87"/>
      <c r="G107" s="87"/>
      <c r="H107" s="87"/>
      <c r="I107" s="339"/>
      <c r="J107" s="80"/>
      <c r="K107" s="80"/>
    </row>
    <row r="108" spans="1:12" ht="14.1" customHeight="1">
      <c r="A108" s="75">
        <f t="shared" si="7"/>
        <v>102</v>
      </c>
      <c r="B108" s="76" t="s">
        <v>258</v>
      </c>
      <c r="C108" s="87">
        <f>J108+J109</f>
        <v>289887</v>
      </c>
      <c r="D108" s="87">
        <f>C108-E108</f>
        <v>4348</v>
      </c>
      <c r="E108" s="87">
        <v>285539</v>
      </c>
      <c r="F108" s="87">
        <v>4348</v>
      </c>
      <c r="G108" s="87">
        <f>E108+F108</f>
        <v>289887</v>
      </c>
      <c r="H108" s="87"/>
      <c r="I108" s="98" t="s">
        <v>259</v>
      </c>
      <c r="J108" s="309">
        <v>250824</v>
      </c>
      <c r="K108" s="309"/>
      <c r="L108" s="75">
        <v>1823022</v>
      </c>
    </row>
    <row r="109" spans="1:12" ht="14.1" customHeight="1">
      <c r="A109" s="75">
        <f t="shared" si="7"/>
        <v>103</v>
      </c>
      <c r="B109" s="90" t="s">
        <v>260</v>
      </c>
      <c r="C109" s="92">
        <v>0</v>
      </c>
      <c r="D109" s="92">
        <v>0</v>
      </c>
      <c r="E109" s="92">
        <v>0</v>
      </c>
      <c r="F109" s="87">
        <v>0</v>
      </c>
      <c r="G109" s="87">
        <f>E109+F109</f>
        <v>0</v>
      </c>
      <c r="H109" s="87"/>
      <c r="I109" s="98"/>
      <c r="J109" s="309">
        <v>39063</v>
      </c>
      <c r="K109" s="309"/>
      <c r="L109" s="75">
        <v>1823054</v>
      </c>
    </row>
    <row r="110" spans="1:12" s="95" customFormat="1" ht="14.1" customHeight="1">
      <c r="A110" s="75">
        <f t="shared" si="7"/>
        <v>104</v>
      </c>
      <c r="B110" s="93" t="s">
        <v>261</v>
      </c>
      <c r="C110" s="110">
        <f>C108+C109</f>
        <v>289887</v>
      </c>
      <c r="D110" s="110">
        <f>D108+D109</f>
        <v>4348</v>
      </c>
      <c r="E110" s="110">
        <f>E108+E109</f>
        <v>285539</v>
      </c>
      <c r="F110" s="110">
        <f>F108+F109</f>
        <v>4348</v>
      </c>
      <c r="G110" s="110">
        <f>G108+G109</f>
        <v>289887</v>
      </c>
      <c r="H110" s="110"/>
      <c r="I110" s="340"/>
      <c r="J110" s="80"/>
      <c r="K110" s="80"/>
    </row>
    <row r="111" spans="1:12" s="95" customFormat="1" ht="14.1" customHeight="1">
      <c r="A111" s="75">
        <f t="shared" si="7"/>
        <v>105</v>
      </c>
      <c r="B111" s="96"/>
      <c r="C111" s="327"/>
      <c r="D111" s="94"/>
      <c r="E111" s="322"/>
      <c r="F111" s="94"/>
      <c r="G111" s="94"/>
      <c r="H111" s="94"/>
      <c r="I111" s="96"/>
      <c r="J111" s="80"/>
      <c r="K111" s="80"/>
    </row>
    <row r="112" spans="1:12" ht="14.1" customHeight="1">
      <c r="A112" s="75">
        <f t="shared" si="7"/>
        <v>106</v>
      </c>
      <c r="B112" s="81" t="s">
        <v>262</v>
      </c>
      <c r="C112" s="87"/>
      <c r="D112" s="87"/>
      <c r="E112" s="87"/>
      <c r="F112" s="87"/>
      <c r="G112" s="87"/>
      <c r="H112" s="87"/>
      <c r="I112" s="98"/>
      <c r="J112" s="80"/>
      <c r="K112" s="80"/>
    </row>
    <row r="113" spans="1:16" ht="14.1" customHeight="1">
      <c r="A113" s="75">
        <f t="shared" si="7"/>
        <v>107</v>
      </c>
      <c r="B113" s="76" t="s">
        <v>263</v>
      </c>
      <c r="C113" s="87">
        <v>40915361</v>
      </c>
      <c r="D113" s="80">
        <f t="shared" ref="D113:D124" si="11">C113-E113</f>
        <v>613730</v>
      </c>
      <c r="E113" s="80">
        <v>40301631</v>
      </c>
      <c r="F113" s="87">
        <v>613730</v>
      </c>
      <c r="G113" s="87">
        <f t="shared" ref="G113:G124" si="12">E113+F113</f>
        <v>40915361</v>
      </c>
      <c r="H113" s="87"/>
      <c r="I113" s="98" t="s">
        <v>264</v>
      </c>
      <c r="J113" s="80"/>
      <c r="K113" s="80"/>
    </row>
    <row r="114" spans="1:16" ht="14.1" customHeight="1">
      <c r="A114" s="75">
        <f t="shared" si="7"/>
        <v>108</v>
      </c>
      <c r="B114" s="76" t="s">
        <v>265</v>
      </c>
      <c r="C114" s="87">
        <v>524302.55000000005</v>
      </c>
      <c r="D114" s="80">
        <f t="shared" si="11"/>
        <v>7864.5500000000466</v>
      </c>
      <c r="E114" s="80">
        <v>516438</v>
      </c>
      <c r="F114" s="87">
        <v>7864.5500000000466</v>
      </c>
      <c r="G114" s="87">
        <f>E114+F114</f>
        <v>524302.55000000005</v>
      </c>
      <c r="H114" s="87"/>
      <c r="I114" s="98" t="s">
        <v>264</v>
      </c>
      <c r="J114" s="80"/>
      <c r="K114" s="80"/>
    </row>
    <row r="115" spans="1:16" ht="14.1" customHeight="1">
      <c r="A115" s="75">
        <f t="shared" si="7"/>
        <v>109</v>
      </c>
      <c r="B115" s="76" t="s">
        <v>266</v>
      </c>
      <c r="C115" s="87">
        <v>13208261.68</v>
      </c>
      <c r="D115" s="80">
        <f t="shared" si="11"/>
        <v>198123.6799999997</v>
      </c>
      <c r="E115" s="80">
        <v>13010138</v>
      </c>
      <c r="F115" s="87">
        <v>198123.6799999997</v>
      </c>
      <c r="G115" s="87">
        <f t="shared" si="12"/>
        <v>13208261.68</v>
      </c>
      <c r="H115" s="87"/>
      <c r="I115" s="98" t="s">
        <v>264</v>
      </c>
      <c r="J115" s="80"/>
      <c r="K115" s="80"/>
    </row>
    <row r="116" spans="1:16" ht="14.1" customHeight="1">
      <c r="A116" s="75">
        <f t="shared" si="7"/>
        <v>110</v>
      </c>
      <c r="B116" s="76" t="s">
        <v>267</v>
      </c>
      <c r="C116" s="87">
        <v>258334915.98999998</v>
      </c>
      <c r="D116" s="80">
        <f>C116-E116</f>
        <v>3879788.9899999797</v>
      </c>
      <c r="E116" s="80">
        <v>254455127</v>
      </c>
      <c r="F116" s="87">
        <v>3879788.9899999797</v>
      </c>
      <c r="G116" s="87">
        <f t="shared" si="12"/>
        <v>258334915.98999998</v>
      </c>
      <c r="H116" s="87"/>
      <c r="I116" s="98" t="s">
        <v>264</v>
      </c>
      <c r="J116" s="80">
        <v>4838</v>
      </c>
      <c r="K116" s="75" t="s">
        <v>268</v>
      </c>
    </row>
    <row r="117" spans="1:16" ht="14.1" customHeight="1">
      <c r="A117" s="75">
        <f t="shared" si="7"/>
        <v>111</v>
      </c>
      <c r="B117" s="76" t="s">
        <v>269</v>
      </c>
      <c r="C117" s="87">
        <v>81856.25</v>
      </c>
      <c r="D117" s="80">
        <f t="shared" si="11"/>
        <v>1228.25</v>
      </c>
      <c r="E117" s="80">
        <v>80628</v>
      </c>
      <c r="F117" s="87">
        <v>1228.25</v>
      </c>
      <c r="G117" s="87">
        <f t="shared" si="12"/>
        <v>81856.25</v>
      </c>
      <c r="H117" s="87"/>
      <c r="I117" s="98" t="s">
        <v>221</v>
      </c>
      <c r="J117" s="80"/>
      <c r="K117" s="80"/>
    </row>
    <row r="118" spans="1:16" ht="14.1" customHeight="1">
      <c r="A118" s="75">
        <f t="shared" si="7"/>
        <v>112</v>
      </c>
      <c r="B118" s="76" t="s">
        <v>270</v>
      </c>
      <c r="C118" s="87">
        <v>12906780.82</v>
      </c>
      <c r="D118" s="80">
        <f t="shared" si="11"/>
        <v>193601.8200000003</v>
      </c>
      <c r="E118" s="80">
        <v>12713179</v>
      </c>
      <c r="F118" s="87">
        <v>193601.8200000003</v>
      </c>
      <c r="G118" s="87">
        <f t="shared" si="12"/>
        <v>12906780.82</v>
      </c>
      <c r="H118" s="87"/>
      <c r="I118" s="98" t="s">
        <v>221</v>
      </c>
      <c r="J118" s="80"/>
      <c r="K118" s="80"/>
    </row>
    <row r="119" spans="1:16" ht="14.1" customHeight="1">
      <c r="A119" s="75">
        <f t="shared" si="7"/>
        <v>113</v>
      </c>
      <c r="B119" s="76" t="s">
        <v>271</v>
      </c>
      <c r="C119" s="87">
        <v>102470002.23999999</v>
      </c>
      <c r="D119" s="80">
        <f t="shared" si="11"/>
        <v>1537050.2399999946</v>
      </c>
      <c r="E119" s="80">
        <v>100932952</v>
      </c>
      <c r="F119" s="87">
        <v>1537050.2399999946</v>
      </c>
      <c r="G119" s="87">
        <f t="shared" si="12"/>
        <v>102470002.23999999</v>
      </c>
      <c r="H119" s="87"/>
      <c r="I119" s="98" t="s">
        <v>264</v>
      </c>
      <c r="J119" s="80"/>
      <c r="K119" s="80"/>
    </row>
    <row r="120" spans="1:16" ht="14.1" customHeight="1">
      <c r="A120" s="75">
        <f t="shared" si="7"/>
        <v>114</v>
      </c>
      <c r="B120" s="76" t="s">
        <v>272</v>
      </c>
      <c r="C120" s="87">
        <v>196244569.31</v>
      </c>
      <c r="D120" s="80">
        <f t="shared" si="11"/>
        <v>2943668.3100000024</v>
      </c>
      <c r="E120" s="80">
        <v>193300901</v>
      </c>
      <c r="F120" s="87">
        <v>2943668.3100000024</v>
      </c>
      <c r="G120" s="87">
        <f t="shared" si="12"/>
        <v>196244569.31</v>
      </c>
      <c r="H120" s="87"/>
      <c r="I120" s="98" t="s">
        <v>264</v>
      </c>
      <c r="J120" s="80"/>
      <c r="K120" s="80"/>
    </row>
    <row r="121" spans="1:16" ht="14.1" customHeight="1">
      <c r="A121" s="75">
        <f t="shared" si="7"/>
        <v>115</v>
      </c>
      <c r="B121" s="76" t="s">
        <v>273</v>
      </c>
      <c r="C121" s="87">
        <v>170032722.20999998</v>
      </c>
      <c r="D121" s="80">
        <f t="shared" si="11"/>
        <v>2550491.2099999785</v>
      </c>
      <c r="E121" s="80">
        <v>167482231</v>
      </c>
      <c r="F121" s="87">
        <v>2550491.2099999785</v>
      </c>
      <c r="G121" s="87">
        <f t="shared" si="12"/>
        <v>170032722.20999998</v>
      </c>
      <c r="H121" s="87"/>
      <c r="I121" s="98" t="s">
        <v>264</v>
      </c>
      <c r="J121" s="80"/>
      <c r="K121" s="80"/>
    </row>
    <row r="122" spans="1:16" ht="14.1" customHeight="1">
      <c r="A122" s="75">
        <f t="shared" si="7"/>
        <v>116</v>
      </c>
      <c r="B122" s="76" t="s">
        <v>274</v>
      </c>
      <c r="C122" s="87">
        <v>510952.32</v>
      </c>
      <c r="D122" s="80">
        <f t="shared" si="11"/>
        <v>7664.320000000007</v>
      </c>
      <c r="E122" s="80">
        <v>503288</v>
      </c>
      <c r="F122" s="87">
        <v>7664.320000000007</v>
      </c>
      <c r="G122" s="87">
        <f t="shared" si="12"/>
        <v>510952.32</v>
      </c>
      <c r="H122" s="87"/>
      <c r="I122" s="98" t="s">
        <v>264</v>
      </c>
      <c r="J122" s="80"/>
      <c r="K122" s="80"/>
    </row>
    <row r="123" spans="1:16" ht="14.1" customHeight="1">
      <c r="A123" s="75">
        <f t="shared" si="7"/>
        <v>117</v>
      </c>
      <c r="B123" s="76" t="s">
        <v>275</v>
      </c>
      <c r="C123" s="87">
        <v>497622.54000000004</v>
      </c>
      <c r="D123" s="80">
        <f t="shared" si="11"/>
        <v>7464.5400000000373</v>
      </c>
      <c r="E123" s="80">
        <v>490158</v>
      </c>
      <c r="F123" s="87">
        <v>7464.5400000000373</v>
      </c>
      <c r="G123" s="87">
        <f t="shared" si="12"/>
        <v>497622.54000000004</v>
      </c>
      <c r="H123" s="87"/>
      <c r="I123" s="98" t="s">
        <v>264</v>
      </c>
      <c r="J123" s="80"/>
      <c r="K123" s="80"/>
    </row>
    <row r="124" spans="1:16" ht="14.1" customHeight="1">
      <c r="A124" s="75">
        <f t="shared" si="7"/>
        <v>118</v>
      </c>
      <c r="B124" s="90" t="s">
        <v>276</v>
      </c>
      <c r="C124" s="87">
        <v>0</v>
      </c>
      <c r="D124" s="80">
        <f t="shared" si="11"/>
        <v>0</v>
      </c>
      <c r="E124" s="80">
        <v>0</v>
      </c>
      <c r="F124" s="87">
        <v>0</v>
      </c>
      <c r="G124" s="87">
        <f t="shared" si="12"/>
        <v>0</v>
      </c>
      <c r="H124" s="87"/>
      <c r="I124" s="98" t="s">
        <v>264</v>
      </c>
      <c r="J124" s="80"/>
      <c r="K124" s="80"/>
    </row>
    <row r="125" spans="1:16" ht="14.1" customHeight="1">
      <c r="A125" s="75">
        <f t="shared" si="7"/>
        <v>119</v>
      </c>
      <c r="B125" s="93" t="s">
        <v>277</v>
      </c>
      <c r="C125" s="97">
        <f>SUM(C113:C124)</f>
        <v>795727346.90999997</v>
      </c>
      <c r="D125" s="97">
        <f>SUM(D113:D124)</f>
        <v>11940675.909999955</v>
      </c>
      <c r="E125" s="97">
        <f>SUM(E113:E124)</f>
        <v>783786671</v>
      </c>
      <c r="F125" s="97">
        <f>SUM(F113:F124)</f>
        <v>11940675.909999955</v>
      </c>
      <c r="G125" s="97">
        <f>SUM(G113:G124)</f>
        <v>795727346.90999997</v>
      </c>
      <c r="H125" s="97"/>
      <c r="I125" s="341"/>
      <c r="J125" s="80"/>
      <c r="K125" s="80"/>
      <c r="L125" s="75">
        <v>1010001</v>
      </c>
    </row>
    <row r="126" spans="1:16" ht="14.1" customHeight="1">
      <c r="A126" s="75">
        <f t="shared" si="7"/>
        <v>120</v>
      </c>
      <c r="B126" s="96"/>
      <c r="C126" s="94"/>
      <c r="D126" s="94"/>
      <c r="E126" s="322"/>
      <c r="F126" s="94"/>
      <c r="G126" s="87"/>
      <c r="H126" s="87"/>
      <c r="I126" s="98"/>
      <c r="J126" s="80"/>
      <c r="K126" s="80"/>
    </row>
    <row r="127" spans="1:16" ht="14.1" customHeight="1">
      <c r="A127" s="75">
        <f t="shared" si="7"/>
        <v>121</v>
      </c>
      <c r="B127" s="81" t="s">
        <v>278</v>
      </c>
      <c r="C127" s="87"/>
      <c r="D127" s="87"/>
      <c r="E127" s="342"/>
      <c r="F127" s="87"/>
      <c r="G127" s="87"/>
      <c r="H127" s="87"/>
      <c r="I127" s="98"/>
      <c r="J127" s="80"/>
      <c r="K127" s="80"/>
    </row>
    <row r="128" spans="1:16" ht="14.1" customHeight="1">
      <c r="A128" s="75">
        <f t="shared" si="7"/>
        <v>122</v>
      </c>
      <c r="B128" s="76" t="s">
        <v>279</v>
      </c>
      <c r="C128" s="87">
        <v>12031666.870000001</v>
      </c>
      <c r="D128" s="94">
        <f>J128</f>
        <v>1408</v>
      </c>
      <c r="E128" s="343">
        <f t="shared" ref="E128:E142" si="13">C128-D128</f>
        <v>12030258.870000001</v>
      </c>
      <c r="F128" s="87">
        <v>0</v>
      </c>
      <c r="G128" s="87">
        <f t="shared" ref="G128:G142" si="14">E128+F128</f>
        <v>12030258.870000001</v>
      </c>
      <c r="H128" s="87"/>
      <c r="I128" s="98" t="s">
        <v>280</v>
      </c>
      <c r="J128" s="80">
        <v>1408</v>
      </c>
      <c r="K128" s="75" t="s">
        <v>268</v>
      </c>
      <c r="P128" s="75"/>
    </row>
    <row r="129" spans="1:16" ht="14.1" customHeight="1">
      <c r="A129" s="75">
        <f t="shared" si="7"/>
        <v>123</v>
      </c>
      <c r="B129" s="76" t="s">
        <v>281</v>
      </c>
      <c r="C129" s="87">
        <v>9858867.6500000004</v>
      </c>
      <c r="D129" s="94">
        <f>J129</f>
        <v>44907</v>
      </c>
      <c r="E129" s="343">
        <f t="shared" si="13"/>
        <v>9813960.6500000004</v>
      </c>
      <c r="F129" s="87">
        <v>0</v>
      </c>
      <c r="G129" s="87">
        <f t="shared" si="14"/>
        <v>9813960.6500000004</v>
      </c>
      <c r="H129" s="87"/>
      <c r="I129" s="98" t="s">
        <v>280</v>
      </c>
      <c r="J129" s="80">
        <v>44907</v>
      </c>
      <c r="K129" s="75" t="s">
        <v>268</v>
      </c>
      <c r="P129" s="75"/>
    </row>
    <row r="130" spans="1:16" ht="14.1" customHeight="1">
      <c r="A130" s="75">
        <f t="shared" si="7"/>
        <v>124</v>
      </c>
      <c r="B130" s="76" t="s">
        <v>282</v>
      </c>
      <c r="C130" s="87">
        <v>143799773.08000001</v>
      </c>
      <c r="D130" s="94">
        <f>J130</f>
        <v>1403788.8499999999</v>
      </c>
      <c r="E130" s="343">
        <f t="shared" si="13"/>
        <v>142395984.23000002</v>
      </c>
      <c r="F130" s="87">
        <v>0</v>
      </c>
      <c r="G130" s="87">
        <f t="shared" si="14"/>
        <v>142395984.23000002</v>
      </c>
      <c r="H130" s="87"/>
      <c r="I130" s="98" t="s">
        <v>280</v>
      </c>
      <c r="J130" s="80">
        <v>1403788.8499999999</v>
      </c>
      <c r="K130" s="75" t="s">
        <v>268</v>
      </c>
      <c r="P130" s="75"/>
    </row>
    <row r="131" spans="1:16" ht="14.1" customHeight="1">
      <c r="A131" s="75">
        <f t="shared" si="7"/>
        <v>125</v>
      </c>
      <c r="B131" s="76" t="s">
        <v>283</v>
      </c>
      <c r="C131" s="87">
        <v>1838774.6900000002</v>
      </c>
      <c r="D131" s="94">
        <v>0</v>
      </c>
      <c r="E131" s="94">
        <f t="shared" si="13"/>
        <v>1838774.6900000002</v>
      </c>
      <c r="F131" s="87">
        <v>0</v>
      </c>
      <c r="G131" s="87">
        <f t="shared" si="14"/>
        <v>1838774.6900000002</v>
      </c>
      <c r="H131" s="87"/>
      <c r="I131" s="98" t="s">
        <v>284</v>
      </c>
      <c r="J131" s="80"/>
      <c r="K131" s="75"/>
      <c r="P131" s="75"/>
    </row>
    <row r="132" spans="1:16" ht="14.1" customHeight="1">
      <c r="A132" s="75">
        <f t="shared" si="7"/>
        <v>126</v>
      </c>
      <c r="B132" s="76" t="s">
        <v>285</v>
      </c>
      <c r="C132" s="87">
        <v>319804008.77999997</v>
      </c>
      <c r="D132" s="94">
        <v>0</v>
      </c>
      <c r="E132" s="94">
        <f t="shared" si="13"/>
        <v>319804008.77999997</v>
      </c>
      <c r="F132" s="87">
        <v>0</v>
      </c>
      <c r="G132" s="87">
        <f t="shared" si="14"/>
        <v>319804008.77999997</v>
      </c>
      <c r="H132" s="87"/>
      <c r="I132" s="98" t="s">
        <v>284</v>
      </c>
      <c r="J132" s="80"/>
      <c r="K132" s="75"/>
      <c r="P132" s="75"/>
    </row>
    <row r="133" spans="1:16" ht="14.1" customHeight="1">
      <c r="A133" s="75">
        <f t="shared" si="7"/>
        <v>127</v>
      </c>
      <c r="B133" s="76" t="s">
        <v>286</v>
      </c>
      <c r="C133" s="87">
        <v>331161834.93000001</v>
      </c>
      <c r="D133" s="94">
        <v>0</v>
      </c>
      <c r="E133" s="94">
        <f t="shared" si="13"/>
        <v>331161834.93000001</v>
      </c>
      <c r="F133" s="87">
        <v>18000000</v>
      </c>
      <c r="G133" s="87">
        <f t="shared" si="14"/>
        <v>349161834.93000001</v>
      </c>
      <c r="H133" s="87"/>
      <c r="I133" s="98" t="s">
        <v>284</v>
      </c>
      <c r="J133" s="80"/>
      <c r="K133" s="75"/>
      <c r="P133" s="75"/>
    </row>
    <row r="134" spans="1:16" ht="14.1" customHeight="1">
      <c r="A134" s="75">
        <f t="shared" si="7"/>
        <v>128</v>
      </c>
      <c r="B134" s="76" t="s">
        <v>287</v>
      </c>
      <c r="C134" s="87">
        <v>10124390.699999999</v>
      </c>
      <c r="D134" s="94">
        <v>0</v>
      </c>
      <c r="E134" s="94">
        <f t="shared" si="13"/>
        <v>10124390.699999999</v>
      </c>
      <c r="F134" s="87">
        <v>0</v>
      </c>
      <c r="G134" s="87">
        <f t="shared" si="14"/>
        <v>10124390.699999999</v>
      </c>
      <c r="H134" s="87"/>
      <c r="I134" s="98" t="s">
        <v>284</v>
      </c>
      <c r="J134" s="80"/>
      <c r="K134" s="75"/>
      <c r="P134" s="75"/>
    </row>
    <row r="135" spans="1:16" ht="14.1" customHeight="1">
      <c r="A135" s="75">
        <f t="shared" si="7"/>
        <v>129</v>
      </c>
      <c r="B135" s="76" t="s">
        <v>288</v>
      </c>
      <c r="C135" s="87">
        <v>13294742.720000001</v>
      </c>
      <c r="D135" s="94">
        <v>0</v>
      </c>
      <c r="E135" s="94">
        <f t="shared" si="13"/>
        <v>13294742.720000001</v>
      </c>
      <c r="F135" s="87">
        <v>0</v>
      </c>
      <c r="G135" s="87">
        <f t="shared" si="14"/>
        <v>13294742.720000001</v>
      </c>
      <c r="H135" s="87"/>
      <c r="I135" s="98" t="s">
        <v>284</v>
      </c>
      <c r="J135" s="80"/>
      <c r="K135" s="75"/>
      <c r="P135" s="75"/>
    </row>
    <row r="136" spans="1:16" ht="14.1" customHeight="1">
      <c r="A136" s="75">
        <f t="shared" si="7"/>
        <v>130</v>
      </c>
      <c r="B136" s="76" t="s">
        <v>289</v>
      </c>
      <c r="C136" s="87">
        <v>173479732.02000001</v>
      </c>
      <c r="D136" s="94">
        <v>0</v>
      </c>
      <c r="E136" s="94">
        <f t="shared" si="13"/>
        <v>173479732.02000001</v>
      </c>
      <c r="F136" s="87">
        <v>0</v>
      </c>
      <c r="G136" s="87">
        <f t="shared" si="14"/>
        <v>173479732.02000001</v>
      </c>
      <c r="H136" s="87"/>
      <c r="I136" s="98" t="s">
        <v>284</v>
      </c>
      <c r="J136" s="80"/>
      <c r="K136" s="75"/>
      <c r="P136" s="75"/>
    </row>
    <row r="137" spans="1:16" ht="14.1" customHeight="1">
      <c r="A137" s="75">
        <f t="shared" si="7"/>
        <v>131</v>
      </c>
      <c r="B137" s="76" t="s">
        <v>290</v>
      </c>
      <c r="C137" s="87">
        <v>79202151.379999995</v>
      </c>
      <c r="D137" s="94">
        <v>0</v>
      </c>
      <c r="E137" s="94">
        <f t="shared" si="13"/>
        <v>79202151.379999995</v>
      </c>
      <c r="F137" s="87">
        <v>0</v>
      </c>
      <c r="G137" s="87">
        <f t="shared" si="14"/>
        <v>79202151.379999995</v>
      </c>
      <c r="H137" s="87"/>
      <c r="I137" s="98" t="s">
        <v>284</v>
      </c>
      <c r="J137" s="80"/>
      <c r="K137" s="75"/>
      <c r="P137" s="75"/>
    </row>
    <row r="138" spans="1:16" ht="14.1" customHeight="1">
      <c r="A138" s="75">
        <f t="shared" si="7"/>
        <v>132</v>
      </c>
      <c r="B138" s="76" t="s">
        <v>291</v>
      </c>
      <c r="C138" s="87">
        <v>25665627.859999999</v>
      </c>
      <c r="D138" s="94">
        <f>J138</f>
        <v>4102</v>
      </c>
      <c r="E138" s="94">
        <f t="shared" si="13"/>
        <v>25661525.859999999</v>
      </c>
      <c r="F138" s="87">
        <v>0</v>
      </c>
      <c r="G138" s="87">
        <f t="shared" si="14"/>
        <v>25661525.859999999</v>
      </c>
      <c r="H138" s="87"/>
      <c r="I138" s="98" t="s">
        <v>280</v>
      </c>
      <c r="J138" s="80">
        <v>4102</v>
      </c>
      <c r="K138" s="582" t="s">
        <v>292</v>
      </c>
      <c r="L138" s="582"/>
      <c r="P138" s="75"/>
    </row>
    <row r="139" spans="1:16" ht="14.1" customHeight="1">
      <c r="A139" s="75">
        <f t="shared" ref="A139:A202" si="15">+A138+1</f>
        <v>133</v>
      </c>
      <c r="B139" s="76" t="s">
        <v>293</v>
      </c>
      <c r="C139" s="87">
        <v>20343996.829999998</v>
      </c>
      <c r="D139" s="94">
        <v>0</v>
      </c>
      <c r="E139" s="94">
        <f t="shared" si="13"/>
        <v>20343996.829999998</v>
      </c>
      <c r="F139" s="87">
        <v>0</v>
      </c>
      <c r="G139" s="87">
        <f t="shared" si="14"/>
        <v>20343996.829999998</v>
      </c>
      <c r="H139" s="87"/>
      <c r="I139" s="98" t="s">
        <v>284</v>
      </c>
      <c r="J139" s="80"/>
      <c r="K139" s="80"/>
    </row>
    <row r="140" spans="1:16" ht="14.1" customHeight="1">
      <c r="A140" s="75">
        <f t="shared" si="15"/>
        <v>134</v>
      </c>
      <c r="B140" s="76" t="s">
        <v>294</v>
      </c>
      <c r="C140" s="87">
        <v>0</v>
      </c>
      <c r="D140" s="94">
        <v>0</v>
      </c>
      <c r="E140" s="94">
        <f t="shared" si="13"/>
        <v>0</v>
      </c>
      <c r="F140" s="87">
        <v>0</v>
      </c>
      <c r="G140" s="87">
        <f t="shared" si="14"/>
        <v>0</v>
      </c>
      <c r="H140" s="87"/>
      <c r="I140" s="98" t="s">
        <v>284</v>
      </c>
      <c r="J140" s="80"/>
      <c r="K140" s="80"/>
    </row>
    <row r="141" spans="1:16" ht="14.1" customHeight="1">
      <c r="A141" s="75">
        <f t="shared" si="15"/>
        <v>135</v>
      </c>
      <c r="B141" s="76" t="s">
        <v>295</v>
      </c>
      <c r="C141" s="87">
        <v>5611681.7999999998</v>
      </c>
      <c r="D141" s="94">
        <v>0</v>
      </c>
      <c r="E141" s="94">
        <f t="shared" si="13"/>
        <v>5611681.7999999998</v>
      </c>
      <c r="F141" s="87">
        <v>0</v>
      </c>
      <c r="G141" s="87">
        <f t="shared" si="14"/>
        <v>5611681.7999999998</v>
      </c>
      <c r="H141" s="87"/>
      <c r="I141" s="98" t="s">
        <v>284</v>
      </c>
      <c r="J141" s="80"/>
      <c r="K141" s="80"/>
    </row>
    <row r="142" spans="1:16" ht="14.1" customHeight="1">
      <c r="A142" s="75">
        <f t="shared" si="15"/>
        <v>136</v>
      </c>
      <c r="B142" s="90" t="s">
        <v>296</v>
      </c>
      <c r="C142" s="87">
        <v>0</v>
      </c>
      <c r="D142" s="94">
        <v>0</v>
      </c>
      <c r="E142" s="94">
        <f t="shared" si="13"/>
        <v>0</v>
      </c>
      <c r="F142" s="87">
        <v>0</v>
      </c>
      <c r="G142" s="87">
        <f t="shared" si="14"/>
        <v>0</v>
      </c>
      <c r="H142" s="87"/>
      <c r="I142" s="98" t="s">
        <v>284</v>
      </c>
      <c r="J142" s="80"/>
      <c r="K142" s="80"/>
    </row>
    <row r="143" spans="1:16" ht="14.1" customHeight="1">
      <c r="A143" s="75">
        <f t="shared" si="15"/>
        <v>137</v>
      </c>
      <c r="B143" s="93" t="s">
        <v>297</v>
      </c>
      <c r="C143" s="97">
        <f>SUM(C128:C142)</f>
        <v>1146217249.3099999</v>
      </c>
      <c r="D143" s="97">
        <f>SUM(D128:D142)</f>
        <v>1454205.8499999999</v>
      </c>
      <c r="E143" s="97">
        <f>SUM(E128:E142)</f>
        <v>1144763043.46</v>
      </c>
      <c r="F143" s="97">
        <f>SUM(F128:F142)</f>
        <v>18000000</v>
      </c>
      <c r="G143" s="97">
        <f>SUM(G128:G142)</f>
        <v>1162763043.46</v>
      </c>
      <c r="H143" s="97"/>
      <c r="I143" s="341"/>
      <c r="J143" s="80"/>
      <c r="K143" s="80"/>
      <c r="L143" s="75">
        <v>1010001</v>
      </c>
    </row>
    <row r="144" spans="1:16" ht="14.1" customHeight="1">
      <c r="A144" s="75">
        <f t="shared" si="15"/>
        <v>138</v>
      </c>
      <c r="B144" s="96"/>
      <c r="C144" s="94"/>
      <c r="D144" s="94"/>
      <c r="E144" s="322"/>
      <c r="F144" s="94"/>
      <c r="G144" s="87"/>
      <c r="H144" s="87"/>
      <c r="I144" s="98"/>
      <c r="J144" s="80"/>
      <c r="K144" s="80"/>
    </row>
    <row r="145" spans="1:12" ht="14.1" customHeight="1">
      <c r="A145" s="75">
        <f t="shared" si="15"/>
        <v>139</v>
      </c>
      <c r="B145" s="81" t="s">
        <v>298</v>
      </c>
      <c r="C145" s="87"/>
      <c r="D145" s="87"/>
      <c r="E145" s="87"/>
      <c r="F145" s="87"/>
      <c r="G145" s="87"/>
      <c r="H145" s="87"/>
      <c r="I145" s="98"/>
      <c r="J145" s="80"/>
      <c r="K145" s="80"/>
    </row>
    <row r="146" spans="1:12" ht="14.1" customHeight="1">
      <c r="A146" s="75">
        <f t="shared" si="15"/>
        <v>140</v>
      </c>
      <c r="B146" s="76" t="s">
        <v>299</v>
      </c>
      <c r="C146" s="87">
        <v>2134690.77</v>
      </c>
      <c r="D146" s="87">
        <f t="shared" ref="D146:D157" si="16">C146-E146</f>
        <v>42693.770000000019</v>
      </c>
      <c r="E146" s="87">
        <v>2091997</v>
      </c>
      <c r="F146" s="87">
        <v>42693.770000000019</v>
      </c>
      <c r="G146" s="87">
        <f t="shared" ref="G146:G157" si="17">E146+F146</f>
        <v>2134690.77</v>
      </c>
      <c r="H146" s="87"/>
      <c r="I146" s="98" t="s">
        <v>214</v>
      </c>
      <c r="J146" s="80"/>
      <c r="K146" s="80"/>
    </row>
    <row r="147" spans="1:12" ht="14.1" customHeight="1">
      <c r="A147" s="75">
        <f t="shared" si="15"/>
        <v>141</v>
      </c>
      <c r="B147" s="76" t="s">
        <v>300</v>
      </c>
      <c r="C147" s="87">
        <v>28738308.34</v>
      </c>
      <c r="D147" s="87">
        <f t="shared" si="16"/>
        <v>574766.33999999985</v>
      </c>
      <c r="E147" s="87">
        <v>28163542</v>
      </c>
      <c r="F147" s="87">
        <v>574766.33999999985</v>
      </c>
      <c r="G147" s="87">
        <f t="shared" si="17"/>
        <v>28738308.34</v>
      </c>
      <c r="H147" s="87"/>
      <c r="I147" s="98" t="s">
        <v>214</v>
      </c>
      <c r="J147" s="80"/>
      <c r="K147" s="80"/>
    </row>
    <row r="148" spans="1:12" ht="14.1" customHeight="1">
      <c r="A148" s="75">
        <f t="shared" si="15"/>
        <v>142</v>
      </c>
      <c r="B148" s="76" t="s">
        <v>301</v>
      </c>
      <c r="C148" s="87">
        <v>2520799.0499999998</v>
      </c>
      <c r="D148" s="87">
        <f t="shared" si="16"/>
        <v>50416.049999999814</v>
      </c>
      <c r="E148" s="87">
        <v>2470383</v>
      </c>
      <c r="F148" s="87">
        <v>50416.049999999814</v>
      </c>
      <c r="G148" s="87">
        <f t="shared" si="17"/>
        <v>2520799.0499999998</v>
      </c>
      <c r="H148" s="87"/>
      <c r="I148" s="98" t="s">
        <v>214</v>
      </c>
      <c r="J148" s="80"/>
      <c r="K148" s="80"/>
    </row>
    <row r="149" spans="1:12" ht="14.1" customHeight="1">
      <c r="A149" s="75">
        <f t="shared" si="15"/>
        <v>143</v>
      </c>
      <c r="B149" s="76" t="s">
        <v>302</v>
      </c>
      <c r="C149" s="87">
        <v>24068505.650000002</v>
      </c>
      <c r="D149" s="87">
        <f t="shared" si="16"/>
        <v>481369.65000000224</v>
      </c>
      <c r="E149" s="87">
        <v>23587136</v>
      </c>
      <c r="F149" s="87">
        <v>481369.65000000224</v>
      </c>
      <c r="G149" s="87">
        <f t="shared" si="17"/>
        <v>24068505.650000002</v>
      </c>
      <c r="H149" s="87"/>
      <c r="I149" s="98" t="s">
        <v>214</v>
      </c>
      <c r="J149" s="80"/>
      <c r="K149" s="80"/>
    </row>
    <row r="150" spans="1:12" ht="14.1" customHeight="1">
      <c r="A150" s="75">
        <f t="shared" si="15"/>
        <v>144</v>
      </c>
      <c r="B150" s="76" t="s">
        <v>303</v>
      </c>
      <c r="C150" s="87">
        <v>442608.16000000003</v>
      </c>
      <c r="D150" s="87">
        <f t="shared" si="16"/>
        <v>8852.1600000000326</v>
      </c>
      <c r="E150" s="87">
        <v>433756</v>
      </c>
      <c r="F150" s="87">
        <v>8852.1600000000326</v>
      </c>
      <c r="G150" s="87">
        <f t="shared" si="17"/>
        <v>442608.16000000003</v>
      </c>
      <c r="H150" s="87"/>
      <c r="I150" s="98" t="s">
        <v>214</v>
      </c>
      <c r="J150" s="80"/>
      <c r="K150" s="80"/>
    </row>
    <row r="151" spans="1:12" ht="14.1" customHeight="1">
      <c r="A151" s="75">
        <f t="shared" si="15"/>
        <v>145</v>
      </c>
      <c r="B151" s="76" t="s">
        <v>304</v>
      </c>
      <c r="C151" s="87">
        <v>8349659.5199999996</v>
      </c>
      <c r="D151" s="87">
        <f t="shared" si="16"/>
        <v>166993.51999999955</v>
      </c>
      <c r="E151" s="87">
        <v>8182666</v>
      </c>
      <c r="F151" s="87">
        <v>166993.51999999955</v>
      </c>
      <c r="G151" s="87">
        <f t="shared" si="17"/>
        <v>8349659.5199999996</v>
      </c>
      <c r="H151" s="87"/>
      <c r="I151" s="98" t="s">
        <v>214</v>
      </c>
      <c r="J151" s="80"/>
      <c r="K151" s="80"/>
    </row>
    <row r="152" spans="1:12" ht="14.1" customHeight="1">
      <c r="A152" s="75">
        <f t="shared" si="15"/>
        <v>146</v>
      </c>
      <c r="B152" s="76" t="s">
        <v>305</v>
      </c>
      <c r="C152" s="87">
        <v>225704.40000000002</v>
      </c>
      <c r="D152" s="87">
        <f t="shared" si="16"/>
        <v>4514.4000000000233</v>
      </c>
      <c r="E152" s="87">
        <v>221190</v>
      </c>
      <c r="F152" s="87">
        <v>4514.4000000000269</v>
      </c>
      <c r="G152" s="87">
        <f t="shared" si="17"/>
        <v>225704.40000000002</v>
      </c>
      <c r="H152" s="87"/>
      <c r="I152" s="98" t="s">
        <v>214</v>
      </c>
      <c r="J152" s="80"/>
      <c r="K152" s="80"/>
    </row>
    <row r="153" spans="1:12" ht="14.1" customHeight="1">
      <c r="A153" s="75">
        <f t="shared" si="15"/>
        <v>147</v>
      </c>
      <c r="B153" s="76" t="s">
        <v>306</v>
      </c>
      <c r="C153" s="87">
        <v>2221244.69</v>
      </c>
      <c r="D153" s="87">
        <f t="shared" si="16"/>
        <v>44424.689999999944</v>
      </c>
      <c r="E153" s="87">
        <v>2176820</v>
      </c>
      <c r="F153" s="87">
        <v>44424.689999999944</v>
      </c>
      <c r="G153" s="87">
        <f t="shared" si="17"/>
        <v>2221244.69</v>
      </c>
      <c r="H153" s="87"/>
      <c r="I153" s="98" t="s">
        <v>214</v>
      </c>
      <c r="J153" s="80"/>
      <c r="K153" s="80"/>
    </row>
    <row r="154" spans="1:12" ht="14.1" customHeight="1">
      <c r="A154" s="75">
        <f t="shared" si="15"/>
        <v>148</v>
      </c>
      <c r="B154" s="76" t="s">
        <v>307</v>
      </c>
      <c r="C154" s="344">
        <v>100776166.75</v>
      </c>
      <c r="D154" s="87">
        <f>C154-E154</f>
        <v>2015523.75</v>
      </c>
      <c r="E154" s="87">
        <v>98760643</v>
      </c>
      <c r="F154" s="87">
        <v>2015523.75</v>
      </c>
      <c r="G154" s="87">
        <f>E154+F154</f>
        <v>100776166.75</v>
      </c>
      <c r="H154" s="87"/>
      <c r="I154" s="98" t="s">
        <v>214</v>
      </c>
      <c r="J154" s="80"/>
      <c r="K154" s="80"/>
    </row>
    <row r="155" spans="1:12" ht="14.1" customHeight="1">
      <c r="A155" s="75">
        <f t="shared" si="15"/>
        <v>149</v>
      </c>
      <c r="B155" s="76" t="s">
        <v>308</v>
      </c>
      <c r="C155" s="87">
        <v>2154021.7399999998</v>
      </c>
      <c r="D155" s="87">
        <f t="shared" si="16"/>
        <v>43080.739999999758</v>
      </c>
      <c r="E155" s="87">
        <v>2110941</v>
      </c>
      <c r="F155" s="87">
        <v>43080.739999999758</v>
      </c>
      <c r="G155" s="87">
        <f t="shared" si="17"/>
        <v>2154021.7399999998</v>
      </c>
      <c r="H155" s="87"/>
      <c r="I155" s="98" t="s">
        <v>214</v>
      </c>
      <c r="J155" s="80"/>
      <c r="K155" s="80"/>
    </row>
    <row r="156" spans="1:12" ht="14.1" customHeight="1">
      <c r="A156" s="75">
        <f t="shared" si="15"/>
        <v>150</v>
      </c>
      <c r="B156" s="76" t="s">
        <v>309</v>
      </c>
      <c r="C156" s="87">
        <v>0</v>
      </c>
      <c r="D156" s="87">
        <f t="shared" si="16"/>
        <v>0</v>
      </c>
      <c r="E156" s="87">
        <v>0</v>
      </c>
      <c r="F156" s="87">
        <v>0</v>
      </c>
      <c r="G156" s="87">
        <f t="shared" si="17"/>
        <v>0</v>
      </c>
      <c r="H156" s="87"/>
      <c r="I156" s="98" t="s">
        <v>214</v>
      </c>
      <c r="J156" s="80"/>
      <c r="K156" s="80"/>
    </row>
    <row r="157" spans="1:12" ht="14.1" customHeight="1">
      <c r="A157" s="75">
        <f t="shared" si="15"/>
        <v>151</v>
      </c>
      <c r="B157" s="90" t="s">
        <v>310</v>
      </c>
      <c r="C157" s="87">
        <v>158819.18</v>
      </c>
      <c r="D157" s="87">
        <f t="shared" si="16"/>
        <v>158819.18</v>
      </c>
      <c r="E157" s="87">
        <v>0</v>
      </c>
      <c r="F157" s="87">
        <v>0</v>
      </c>
      <c r="G157" s="87">
        <f t="shared" si="17"/>
        <v>0</v>
      </c>
      <c r="H157" s="87"/>
      <c r="I157" s="98" t="s">
        <v>280</v>
      </c>
      <c r="J157" s="80"/>
      <c r="K157" s="80"/>
    </row>
    <row r="158" spans="1:12" ht="14.1" customHeight="1">
      <c r="A158" s="75">
        <f t="shared" si="15"/>
        <v>152</v>
      </c>
      <c r="B158" s="93" t="s">
        <v>311</v>
      </c>
      <c r="C158" s="97">
        <f>SUM(C146:C157)</f>
        <v>171790528.25</v>
      </c>
      <c r="D158" s="97">
        <f>SUM(D146:D157)</f>
        <v>3591454.2500000014</v>
      </c>
      <c r="E158" s="97">
        <f>SUM(E146:E157)</f>
        <v>168199074</v>
      </c>
      <c r="F158" s="97">
        <f>SUM(F146:F157)</f>
        <v>3432635.0700000017</v>
      </c>
      <c r="G158" s="97">
        <f>SUM(G146:G157)</f>
        <v>171631709.06999999</v>
      </c>
      <c r="H158" s="97"/>
      <c r="I158" s="335"/>
      <c r="J158" s="80"/>
      <c r="K158" s="80"/>
      <c r="L158" s="75">
        <v>1010001</v>
      </c>
    </row>
    <row r="159" spans="1:12" ht="14.1" customHeight="1">
      <c r="A159" s="75">
        <f t="shared" si="15"/>
        <v>153</v>
      </c>
      <c r="B159" s="93"/>
      <c r="C159" s="94"/>
      <c r="D159" s="94"/>
      <c r="E159" s="94"/>
      <c r="F159" s="94"/>
      <c r="G159" s="94"/>
      <c r="H159" s="94"/>
      <c r="I159" s="338"/>
      <c r="J159" s="80"/>
      <c r="K159" s="80"/>
    </row>
    <row r="160" spans="1:12" ht="14.1" customHeight="1">
      <c r="A160" s="75">
        <f t="shared" si="15"/>
        <v>154</v>
      </c>
      <c r="B160" s="93" t="s">
        <v>312</v>
      </c>
      <c r="C160" s="87"/>
      <c r="D160" s="94"/>
      <c r="E160" s="94"/>
      <c r="F160" s="94"/>
      <c r="G160" s="94"/>
      <c r="H160" s="94"/>
      <c r="I160" s="96"/>
      <c r="J160" s="80"/>
      <c r="K160" s="80"/>
    </row>
    <row r="161" spans="1:16" ht="14.1" customHeight="1">
      <c r="A161" s="75">
        <f t="shared" si="15"/>
        <v>155</v>
      </c>
      <c r="B161" s="96" t="s">
        <v>313</v>
      </c>
      <c r="C161" s="87">
        <v>0</v>
      </c>
      <c r="D161" s="94">
        <f>C161-E161</f>
        <v>0</v>
      </c>
      <c r="E161" s="87">
        <v>0</v>
      </c>
      <c r="F161" s="87">
        <v>0</v>
      </c>
      <c r="G161" s="87">
        <f>E161+F161</f>
        <v>0</v>
      </c>
      <c r="H161" s="87"/>
      <c r="I161" s="98" t="s">
        <v>214</v>
      </c>
      <c r="J161" s="80"/>
      <c r="K161" s="80"/>
    </row>
    <row r="162" spans="1:16" ht="14.1" customHeight="1">
      <c r="A162" s="75">
        <f t="shared" si="15"/>
        <v>156</v>
      </c>
      <c r="B162" s="96" t="s">
        <v>314</v>
      </c>
      <c r="C162" s="87">
        <v>37388841.06000001</v>
      </c>
      <c r="D162" s="94">
        <f>C162-E162</f>
        <v>560833.06000000983</v>
      </c>
      <c r="E162" s="87">
        <v>36828008</v>
      </c>
      <c r="F162" s="87">
        <v>560833.06000000983</v>
      </c>
      <c r="G162" s="87">
        <f>E162+F162</f>
        <v>37388841.06000001</v>
      </c>
      <c r="H162" s="87"/>
      <c r="I162" s="98" t="s">
        <v>221</v>
      </c>
      <c r="J162" s="80"/>
      <c r="K162" s="80"/>
    </row>
    <row r="163" spans="1:16" ht="14.1" customHeight="1">
      <c r="A163" s="75">
        <f t="shared" si="15"/>
        <v>157</v>
      </c>
      <c r="B163" s="96" t="s">
        <v>315</v>
      </c>
      <c r="C163" s="87">
        <v>167662293.53000006</v>
      </c>
      <c r="D163" s="94">
        <f>C163-E163</f>
        <v>2514934.5300000608</v>
      </c>
      <c r="E163" s="94">
        <v>165147359</v>
      </c>
      <c r="F163" s="87">
        <v>2514934.5300000608</v>
      </c>
      <c r="G163" s="87">
        <f>E163+F163</f>
        <v>167662293.53000006</v>
      </c>
      <c r="H163" s="87"/>
      <c r="I163" s="98" t="s">
        <v>264</v>
      </c>
      <c r="J163" s="80"/>
      <c r="K163" s="80"/>
    </row>
    <row r="164" spans="1:16" ht="14.1" customHeight="1">
      <c r="A164" s="75">
        <f t="shared" si="15"/>
        <v>158</v>
      </c>
      <c r="B164" s="96" t="s">
        <v>316</v>
      </c>
      <c r="C164" s="87">
        <v>77179762.209999979</v>
      </c>
      <c r="D164" s="94">
        <f>J164</f>
        <v>0</v>
      </c>
      <c r="E164" s="87">
        <f>C164-D164</f>
        <v>77179762.209999979</v>
      </c>
      <c r="F164" s="87">
        <v>0</v>
      </c>
      <c r="G164" s="87">
        <f>E164+F164</f>
        <v>77179762.209999979</v>
      </c>
      <c r="H164" s="87"/>
      <c r="I164" s="96" t="s">
        <v>280</v>
      </c>
      <c r="J164" s="80">
        <v>0</v>
      </c>
      <c r="K164" s="75" t="s">
        <v>268</v>
      </c>
      <c r="P164" s="75"/>
    </row>
    <row r="165" spans="1:16" ht="14.1" customHeight="1">
      <c r="A165" s="75">
        <f t="shared" si="15"/>
        <v>159</v>
      </c>
      <c r="B165" s="114" t="s">
        <v>317</v>
      </c>
      <c r="C165" s="87">
        <v>2157835.9700000002</v>
      </c>
      <c r="D165" s="94">
        <f>C165-E165</f>
        <v>43156.970000000205</v>
      </c>
      <c r="E165" s="87">
        <v>2114679</v>
      </c>
      <c r="F165" s="87">
        <v>43156.970000000205</v>
      </c>
      <c r="G165" s="87">
        <f>E165+F165</f>
        <v>2157835.9700000002</v>
      </c>
      <c r="H165" s="87"/>
      <c r="I165" s="98" t="s">
        <v>214</v>
      </c>
      <c r="J165" s="80"/>
      <c r="K165" s="80"/>
    </row>
    <row r="166" spans="1:16" ht="14.1" customHeight="1">
      <c r="A166" s="75">
        <f t="shared" si="15"/>
        <v>160</v>
      </c>
      <c r="B166" s="93" t="s">
        <v>318</v>
      </c>
      <c r="C166" s="97">
        <f>SUM(C161:C165)</f>
        <v>284388732.7700001</v>
      </c>
      <c r="D166" s="97">
        <f>SUM(D161:D165)</f>
        <v>3118924.5600000708</v>
      </c>
      <c r="E166" s="97">
        <f>SUM(E161:E165)</f>
        <v>281269808.20999998</v>
      </c>
      <c r="F166" s="97">
        <f>SUM(F161:F165)</f>
        <v>3118924.5600000708</v>
      </c>
      <c r="G166" s="97">
        <f>SUM(G161:G165)</f>
        <v>284388732.7700001</v>
      </c>
      <c r="H166" s="97"/>
      <c r="I166" s="341"/>
      <c r="J166" s="80"/>
      <c r="K166" s="80"/>
      <c r="L166" s="75" t="s">
        <v>319</v>
      </c>
    </row>
    <row r="167" spans="1:16" ht="14.1" customHeight="1">
      <c r="A167" s="75">
        <f t="shared" si="15"/>
        <v>161</v>
      </c>
      <c r="B167" s="93"/>
      <c r="C167" s="94"/>
      <c r="D167" s="94"/>
      <c r="E167" s="94"/>
      <c r="F167" s="94"/>
      <c r="G167" s="94"/>
      <c r="H167" s="94"/>
      <c r="I167" s="338"/>
      <c r="J167" s="80"/>
      <c r="K167" s="80"/>
    </row>
    <row r="168" spans="1:16" ht="14.1" customHeight="1">
      <c r="A168" s="75">
        <f t="shared" si="15"/>
        <v>162</v>
      </c>
      <c r="B168" s="96" t="s">
        <v>320</v>
      </c>
      <c r="C168" s="94">
        <v>1449570.6</v>
      </c>
      <c r="D168" s="94">
        <f>C168-E168</f>
        <v>1449570.6</v>
      </c>
      <c r="E168" s="94">
        <v>0</v>
      </c>
      <c r="F168" s="87">
        <v>0</v>
      </c>
      <c r="G168" s="87">
        <f>E168+F168</f>
        <v>0</v>
      </c>
      <c r="H168" s="94"/>
      <c r="I168" s="98"/>
      <c r="J168" s="80"/>
      <c r="K168" s="80"/>
      <c r="L168" s="75">
        <v>1011001</v>
      </c>
    </row>
    <row r="169" spans="1:16" ht="14.1" customHeight="1">
      <c r="A169" s="75">
        <f t="shared" si="15"/>
        <v>163</v>
      </c>
      <c r="B169" s="114" t="s">
        <v>321</v>
      </c>
      <c r="C169" s="115">
        <f>3680847.2+492985.35-516593.22</f>
        <v>3657239.33</v>
      </c>
      <c r="D169" s="94">
        <f>C169-E169</f>
        <v>3657239.33</v>
      </c>
      <c r="E169" s="87">
        <v>0</v>
      </c>
      <c r="F169" s="87">
        <v>0</v>
      </c>
      <c r="G169" s="87">
        <f>E169+F169</f>
        <v>0</v>
      </c>
      <c r="H169" s="115"/>
      <c r="I169" s="98"/>
      <c r="J169" s="80"/>
      <c r="K169" s="80"/>
      <c r="L169" s="75" t="s">
        <v>322</v>
      </c>
    </row>
    <row r="170" spans="1:16" ht="14.1" customHeight="1">
      <c r="A170" s="75">
        <f t="shared" si="15"/>
        <v>164</v>
      </c>
      <c r="B170" s="93" t="s">
        <v>323</v>
      </c>
      <c r="C170" s="97">
        <f>SUM(C168:C169)</f>
        <v>5106809.93</v>
      </c>
      <c r="D170" s="97">
        <f>SUM(D168:D169)</f>
        <v>5106809.93</v>
      </c>
      <c r="E170" s="97">
        <f>SUM(E168:E169)</f>
        <v>0</v>
      </c>
      <c r="F170" s="97">
        <f>SUM(F168:F169)</f>
        <v>0</v>
      </c>
      <c r="G170" s="97">
        <f>SUM(G168:G169)</f>
        <v>0</v>
      </c>
      <c r="H170" s="97"/>
      <c r="I170" s="335"/>
      <c r="J170" s="80"/>
      <c r="K170" s="80"/>
    </row>
    <row r="171" spans="1:16" ht="14.1" customHeight="1">
      <c r="A171" s="75">
        <f t="shared" si="15"/>
        <v>165</v>
      </c>
      <c r="B171" s="113"/>
      <c r="C171" s="115"/>
      <c r="D171" s="115"/>
      <c r="E171" s="115"/>
      <c r="F171" s="115"/>
      <c r="G171" s="115"/>
      <c r="H171" s="115"/>
      <c r="I171" s="345"/>
      <c r="J171" s="80"/>
      <c r="K171" s="80"/>
    </row>
    <row r="172" spans="1:16" ht="14.1" customHeight="1" thickBot="1">
      <c r="A172" s="75">
        <f t="shared" si="15"/>
        <v>166</v>
      </c>
      <c r="B172" s="116" t="s">
        <v>324</v>
      </c>
      <c r="C172" s="117">
        <f>+C170+C166+C158+C143+C125+C110+C62+C106</f>
        <v>3657961431.1199999</v>
      </c>
      <c r="D172" s="117">
        <f>+D170+D166+D158+D143+D125+D110+D62+D106</f>
        <v>77564198.450000077</v>
      </c>
      <c r="E172" s="117">
        <f>+E170+E166+E158+E143+E125+E110+E62+E106</f>
        <v>3580397232.6700001</v>
      </c>
      <c r="F172" s="117">
        <f>+F170+F166+F158+F143+F125+F110+F62+F106</f>
        <v>-601498841.80999994</v>
      </c>
      <c r="G172" s="117">
        <f>+G170+G166+G158+G143+G125+G110+G62+G106</f>
        <v>2978898390.8599997</v>
      </c>
      <c r="H172" s="119"/>
      <c r="I172" s="346"/>
      <c r="J172" s="80"/>
      <c r="K172" s="80"/>
    </row>
    <row r="173" spans="1:16" ht="14.1" customHeight="1" thickTop="1">
      <c r="A173" s="75">
        <f t="shared" si="15"/>
        <v>167</v>
      </c>
      <c r="C173" s="87"/>
      <c r="D173" s="87"/>
      <c r="E173" s="347"/>
      <c r="F173" s="87"/>
      <c r="G173" s="87"/>
      <c r="H173" s="87"/>
      <c r="I173" s="98"/>
      <c r="J173" s="80"/>
      <c r="K173" s="80"/>
    </row>
    <row r="174" spans="1:16" ht="14.1" customHeight="1">
      <c r="A174" s="75">
        <f t="shared" si="15"/>
        <v>168</v>
      </c>
      <c r="B174" s="93" t="s">
        <v>325</v>
      </c>
      <c r="C174" s="87">
        <f>C125+C163</f>
        <v>963389640.44000006</v>
      </c>
      <c r="D174" s="87">
        <f>D125+D163</f>
        <v>14455610.440000016</v>
      </c>
      <c r="E174" s="87">
        <f>E125+E163</f>
        <v>948934030</v>
      </c>
      <c r="F174" s="87">
        <f>F125+F163</f>
        <v>14455610.440000016</v>
      </c>
      <c r="G174" s="87">
        <f>G125+G163</f>
        <v>963389640.44000006</v>
      </c>
      <c r="H174" s="329">
        <f>ROUND(E174/C174,3)</f>
        <v>0.98499999999999999</v>
      </c>
      <c r="I174" s="98"/>
      <c r="J174" s="80"/>
      <c r="K174" s="80"/>
    </row>
    <row r="175" spans="1:16" ht="14.1" customHeight="1">
      <c r="A175" s="75">
        <f t="shared" si="15"/>
        <v>169</v>
      </c>
      <c r="C175" s="87"/>
      <c r="D175" s="87"/>
      <c r="E175" s="347"/>
      <c r="F175" s="87"/>
      <c r="G175" s="87"/>
      <c r="H175" s="329"/>
      <c r="I175" s="98"/>
      <c r="J175" s="80"/>
      <c r="K175" s="80"/>
    </row>
    <row r="176" spans="1:16" ht="14.1" customHeight="1">
      <c r="A176" s="75">
        <f t="shared" si="15"/>
        <v>170</v>
      </c>
      <c r="B176" s="93" t="s">
        <v>326</v>
      </c>
      <c r="C176" s="87">
        <f>C143+C164</f>
        <v>1223397011.52</v>
      </c>
      <c r="D176" s="87">
        <f>D143+D164</f>
        <v>1454205.8499999999</v>
      </c>
      <c r="E176" s="87">
        <f>E143+E164</f>
        <v>1221942805.6700001</v>
      </c>
      <c r="F176" s="87">
        <f>F143+F164</f>
        <v>18000000</v>
      </c>
      <c r="G176" s="87">
        <f>G143+G164</f>
        <v>1239942805.6700001</v>
      </c>
      <c r="H176" s="329">
        <f>ROUND(E176/C176,3)</f>
        <v>0.999</v>
      </c>
      <c r="I176" s="98"/>
      <c r="J176" s="80"/>
      <c r="K176" s="80"/>
    </row>
    <row r="177" spans="1:13" ht="14.1" customHeight="1">
      <c r="A177" s="75">
        <f t="shared" si="15"/>
        <v>171</v>
      </c>
      <c r="C177" s="87"/>
      <c r="D177" s="87"/>
      <c r="E177" s="347"/>
      <c r="F177" s="87"/>
      <c r="G177" s="87"/>
      <c r="H177" s="329"/>
      <c r="I177" s="98"/>
      <c r="J177" s="80"/>
      <c r="K177" s="80"/>
    </row>
    <row r="178" spans="1:13" ht="14.1" customHeight="1">
      <c r="A178" s="75">
        <f t="shared" si="15"/>
        <v>172</v>
      </c>
      <c r="B178" s="93" t="s">
        <v>327</v>
      </c>
      <c r="C178" s="87">
        <f>C125+C143+C163+C164</f>
        <v>2186786651.9599996</v>
      </c>
      <c r="D178" s="87">
        <f>D125+D143+D163+D164</f>
        <v>15909816.290000016</v>
      </c>
      <c r="E178" s="87">
        <f>E125+E143+E163+E164</f>
        <v>2170876835.6700001</v>
      </c>
      <c r="F178" s="87">
        <f>F125+F143+F163+F164</f>
        <v>32455610.440000016</v>
      </c>
      <c r="G178" s="87">
        <f>G125+G143+G163+G164</f>
        <v>2203332446.1099997</v>
      </c>
      <c r="H178" s="329">
        <f>ROUND(E178/C178,3)</f>
        <v>0.99299999999999999</v>
      </c>
      <c r="I178" s="98"/>
      <c r="J178" s="80"/>
      <c r="K178" s="80"/>
    </row>
    <row r="179" spans="1:13" ht="14.1" customHeight="1">
      <c r="A179" s="75">
        <f t="shared" si="15"/>
        <v>173</v>
      </c>
      <c r="C179" s="87"/>
      <c r="D179" s="87"/>
      <c r="E179" s="347"/>
      <c r="F179" s="87"/>
      <c r="G179" s="87"/>
      <c r="H179" s="329"/>
      <c r="I179" s="98"/>
      <c r="J179" s="80"/>
      <c r="K179" s="80"/>
    </row>
    <row r="180" spans="1:13" ht="14.1" customHeight="1">
      <c r="A180" s="75">
        <f t="shared" si="15"/>
        <v>174</v>
      </c>
      <c r="B180" s="93" t="s">
        <v>328</v>
      </c>
      <c r="C180" s="94">
        <f>C62+C110+C125+C143+C158+C166+C106</f>
        <v>3652854621.1900001</v>
      </c>
      <c r="D180" s="94">
        <f>D62+D110+D125+D143+D158+D166+D106</f>
        <v>72457388.520000085</v>
      </c>
      <c r="E180" s="94">
        <f>E62+E110+E125+E143+E158+E166+E106</f>
        <v>3580397232.6700001</v>
      </c>
      <c r="F180" s="94">
        <f>F62+F110+F125+F143+F158+F166+F106</f>
        <v>-601498841.80999994</v>
      </c>
      <c r="G180" s="94">
        <f>G62+G110+G125+G143+G158+G166+G106</f>
        <v>2978898390.8599997</v>
      </c>
      <c r="H180" s="329">
        <f>ROUND(E180/C180,3)</f>
        <v>0.98</v>
      </c>
      <c r="I180" s="104"/>
      <c r="J180" s="80"/>
      <c r="K180" s="80"/>
    </row>
    <row r="181" spans="1:13" ht="14.1" customHeight="1">
      <c r="A181" s="75">
        <f t="shared" si="15"/>
        <v>175</v>
      </c>
      <c r="B181" s="93"/>
      <c r="C181" s="94"/>
      <c r="D181" s="94"/>
      <c r="E181" s="94"/>
      <c r="F181" s="94"/>
      <c r="G181" s="94"/>
      <c r="H181" s="348"/>
      <c r="I181" s="104"/>
      <c r="J181" s="80"/>
      <c r="K181" s="80"/>
    </row>
    <row r="182" spans="1:13" ht="14.1" customHeight="1">
      <c r="A182" s="75">
        <f t="shared" si="15"/>
        <v>176</v>
      </c>
      <c r="B182" s="93" t="s">
        <v>329</v>
      </c>
      <c r="C182" s="94">
        <f>C106+C125+C143+C162+C163+C164+C110</f>
        <v>3478853337.79</v>
      </c>
      <c r="D182" s="94">
        <f>D106+D125+D143+D162+D163+D164+D110</f>
        <v>68821719.120000079</v>
      </c>
      <c r="E182" s="94">
        <f>E106+E125+E143+E162+E163+E164+E110</f>
        <v>3410031618.6700001</v>
      </c>
      <c r="F182" s="94">
        <f>F106+F125+F143+F162+F163+F164+F110</f>
        <v>-600944649.02999985</v>
      </c>
      <c r="G182" s="94">
        <f>G106+G125+G143+G162+G163+G164+G110</f>
        <v>2809086969.6400003</v>
      </c>
      <c r="H182" s="329">
        <f>ROUND(E182/C182,3)</f>
        <v>0.98</v>
      </c>
      <c r="I182" s="104"/>
      <c r="J182" s="80"/>
      <c r="K182" s="80"/>
    </row>
    <row r="183" spans="1:13" ht="14.1" customHeight="1">
      <c r="A183" s="75">
        <f t="shared" si="15"/>
        <v>177</v>
      </c>
      <c r="C183" s="87"/>
      <c r="D183" s="87"/>
      <c r="E183" s="347"/>
      <c r="F183" s="87"/>
      <c r="G183" s="87"/>
      <c r="H183" s="87"/>
      <c r="I183" s="98"/>
      <c r="J183" s="80"/>
      <c r="K183" s="80"/>
    </row>
    <row r="184" spans="1:13" ht="14.1" customHeight="1">
      <c r="A184" s="75">
        <f t="shared" si="15"/>
        <v>178</v>
      </c>
      <c r="B184" s="81" t="s">
        <v>330</v>
      </c>
      <c r="C184" s="87"/>
      <c r="D184" s="94"/>
      <c r="E184" s="87"/>
      <c r="F184" s="87"/>
      <c r="G184" s="87"/>
      <c r="H184" s="87"/>
      <c r="I184" s="98"/>
      <c r="J184" s="80"/>
      <c r="K184" s="80"/>
    </row>
    <row r="185" spans="1:13" ht="14.1" customHeight="1">
      <c r="A185" s="75">
        <f t="shared" si="15"/>
        <v>179</v>
      </c>
      <c r="B185" s="76" t="s">
        <v>331</v>
      </c>
      <c r="C185" s="87">
        <f>646446175.85-6610723.67</f>
        <v>639835452.18000007</v>
      </c>
      <c r="D185" s="87">
        <f>C185-E185</f>
        <v>18545486.180000067</v>
      </c>
      <c r="E185" s="87">
        <v>621289966</v>
      </c>
      <c r="F185" s="87">
        <v>-357059890.81999993</v>
      </c>
      <c r="G185" s="87">
        <f>E185+F185</f>
        <v>264230075.18000007</v>
      </c>
      <c r="H185" s="87"/>
      <c r="I185" s="98" t="s">
        <v>221</v>
      </c>
      <c r="J185" s="80">
        <v>-9084217.6699999999</v>
      </c>
      <c r="K185" s="98" t="s">
        <v>332</v>
      </c>
      <c r="L185" s="75" t="s">
        <v>333</v>
      </c>
    </row>
    <row r="186" spans="1:13" ht="14.1" customHeight="1">
      <c r="A186" s="75">
        <f t="shared" si="15"/>
        <v>180</v>
      </c>
      <c r="B186" s="76" t="s">
        <v>334</v>
      </c>
      <c r="C186" s="87">
        <f>312991360.03-6284597.47</f>
        <v>306706762.55999994</v>
      </c>
      <c r="D186" s="87">
        <f>C186-E186</f>
        <v>3267874.5599999428</v>
      </c>
      <c r="E186" s="87">
        <v>303438888</v>
      </c>
      <c r="F186" s="87">
        <v>4600601.5599999428</v>
      </c>
      <c r="G186" s="87">
        <f>E186+F186</f>
        <v>308039489.55999994</v>
      </c>
      <c r="H186" s="87"/>
      <c r="I186" s="98" t="s">
        <v>259</v>
      </c>
      <c r="J186" s="80">
        <v>1353022</v>
      </c>
      <c r="K186" s="98" t="s">
        <v>335</v>
      </c>
    </row>
    <row r="187" spans="1:13" ht="14.1" customHeight="1">
      <c r="A187" s="75">
        <f t="shared" si="15"/>
        <v>181</v>
      </c>
      <c r="B187" s="76" t="s">
        <v>336</v>
      </c>
      <c r="C187" s="87">
        <f>389972413.94-4093329.46</f>
        <v>385879084.48000002</v>
      </c>
      <c r="D187" s="87">
        <f>C187-E187</f>
        <v>385879.48000001907</v>
      </c>
      <c r="E187" s="87">
        <v>385493205</v>
      </c>
      <c r="F187" s="87">
        <v>385879.48000001907</v>
      </c>
      <c r="G187" s="87">
        <f>E187+F187</f>
        <v>385879084.48000002</v>
      </c>
      <c r="H187" s="87"/>
      <c r="I187" s="96" t="s">
        <v>337</v>
      </c>
      <c r="J187" s="80"/>
      <c r="K187" s="80"/>
      <c r="M187" s="75"/>
    </row>
    <row r="188" spans="1:13" ht="13.5" customHeight="1">
      <c r="A188" s="75">
        <f t="shared" si="15"/>
        <v>182</v>
      </c>
      <c r="B188" s="76" t="s">
        <v>338</v>
      </c>
      <c r="C188" s="87">
        <f>68467845.7+18699.34+1095672.78</f>
        <v>69582217.820000008</v>
      </c>
      <c r="D188" s="87">
        <f>C188-E188</f>
        <v>1391644.8200000077</v>
      </c>
      <c r="E188" s="87">
        <v>68190573</v>
      </c>
      <c r="F188" s="87">
        <v>1391644.8200000077</v>
      </c>
      <c r="G188" s="87">
        <f>E188+F188</f>
        <v>69582217.820000008</v>
      </c>
      <c r="H188" s="87"/>
      <c r="I188" s="98" t="s">
        <v>214</v>
      </c>
      <c r="J188" s="80"/>
      <c r="K188" s="80"/>
    </row>
    <row r="189" spans="1:13" ht="14.1" customHeight="1">
      <c r="A189" s="75">
        <f t="shared" si="15"/>
        <v>183</v>
      </c>
      <c r="B189" s="93" t="s">
        <v>339</v>
      </c>
      <c r="C189" s="97">
        <f>SUM(C185:C188)</f>
        <v>1402003517.04</v>
      </c>
      <c r="D189" s="97">
        <f>SUM(D185:D188)</f>
        <v>23590885.040000036</v>
      </c>
      <c r="E189" s="97">
        <f>SUM(E185:E188)</f>
        <v>1378412632</v>
      </c>
      <c r="F189" s="97">
        <f>SUM(F185:F188)</f>
        <v>-350681764.95999998</v>
      </c>
      <c r="G189" s="97">
        <f>SUM(G185:G188)</f>
        <v>1027730867.0400001</v>
      </c>
      <c r="H189" s="110"/>
      <c r="I189" s="335"/>
      <c r="J189" s="80"/>
      <c r="K189" s="80"/>
      <c r="L189" s="75" t="s">
        <v>340</v>
      </c>
    </row>
    <row r="190" spans="1:13" ht="14.1" customHeight="1">
      <c r="A190" s="75">
        <f t="shared" si="15"/>
        <v>184</v>
      </c>
      <c r="B190" s="96"/>
      <c r="C190" s="94"/>
      <c r="D190" s="94"/>
      <c r="E190" s="322"/>
      <c r="F190" s="94"/>
      <c r="G190" s="87"/>
      <c r="H190" s="87"/>
      <c r="I190" s="349"/>
      <c r="J190" s="80"/>
      <c r="K190" s="80"/>
    </row>
    <row r="191" spans="1:13" ht="14.1" customHeight="1">
      <c r="A191" s="75">
        <f t="shared" si="15"/>
        <v>185</v>
      </c>
      <c r="B191" s="93" t="s">
        <v>341</v>
      </c>
      <c r="C191" s="94"/>
      <c r="D191" s="94"/>
      <c r="E191" s="94"/>
      <c r="F191" s="94"/>
      <c r="G191" s="87"/>
      <c r="H191" s="87"/>
      <c r="I191" s="98"/>
      <c r="J191" s="80"/>
      <c r="K191" s="80"/>
    </row>
    <row r="192" spans="1:13" ht="14.1" customHeight="1">
      <c r="A192" s="75">
        <f t="shared" si="15"/>
        <v>186</v>
      </c>
      <c r="B192" s="76" t="s">
        <v>342</v>
      </c>
      <c r="C192" s="87">
        <v>52919.040000000008</v>
      </c>
      <c r="D192" s="87">
        <f>C192-E192</f>
        <v>794.04000000000815</v>
      </c>
      <c r="E192" s="87">
        <v>52125</v>
      </c>
      <c r="F192" s="87">
        <v>-3689090.96</v>
      </c>
      <c r="G192" s="87">
        <f>E192+F192</f>
        <v>-3636965.96</v>
      </c>
      <c r="H192" s="87"/>
      <c r="I192" s="98" t="s">
        <v>214</v>
      </c>
      <c r="L192" s="75" t="s">
        <v>343</v>
      </c>
    </row>
    <row r="193" spans="1:12" ht="14.1" customHeight="1">
      <c r="A193" s="75">
        <f t="shared" si="15"/>
        <v>187</v>
      </c>
      <c r="B193" s="76" t="s">
        <v>331</v>
      </c>
      <c r="C193" s="87">
        <v>0</v>
      </c>
      <c r="D193" s="87">
        <f>C193-E193</f>
        <v>0</v>
      </c>
      <c r="E193" s="87">
        <v>0</v>
      </c>
      <c r="F193" s="87">
        <v>0</v>
      </c>
      <c r="G193" s="87">
        <f>E193+F193</f>
        <v>0</v>
      </c>
      <c r="H193" s="87"/>
      <c r="I193" s="98" t="s">
        <v>221</v>
      </c>
      <c r="J193" s="80"/>
      <c r="K193" s="80"/>
    </row>
    <row r="194" spans="1:12" ht="14.1" customHeight="1">
      <c r="A194" s="75">
        <f t="shared" si="15"/>
        <v>188</v>
      </c>
      <c r="B194" s="76" t="s">
        <v>315</v>
      </c>
      <c r="C194" s="87">
        <v>0</v>
      </c>
      <c r="D194" s="87">
        <f>C194-E194</f>
        <v>0</v>
      </c>
      <c r="E194" s="87">
        <v>0</v>
      </c>
      <c r="F194" s="87">
        <v>0</v>
      </c>
      <c r="G194" s="87">
        <v>0</v>
      </c>
      <c r="H194" s="87"/>
      <c r="I194" s="98"/>
      <c r="J194" s="80"/>
      <c r="K194" s="80"/>
    </row>
    <row r="195" spans="1:12" ht="14.1" customHeight="1">
      <c r="A195" s="75">
        <f t="shared" si="15"/>
        <v>189</v>
      </c>
      <c r="B195" s="76" t="s">
        <v>336</v>
      </c>
      <c r="C195" s="87">
        <v>0</v>
      </c>
      <c r="D195" s="87">
        <f>C195-E195</f>
        <v>0</v>
      </c>
      <c r="E195" s="87">
        <v>0</v>
      </c>
      <c r="F195" s="87">
        <v>0</v>
      </c>
      <c r="G195" s="87">
        <v>0</v>
      </c>
      <c r="H195" s="87"/>
      <c r="I195" s="98"/>
      <c r="J195" s="80"/>
      <c r="K195" s="80"/>
    </row>
    <row r="196" spans="1:12" s="95" customFormat="1" ht="14.1" customHeight="1">
      <c r="A196" s="75">
        <f t="shared" si="15"/>
        <v>190</v>
      </c>
      <c r="B196" s="90" t="s">
        <v>338</v>
      </c>
      <c r="C196" s="92">
        <v>6155</v>
      </c>
      <c r="D196" s="92">
        <f>C196-E196</f>
        <v>123</v>
      </c>
      <c r="E196" s="92">
        <v>6032</v>
      </c>
      <c r="F196" s="92">
        <v>123</v>
      </c>
      <c r="G196" s="92">
        <f>E196+F196</f>
        <v>6155</v>
      </c>
      <c r="H196" s="92"/>
      <c r="I196" s="99" t="s">
        <v>214</v>
      </c>
      <c r="J196" s="80"/>
      <c r="K196" s="80"/>
      <c r="L196" s="95" t="s">
        <v>343</v>
      </c>
    </row>
    <row r="197" spans="1:12" ht="14.1" customHeight="1">
      <c r="A197" s="75">
        <f t="shared" si="15"/>
        <v>191</v>
      </c>
      <c r="B197" s="93" t="s">
        <v>344</v>
      </c>
      <c r="C197" s="94">
        <f>SUM(C192:C196)</f>
        <v>59074.040000000008</v>
      </c>
      <c r="D197" s="94">
        <f>SUM(D192:D196)</f>
        <v>917.04000000000815</v>
      </c>
      <c r="E197" s="94">
        <f>SUM(E192:E196)</f>
        <v>58157</v>
      </c>
      <c r="F197" s="94">
        <f>SUM(F192:F196)</f>
        <v>-3688967.96</v>
      </c>
      <c r="G197" s="94">
        <f>SUM(G192:G196)</f>
        <v>-3630810.96</v>
      </c>
      <c r="H197" s="94"/>
      <c r="I197" s="338"/>
      <c r="J197" s="80"/>
      <c r="K197" s="80"/>
    </row>
    <row r="198" spans="1:12" ht="14.1" customHeight="1">
      <c r="A198" s="75">
        <f t="shared" si="15"/>
        <v>192</v>
      </c>
      <c r="B198" s="96"/>
      <c r="C198" s="94"/>
      <c r="D198" s="94"/>
      <c r="E198" s="322"/>
      <c r="F198" s="94"/>
      <c r="G198" s="87"/>
      <c r="H198" s="87"/>
      <c r="I198" s="98"/>
      <c r="J198" s="80"/>
      <c r="K198" s="80"/>
    </row>
    <row r="199" spans="1:12" ht="12.75" customHeight="1">
      <c r="A199" s="75">
        <f t="shared" si="15"/>
        <v>193</v>
      </c>
      <c r="B199" s="114" t="s">
        <v>345</v>
      </c>
      <c r="C199" s="115">
        <v>463950.17</v>
      </c>
      <c r="D199" s="92">
        <f>C199-E199</f>
        <v>463950.17</v>
      </c>
      <c r="E199" s="92">
        <v>0</v>
      </c>
      <c r="F199" s="92">
        <v>0</v>
      </c>
      <c r="G199" s="92">
        <v>0</v>
      </c>
      <c r="H199" s="92"/>
      <c r="I199" s="99"/>
      <c r="J199" s="80"/>
      <c r="K199" s="80"/>
      <c r="L199" s="75">
        <v>1011006</v>
      </c>
    </row>
    <row r="200" spans="1:12" ht="14.1" customHeight="1">
      <c r="A200" s="75">
        <f t="shared" si="15"/>
        <v>194</v>
      </c>
      <c r="B200" s="93" t="s">
        <v>346</v>
      </c>
      <c r="C200" s="94">
        <f>SUM(C199:C199)</f>
        <v>463950.17</v>
      </c>
      <c r="D200" s="94">
        <f>SUM(D199:D199)</f>
        <v>463950.17</v>
      </c>
      <c r="E200" s="94">
        <f>SUM(E199:E199)</f>
        <v>0</v>
      </c>
      <c r="F200" s="94">
        <f>SUM(F199:F199)</f>
        <v>0</v>
      </c>
      <c r="G200" s="94">
        <f>SUM(G199:G199)</f>
        <v>0</v>
      </c>
      <c r="H200" s="87"/>
      <c r="I200" s="98"/>
      <c r="J200" s="80"/>
      <c r="K200" s="80"/>
    </row>
    <row r="201" spans="1:12" ht="14.1" customHeight="1">
      <c r="A201" s="75">
        <f t="shared" si="15"/>
        <v>195</v>
      </c>
      <c r="B201" s="114"/>
      <c r="C201" s="115"/>
      <c r="D201" s="115"/>
      <c r="E201" s="350"/>
      <c r="F201" s="115"/>
      <c r="G201" s="92"/>
      <c r="H201" s="92"/>
      <c r="I201" s="99"/>
      <c r="J201" s="80"/>
      <c r="K201" s="80"/>
    </row>
    <row r="202" spans="1:12" ht="14.1" customHeight="1">
      <c r="A202" s="75">
        <f t="shared" si="15"/>
        <v>196</v>
      </c>
      <c r="B202" s="93" t="s">
        <v>347</v>
      </c>
      <c r="C202" s="94">
        <f>C197+C189+C200</f>
        <v>1402526541.25</v>
      </c>
      <c r="D202" s="94">
        <f>D197+D189+D200</f>
        <v>24055752.250000037</v>
      </c>
      <c r="E202" s="94">
        <f>E197+E189+E200</f>
        <v>1378470789</v>
      </c>
      <c r="F202" s="94">
        <f>F197+F189</f>
        <v>-354370732.91999996</v>
      </c>
      <c r="G202" s="94">
        <f>G197+G189</f>
        <v>1024100056.08</v>
      </c>
      <c r="H202" s="94"/>
      <c r="I202" s="338"/>
      <c r="J202" s="80"/>
      <c r="K202" s="80"/>
      <c r="L202" s="310"/>
    </row>
    <row r="203" spans="1:12" ht="14.1" customHeight="1">
      <c r="A203" s="75">
        <f t="shared" ref="A203:A266" si="18">+A202+1</f>
        <v>197</v>
      </c>
      <c r="B203" s="114"/>
      <c r="C203" s="115"/>
      <c r="D203" s="115"/>
      <c r="E203" s="350"/>
      <c r="F203" s="115"/>
      <c r="G203" s="92"/>
      <c r="H203" s="92"/>
      <c r="I203" s="99"/>
      <c r="J203" s="80"/>
      <c r="K203" s="80"/>
    </row>
    <row r="204" spans="1:12" ht="14.1" customHeight="1" thickBot="1">
      <c r="A204" s="75">
        <f t="shared" si="18"/>
        <v>198</v>
      </c>
      <c r="B204" s="102" t="s">
        <v>348</v>
      </c>
      <c r="C204" s="351">
        <f>+C172-C202</f>
        <v>2255434889.8699999</v>
      </c>
      <c r="D204" s="351">
        <f>+D172-D202</f>
        <v>53508446.20000004</v>
      </c>
      <c r="E204" s="351">
        <f>+E172-E202</f>
        <v>2201926443.6700001</v>
      </c>
      <c r="F204" s="103">
        <f>+F172-F202</f>
        <v>-247128108.88999999</v>
      </c>
      <c r="G204" s="103">
        <f>+G172-G202</f>
        <v>1954798334.7799997</v>
      </c>
      <c r="H204" s="103"/>
      <c r="I204" s="352"/>
      <c r="J204" s="80"/>
      <c r="K204" s="80"/>
      <c r="L204" s="353"/>
    </row>
    <row r="205" spans="1:12" ht="14.1" customHeight="1" thickTop="1">
      <c r="A205" s="75">
        <f t="shared" si="18"/>
        <v>199</v>
      </c>
      <c r="B205" s="96"/>
      <c r="C205" s="94"/>
      <c r="D205" s="94"/>
      <c r="E205" s="322"/>
      <c r="F205" s="94"/>
      <c r="G205" s="94"/>
      <c r="H205" s="94"/>
      <c r="I205" s="338"/>
      <c r="J205" s="80"/>
      <c r="K205" s="80"/>
    </row>
    <row r="206" spans="1:12" ht="14.1" customHeight="1">
      <c r="A206" s="75">
        <f t="shared" si="18"/>
        <v>200</v>
      </c>
      <c r="B206" s="81" t="s">
        <v>349</v>
      </c>
      <c r="C206" s="87"/>
      <c r="D206" s="87"/>
      <c r="E206" s="87"/>
      <c r="F206" s="87"/>
      <c r="G206" s="87"/>
      <c r="H206" s="87"/>
      <c r="I206" s="98"/>
      <c r="J206" s="80"/>
      <c r="K206" s="80"/>
    </row>
    <row r="207" spans="1:12" ht="14.1" customHeight="1">
      <c r="A207" s="75">
        <f t="shared" si="18"/>
        <v>201</v>
      </c>
      <c r="B207" s="76" t="s">
        <v>342</v>
      </c>
      <c r="C207" s="87">
        <f>211349.87-C208</f>
        <v>165387.79999999999</v>
      </c>
      <c r="D207" s="87">
        <f>C207-E207</f>
        <v>165387.79999999999</v>
      </c>
      <c r="E207" s="87">
        <v>0</v>
      </c>
      <c r="F207" s="87"/>
      <c r="G207" s="87"/>
      <c r="H207" s="87"/>
      <c r="I207" s="98"/>
      <c r="J207" s="80"/>
      <c r="K207" s="80"/>
      <c r="L207" s="75" t="s">
        <v>350</v>
      </c>
    </row>
    <row r="208" spans="1:12" ht="14.1" customHeight="1">
      <c r="A208" s="75">
        <f t="shared" si="18"/>
        <v>202</v>
      </c>
      <c r="B208" s="90" t="s">
        <v>351</v>
      </c>
      <c r="C208" s="87">
        <v>45962.07</v>
      </c>
      <c r="D208" s="87">
        <f>C208-E208</f>
        <v>45962.07</v>
      </c>
      <c r="E208" s="87">
        <v>0</v>
      </c>
      <c r="F208" s="87"/>
      <c r="G208" s="87"/>
      <c r="H208" s="87"/>
      <c r="I208" s="98"/>
      <c r="J208" s="80"/>
      <c r="K208" s="80"/>
    </row>
    <row r="209" spans="1:12" ht="14.1" customHeight="1">
      <c r="A209" s="75">
        <f t="shared" si="18"/>
        <v>203</v>
      </c>
      <c r="B209" s="81" t="s">
        <v>352</v>
      </c>
      <c r="C209" s="110">
        <f>SUM(C207:C208)</f>
        <v>211349.87</v>
      </c>
      <c r="D209" s="110">
        <f>SUM(D207:D208)</f>
        <v>211349.87</v>
      </c>
      <c r="E209" s="110">
        <f>SUM(E207:E208)</f>
        <v>0</v>
      </c>
      <c r="F209" s="110">
        <f>SUM(F207:F208)</f>
        <v>0</v>
      </c>
      <c r="G209" s="110">
        <f>SUM(G207:G208)</f>
        <v>0</v>
      </c>
      <c r="H209" s="110"/>
      <c r="I209" s="340"/>
      <c r="J209" s="80"/>
      <c r="K209" s="80"/>
    </row>
    <row r="210" spans="1:12" ht="14.1" customHeight="1">
      <c r="A210" s="75">
        <f t="shared" si="18"/>
        <v>204</v>
      </c>
      <c r="C210" s="87"/>
      <c r="D210" s="87"/>
      <c r="E210" s="87"/>
      <c r="F210" s="87"/>
      <c r="G210" s="87"/>
      <c r="H210" s="87"/>
      <c r="I210" s="98"/>
      <c r="J210" s="80"/>
      <c r="K210" s="80"/>
    </row>
    <row r="211" spans="1:12" ht="14.1" customHeight="1">
      <c r="A211" s="75">
        <f t="shared" si="18"/>
        <v>205</v>
      </c>
      <c r="B211" s="76" t="s">
        <v>331</v>
      </c>
      <c r="C211" s="87">
        <f>7382245.98-C212</f>
        <v>7150701.0300000003</v>
      </c>
      <c r="D211" s="87">
        <f>C211-E211</f>
        <v>107260.03000000026</v>
      </c>
      <c r="E211" s="87">
        <v>7043441</v>
      </c>
      <c r="F211" s="87">
        <v>107260.03000000026</v>
      </c>
      <c r="G211" s="87">
        <f>E211+F211</f>
        <v>7150701.0300000003</v>
      </c>
      <c r="H211" s="87"/>
      <c r="I211" s="98" t="s">
        <v>221</v>
      </c>
      <c r="J211" s="80"/>
      <c r="K211" s="80"/>
      <c r="L211" s="75" t="s">
        <v>350</v>
      </c>
    </row>
    <row r="212" spans="1:12" ht="14.1" customHeight="1">
      <c r="A212" s="75">
        <f t="shared" si="18"/>
        <v>206</v>
      </c>
      <c r="B212" s="90" t="s">
        <v>353</v>
      </c>
      <c r="C212" s="87">
        <v>231544.95000000004</v>
      </c>
      <c r="D212" s="87">
        <f>C212-E212</f>
        <v>3472.9500000000407</v>
      </c>
      <c r="E212" s="87">
        <v>228072</v>
      </c>
      <c r="F212" s="87">
        <v>3472.9500000000407</v>
      </c>
      <c r="G212" s="87">
        <f>E212+F212</f>
        <v>231544.95000000004</v>
      </c>
      <c r="H212" s="87"/>
      <c r="I212" s="98" t="s">
        <v>221</v>
      </c>
      <c r="J212" s="80"/>
      <c r="K212" s="80"/>
    </row>
    <row r="213" spans="1:12" ht="14.1" customHeight="1">
      <c r="A213" s="75">
        <f t="shared" si="18"/>
        <v>207</v>
      </c>
      <c r="B213" s="93" t="s">
        <v>354</v>
      </c>
      <c r="C213" s="110">
        <f>SUM(C211:C212)</f>
        <v>7382245.9800000004</v>
      </c>
      <c r="D213" s="110">
        <f>SUM(D211:D212)</f>
        <v>110732.9800000003</v>
      </c>
      <c r="E213" s="110">
        <f>SUM(E211:E212)</f>
        <v>7271513</v>
      </c>
      <c r="F213" s="110">
        <f>SUM(F211:F212)</f>
        <v>110732.9800000003</v>
      </c>
      <c r="G213" s="110">
        <f>SUM(G211:G212)</f>
        <v>7382245.9800000004</v>
      </c>
      <c r="H213" s="110"/>
      <c r="I213" s="354"/>
      <c r="J213" s="80"/>
      <c r="K213" s="80"/>
    </row>
    <row r="214" spans="1:12" ht="14.1" customHeight="1">
      <c r="A214" s="75">
        <f t="shared" si="18"/>
        <v>208</v>
      </c>
      <c r="B214" s="96"/>
      <c r="C214" s="87"/>
      <c r="D214" s="94"/>
      <c r="E214" s="87"/>
      <c r="F214" s="87"/>
      <c r="G214" s="87"/>
      <c r="H214" s="87"/>
      <c r="I214" s="98"/>
      <c r="J214" s="80"/>
      <c r="K214" s="80"/>
    </row>
    <row r="215" spans="1:12" ht="14.1" customHeight="1">
      <c r="A215" s="75">
        <f t="shared" si="18"/>
        <v>209</v>
      </c>
      <c r="B215" s="76" t="s">
        <v>334</v>
      </c>
      <c r="C215" s="87">
        <f>102149246.22-C216</f>
        <v>97286306.109999999</v>
      </c>
      <c r="D215" s="87">
        <f>C215-E215</f>
        <v>1459294.1099999994</v>
      </c>
      <c r="E215" s="87">
        <v>95827012</v>
      </c>
      <c r="F215" s="87">
        <v>1459294.1099999994</v>
      </c>
      <c r="G215" s="87">
        <f>E215+F215</f>
        <v>97286306.109999999</v>
      </c>
      <c r="H215" s="87"/>
      <c r="I215" s="98" t="s">
        <v>259</v>
      </c>
      <c r="J215" s="80"/>
      <c r="K215" s="80"/>
      <c r="L215" s="75" t="s">
        <v>350</v>
      </c>
    </row>
    <row r="216" spans="1:12" ht="14.1" customHeight="1">
      <c r="A216" s="75">
        <f t="shared" si="18"/>
        <v>210</v>
      </c>
      <c r="B216" s="114" t="s">
        <v>351</v>
      </c>
      <c r="C216" s="87">
        <v>4862940.1100000003</v>
      </c>
      <c r="D216" s="87">
        <f>C216-E216</f>
        <v>72944.110000000335</v>
      </c>
      <c r="E216" s="87">
        <v>4789996</v>
      </c>
      <c r="F216" s="87">
        <v>72944.110000000335</v>
      </c>
      <c r="G216" s="87">
        <f>E216+F216</f>
        <v>4862940.1100000003</v>
      </c>
      <c r="H216" s="87"/>
      <c r="I216" s="98"/>
      <c r="J216" s="80"/>
      <c r="K216" s="80"/>
    </row>
    <row r="217" spans="1:12" ht="14.1" customHeight="1">
      <c r="A217" s="75">
        <f t="shared" si="18"/>
        <v>211</v>
      </c>
      <c r="B217" s="81" t="s">
        <v>355</v>
      </c>
      <c r="C217" s="110">
        <f>SUM(C215:C216)</f>
        <v>102149246.22</v>
      </c>
      <c r="D217" s="110">
        <f>SUM(D215:D216)</f>
        <v>1532238.2199999997</v>
      </c>
      <c r="E217" s="110">
        <f>SUM(E215:E216)</f>
        <v>100617008</v>
      </c>
      <c r="F217" s="110">
        <f>SUM(F215:F216)</f>
        <v>1532238.2199999997</v>
      </c>
      <c r="G217" s="110">
        <f>SUM(G215:G216)</f>
        <v>102149246.22</v>
      </c>
      <c r="H217" s="110"/>
      <c r="I217" s="354"/>
      <c r="J217" s="80"/>
      <c r="K217" s="80"/>
    </row>
    <row r="218" spans="1:12" ht="14.1" customHeight="1">
      <c r="A218" s="75">
        <f t="shared" si="18"/>
        <v>212</v>
      </c>
      <c r="C218" s="87"/>
      <c r="D218" s="94"/>
      <c r="E218" s="87"/>
      <c r="F218" s="87"/>
      <c r="G218" s="87"/>
      <c r="H218" s="87"/>
      <c r="I218" s="98"/>
      <c r="J218" s="80"/>
      <c r="K218" s="80"/>
    </row>
    <row r="219" spans="1:12" s="95" customFormat="1" ht="14.1" customHeight="1">
      <c r="A219" s="75">
        <f t="shared" si="18"/>
        <v>213</v>
      </c>
      <c r="B219" s="76" t="s">
        <v>336</v>
      </c>
      <c r="C219" s="87">
        <f>54942089.75-C220</f>
        <v>52843883.659999996</v>
      </c>
      <c r="D219" s="87">
        <f>C219-E219</f>
        <v>52843.659999996424</v>
      </c>
      <c r="E219" s="87">
        <v>52791040</v>
      </c>
      <c r="F219" s="87">
        <v>52843.659999996424</v>
      </c>
      <c r="G219" s="87">
        <f>E219+F219</f>
        <v>52843883.659999996</v>
      </c>
      <c r="H219" s="87"/>
      <c r="I219" s="96" t="s">
        <v>337</v>
      </c>
      <c r="J219" s="80"/>
      <c r="K219" s="80"/>
      <c r="L219" s="75" t="s">
        <v>350</v>
      </c>
    </row>
    <row r="220" spans="1:12" s="95" customFormat="1" ht="14.1" customHeight="1">
      <c r="A220" s="75">
        <f t="shared" si="18"/>
        <v>214</v>
      </c>
      <c r="B220" s="90" t="s">
        <v>351</v>
      </c>
      <c r="C220" s="87">
        <v>2098206.09</v>
      </c>
      <c r="D220" s="87">
        <f>C220-E220</f>
        <v>2098.089999999851</v>
      </c>
      <c r="E220" s="87">
        <v>2096108</v>
      </c>
      <c r="F220" s="87">
        <v>2098.089999999851</v>
      </c>
      <c r="G220" s="87">
        <f>E220+F220</f>
        <v>2098206.09</v>
      </c>
      <c r="H220" s="87"/>
      <c r="I220" s="96"/>
      <c r="J220" s="80"/>
      <c r="K220" s="80"/>
    </row>
    <row r="221" spans="1:12" s="95" customFormat="1" ht="14.1" customHeight="1">
      <c r="A221" s="75">
        <f t="shared" si="18"/>
        <v>215</v>
      </c>
      <c r="B221" s="81" t="s">
        <v>356</v>
      </c>
      <c r="C221" s="110">
        <f>SUM(C219:C220)</f>
        <v>54942089.75</v>
      </c>
      <c r="D221" s="110">
        <f>SUM(D219:D220)</f>
        <v>54941.749999996275</v>
      </c>
      <c r="E221" s="110">
        <f>SUM(E219:E220)</f>
        <v>54887148</v>
      </c>
      <c r="F221" s="110">
        <f>SUM(F219:F220)</f>
        <v>54941.749999996275</v>
      </c>
      <c r="G221" s="110">
        <f>SUM(G219:G220)</f>
        <v>54942089.75</v>
      </c>
      <c r="H221" s="110"/>
      <c r="I221" s="354"/>
      <c r="J221" s="80"/>
      <c r="K221" s="80"/>
    </row>
    <row r="222" spans="1:12" s="95" customFormat="1" ht="14.1" customHeight="1">
      <c r="A222" s="75">
        <f t="shared" si="18"/>
        <v>216</v>
      </c>
      <c r="B222" s="76"/>
      <c r="C222" s="87"/>
      <c r="D222" s="94"/>
      <c r="E222" s="87"/>
      <c r="F222" s="87"/>
      <c r="G222" s="94"/>
      <c r="H222" s="94"/>
      <c r="I222" s="96"/>
      <c r="J222" s="80"/>
      <c r="K222" s="80"/>
    </row>
    <row r="223" spans="1:12" s="95" customFormat="1" ht="14.1" customHeight="1">
      <c r="A223" s="75">
        <f t="shared" si="18"/>
        <v>217</v>
      </c>
      <c r="B223" s="76" t="s">
        <v>338</v>
      </c>
      <c r="C223" s="87">
        <f>1528607.74-C224</f>
        <v>1503970.8599999999</v>
      </c>
      <c r="D223" s="87">
        <f>C223-E223</f>
        <v>30079.85999999987</v>
      </c>
      <c r="E223" s="87">
        <v>1473891</v>
      </c>
      <c r="F223" s="87">
        <v>30079.85999999987</v>
      </c>
      <c r="G223" s="87">
        <f>E223+F223</f>
        <v>1503970.8599999999</v>
      </c>
      <c r="H223" s="87"/>
      <c r="I223" s="98" t="s">
        <v>214</v>
      </c>
      <c r="J223" s="80"/>
      <c r="K223" s="80"/>
      <c r="L223" s="75" t="s">
        <v>350</v>
      </c>
    </row>
    <row r="224" spans="1:12" s="95" customFormat="1" ht="14.1" customHeight="1">
      <c r="A224" s="75">
        <f t="shared" si="18"/>
        <v>218</v>
      </c>
      <c r="B224" s="90" t="s">
        <v>351</v>
      </c>
      <c r="C224" s="87">
        <v>24636.880000000005</v>
      </c>
      <c r="D224" s="87">
        <f>C224-E224</f>
        <v>492.88000000000466</v>
      </c>
      <c r="E224" s="87">
        <v>24144</v>
      </c>
      <c r="F224" s="87">
        <v>492.88000000000466</v>
      </c>
      <c r="G224" s="87">
        <f>E224+F224</f>
        <v>24636.880000000005</v>
      </c>
      <c r="H224" s="87"/>
      <c r="I224" s="96"/>
      <c r="J224" s="80"/>
      <c r="K224" s="80"/>
    </row>
    <row r="225" spans="1:12" s="95" customFormat="1" ht="14.1" customHeight="1">
      <c r="A225" s="75">
        <f t="shared" si="18"/>
        <v>219</v>
      </c>
      <c r="B225" s="81" t="s">
        <v>357</v>
      </c>
      <c r="C225" s="110">
        <f>SUM(C223:C224)</f>
        <v>1528607.7399999998</v>
      </c>
      <c r="D225" s="110">
        <f>SUM(D223:D224)</f>
        <v>30572.739999999874</v>
      </c>
      <c r="E225" s="110">
        <f>SUM(E223:E224)</f>
        <v>1498035</v>
      </c>
      <c r="F225" s="110">
        <f>SUM(F223:F224)</f>
        <v>30572.739999999874</v>
      </c>
      <c r="G225" s="110">
        <f>SUM(G223:G224)</f>
        <v>1528607.7399999998</v>
      </c>
      <c r="H225" s="110"/>
      <c r="I225" s="340"/>
      <c r="J225" s="80"/>
      <c r="K225" s="80"/>
    </row>
    <row r="226" spans="1:12" s="95" customFormat="1" ht="14.1" customHeight="1">
      <c r="A226" s="75">
        <f t="shared" si="18"/>
        <v>220</v>
      </c>
      <c r="B226" s="90"/>
      <c r="C226" s="92"/>
      <c r="D226" s="115"/>
      <c r="E226" s="92"/>
      <c r="F226" s="92"/>
      <c r="G226" s="115"/>
      <c r="H226" s="115"/>
      <c r="I226" s="114"/>
      <c r="J226" s="80"/>
      <c r="K226" s="80"/>
    </row>
    <row r="227" spans="1:12" s="95" customFormat="1" ht="14.1" customHeight="1">
      <c r="A227" s="75">
        <f t="shared" si="18"/>
        <v>221</v>
      </c>
      <c r="B227" s="93" t="s">
        <v>358</v>
      </c>
      <c r="C227" s="94">
        <f>C213+C217+C221+C225+C209</f>
        <v>166213539.56</v>
      </c>
      <c r="D227" s="94">
        <f>D207+D213+D217+D221+D225+D209</f>
        <v>2105223.3599999961</v>
      </c>
      <c r="E227" s="94">
        <f>E207+E213+E217+E221+E225+E209</f>
        <v>164273704</v>
      </c>
      <c r="F227" s="94">
        <f>F207+F213+F217+F221+F225+F209</f>
        <v>1728485.6899999962</v>
      </c>
      <c r="G227" s="94">
        <f>G207+G213+G217+G221+G225+G209</f>
        <v>166002189.69</v>
      </c>
      <c r="H227" s="94"/>
      <c r="I227" s="104"/>
      <c r="J227" s="80"/>
      <c r="K227" s="80"/>
    </row>
    <row r="228" spans="1:12" s="95" customFormat="1" ht="14.1" customHeight="1">
      <c r="A228" s="75">
        <f t="shared" si="18"/>
        <v>222</v>
      </c>
      <c r="B228" s="93"/>
      <c r="C228" s="94"/>
      <c r="D228" s="94"/>
      <c r="E228" s="94"/>
      <c r="F228" s="94"/>
      <c r="G228" s="94"/>
      <c r="H228" s="94"/>
      <c r="I228" s="104"/>
      <c r="J228" s="80"/>
      <c r="K228" s="80"/>
    </row>
    <row r="229" spans="1:12" s="95" customFormat="1" ht="14.1" customHeight="1">
      <c r="A229" s="75">
        <f t="shared" si="18"/>
        <v>223</v>
      </c>
      <c r="B229" s="93" t="s">
        <v>359</v>
      </c>
      <c r="C229" s="94">
        <f>C208+C212+C216+C220+C224</f>
        <v>7263290.1000000006</v>
      </c>
      <c r="D229" s="94">
        <f>D208+D212+D216+D220+D224</f>
        <v>124970.10000000024</v>
      </c>
      <c r="E229" s="94">
        <f>E208+E212+E216+E220+E224</f>
        <v>7138320</v>
      </c>
      <c r="F229" s="94">
        <f>F208+F212+F216+F220+F224</f>
        <v>79008.030000000232</v>
      </c>
      <c r="G229" s="94">
        <f>G208+G212+G216+G220+G224</f>
        <v>7217328.0300000003</v>
      </c>
      <c r="H229" s="94"/>
      <c r="I229" s="104"/>
      <c r="J229" s="80"/>
      <c r="K229" s="80"/>
    </row>
    <row r="230" spans="1:12" s="95" customFormat="1" ht="14.1" customHeight="1">
      <c r="A230" s="75">
        <f t="shared" si="18"/>
        <v>224</v>
      </c>
      <c r="B230" s="93" t="s">
        <v>360</v>
      </c>
      <c r="C230" s="94">
        <f>C207+C211+C215+C219+C223</f>
        <v>158950249.46000001</v>
      </c>
      <c r="D230" s="94">
        <f>D207+D211+D215+D219+D223</f>
        <v>1814865.459999996</v>
      </c>
      <c r="E230" s="94">
        <f>E207+E211+E215+E219+E223</f>
        <v>157135384</v>
      </c>
      <c r="F230" s="94">
        <f>F207+F211+F215+F219+F223</f>
        <v>1649477.659999996</v>
      </c>
      <c r="G230" s="94">
        <f>G207+G211+G215+G219+G223</f>
        <v>158784861.66000003</v>
      </c>
      <c r="H230" s="94"/>
      <c r="I230" s="104"/>
      <c r="J230" s="80"/>
      <c r="K230" s="80"/>
      <c r="L230" s="75" t="s">
        <v>350</v>
      </c>
    </row>
    <row r="231" spans="1:12" s="95" customFormat="1" ht="14.1" customHeight="1">
      <c r="A231" s="75">
        <f t="shared" si="18"/>
        <v>225</v>
      </c>
      <c r="B231" s="96"/>
      <c r="C231" s="94"/>
      <c r="D231" s="94"/>
      <c r="E231" s="322"/>
      <c r="F231" s="94"/>
      <c r="G231" s="94"/>
      <c r="H231" s="94"/>
      <c r="I231" s="96"/>
      <c r="J231" s="80"/>
      <c r="K231" s="80"/>
    </row>
    <row r="232" spans="1:12" ht="14.1" customHeight="1">
      <c r="A232" s="75">
        <f t="shared" si="18"/>
        <v>226</v>
      </c>
      <c r="B232" s="81" t="s">
        <v>361</v>
      </c>
      <c r="C232" s="87"/>
      <c r="D232" s="87"/>
      <c r="E232" s="87"/>
      <c r="F232" s="87"/>
      <c r="G232" s="87"/>
      <c r="H232" s="87"/>
      <c r="I232" s="98"/>
      <c r="J232" s="80"/>
      <c r="K232" s="80"/>
    </row>
    <row r="233" spans="1:12" ht="14.1" customHeight="1">
      <c r="A233" s="75">
        <f t="shared" si="18"/>
        <v>227</v>
      </c>
      <c r="B233" s="76" t="s">
        <v>331</v>
      </c>
      <c r="C233" s="87">
        <v>0</v>
      </c>
      <c r="D233" s="87">
        <f>C233-E233</f>
        <v>0</v>
      </c>
      <c r="E233" s="94">
        <v>0</v>
      </c>
      <c r="F233" s="87">
        <v>0</v>
      </c>
      <c r="G233" s="87">
        <f>E233+F233</f>
        <v>0</v>
      </c>
      <c r="H233" s="87"/>
      <c r="I233" s="96" t="s">
        <v>362</v>
      </c>
      <c r="J233" s="80"/>
      <c r="K233" s="80"/>
    </row>
    <row r="234" spans="1:12" ht="14.1" customHeight="1">
      <c r="A234" s="75">
        <f t="shared" si="18"/>
        <v>228</v>
      </c>
      <c r="B234" s="76" t="s">
        <v>334</v>
      </c>
      <c r="C234" s="87">
        <v>0</v>
      </c>
      <c r="D234" s="87">
        <f>C234-E234</f>
        <v>0</v>
      </c>
      <c r="E234" s="94">
        <v>0</v>
      </c>
      <c r="F234" s="87">
        <v>0</v>
      </c>
      <c r="G234" s="87">
        <f>E234+F234</f>
        <v>0</v>
      </c>
      <c r="H234" s="87"/>
      <c r="I234" s="98" t="s">
        <v>264</v>
      </c>
      <c r="J234" s="80"/>
      <c r="K234" s="80"/>
    </row>
    <row r="235" spans="1:12" ht="14.1" customHeight="1">
      <c r="A235" s="75">
        <f t="shared" si="18"/>
        <v>229</v>
      </c>
      <c r="B235" s="76" t="s">
        <v>336</v>
      </c>
      <c r="C235" s="87">
        <v>801671.21</v>
      </c>
      <c r="D235" s="87">
        <f>C235-E235</f>
        <v>801.20999999996275</v>
      </c>
      <c r="E235" s="94">
        <v>800870</v>
      </c>
      <c r="F235" s="87">
        <v>801.20999999996275</v>
      </c>
      <c r="G235" s="87">
        <f>E235+F235</f>
        <v>801671.21</v>
      </c>
      <c r="H235" s="87"/>
      <c r="I235" s="96" t="s">
        <v>337</v>
      </c>
      <c r="J235" s="80"/>
      <c r="K235" s="80"/>
      <c r="L235" s="75">
        <v>1050001</v>
      </c>
    </row>
    <row r="236" spans="1:12" ht="14.1" customHeight="1">
      <c r="A236" s="75">
        <f t="shared" si="18"/>
        <v>230</v>
      </c>
      <c r="B236" s="90" t="s">
        <v>338</v>
      </c>
      <c r="C236" s="87">
        <v>0</v>
      </c>
      <c r="D236" s="87">
        <f>C236-E236</f>
        <v>0</v>
      </c>
      <c r="E236" s="87">
        <v>0</v>
      </c>
      <c r="F236" s="87">
        <v>0</v>
      </c>
      <c r="G236" s="87">
        <f>E236+F236</f>
        <v>0</v>
      </c>
      <c r="H236" s="87"/>
      <c r="I236" s="98" t="s">
        <v>214</v>
      </c>
      <c r="J236" s="80"/>
      <c r="K236" s="80"/>
    </row>
    <row r="237" spans="1:12" ht="14.1" customHeight="1">
      <c r="A237" s="75">
        <f t="shared" si="18"/>
        <v>231</v>
      </c>
      <c r="B237" s="93" t="s">
        <v>363</v>
      </c>
      <c r="C237" s="97">
        <f>SUM(C233:C236)</f>
        <v>801671.21</v>
      </c>
      <c r="D237" s="97">
        <f>SUM(D233:D236)</f>
        <v>801.20999999996275</v>
      </c>
      <c r="E237" s="97">
        <f>SUM(E233:E236)</f>
        <v>800870</v>
      </c>
      <c r="F237" s="97">
        <f>SUM(F233:F236)</f>
        <v>801.20999999996275</v>
      </c>
      <c r="G237" s="97">
        <f>G233+G234+G235+G236</f>
        <v>801671.21</v>
      </c>
      <c r="H237" s="97"/>
      <c r="I237" s="335"/>
      <c r="J237" s="80"/>
      <c r="K237" s="80"/>
      <c r="L237" s="75">
        <v>1050001</v>
      </c>
    </row>
    <row r="238" spans="1:12" ht="14.1" customHeight="1">
      <c r="A238" s="75">
        <f t="shared" si="18"/>
        <v>232</v>
      </c>
      <c r="B238" s="96"/>
      <c r="C238" s="94"/>
      <c r="D238" s="94"/>
      <c r="E238" s="322"/>
      <c r="F238" s="94"/>
      <c r="G238" s="94"/>
      <c r="H238" s="94"/>
      <c r="I238" s="338"/>
      <c r="J238" s="80"/>
      <c r="K238" s="80"/>
    </row>
    <row r="239" spans="1:12" s="95" customFormat="1" ht="14.1" customHeight="1">
      <c r="A239" s="75">
        <f t="shared" si="18"/>
        <v>233</v>
      </c>
      <c r="B239" s="81" t="s">
        <v>203</v>
      </c>
      <c r="C239" s="87"/>
      <c r="D239" s="87"/>
      <c r="E239" s="87"/>
      <c r="F239" s="87"/>
      <c r="G239" s="94"/>
      <c r="H239" s="94"/>
      <c r="I239" s="96"/>
      <c r="J239" s="80"/>
      <c r="K239" s="80"/>
    </row>
    <row r="240" spans="1:12" ht="39" customHeight="1">
      <c r="A240" s="75">
        <f t="shared" si="18"/>
        <v>234</v>
      </c>
      <c r="B240" s="76" t="s">
        <v>364</v>
      </c>
      <c r="C240" s="87">
        <f>56820314.22+2810210.04+8509318.78</f>
        <v>68139843.039999992</v>
      </c>
      <c r="D240" s="87">
        <f>C240-E240</f>
        <v>953958.03999999166</v>
      </c>
      <c r="E240" s="87">
        <v>67185885</v>
      </c>
      <c r="F240" s="87">
        <v>953958.03999999166</v>
      </c>
      <c r="G240" s="87">
        <f>E240+F240</f>
        <v>68139843.039999992</v>
      </c>
      <c r="H240" s="87"/>
      <c r="I240" s="98" t="s">
        <v>365</v>
      </c>
      <c r="J240" s="80"/>
      <c r="K240" s="80"/>
      <c r="L240" s="355" t="s">
        <v>366</v>
      </c>
    </row>
    <row r="241" spans="1:12" ht="14.1" customHeight="1">
      <c r="A241" s="75">
        <f t="shared" si="18"/>
        <v>235</v>
      </c>
      <c r="B241" s="76" t="s">
        <v>367</v>
      </c>
      <c r="C241" s="87">
        <v>12246297.382000001</v>
      </c>
      <c r="D241" s="87">
        <f>C241-E241</f>
        <v>183694.38200000115</v>
      </c>
      <c r="E241" s="87">
        <v>12062603</v>
      </c>
      <c r="F241" s="87">
        <v>183694.38200000115</v>
      </c>
      <c r="G241" s="87">
        <f>E241+F241</f>
        <v>12246297.382000001</v>
      </c>
      <c r="H241" s="87"/>
      <c r="I241" s="98" t="s">
        <v>221</v>
      </c>
      <c r="J241" s="80"/>
      <c r="K241" s="80"/>
      <c r="L241" s="75" t="s">
        <v>368</v>
      </c>
    </row>
    <row r="242" spans="1:12" ht="14.1" customHeight="1">
      <c r="A242" s="75">
        <f t="shared" si="18"/>
        <v>236</v>
      </c>
      <c r="B242" s="76" t="s">
        <v>367</v>
      </c>
      <c r="C242" s="87">
        <v>1854418.79</v>
      </c>
      <c r="D242" s="87">
        <f>C242-E242</f>
        <v>25961.790000000037</v>
      </c>
      <c r="E242" s="87">
        <v>1828457</v>
      </c>
      <c r="F242" s="87">
        <v>-999098.21</v>
      </c>
      <c r="G242" s="87">
        <f>E242+F242</f>
        <v>829358.79</v>
      </c>
      <c r="H242" s="87"/>
      <c r="I242" s="98" t="s">
        <v>365</v>
      </c>
      <c r="J242" s="80"/>
      <c r="K242" s="80"/>
      <c r="L242" s="75" t="s">
        <v>369</v>
      </c>
    </row>
    <row r="243" spans="1:12" ht="14.1" customHeight="1">
      <c r="A243" s="75">
        <f t="shared" si="18"/>
        <v>237</v>
      </c>
      <c r="B243" s="76" t="s">
        <v>370</v>
      </c>
      <c r="C243" s="87">
        <v>2679400.3570000003</v>
      </c>
      <c r="D243" s="87">
        <f>C243-E243</f>
        <v>40191.357000000309</v>
      </c>
      <c r="E243" s="87">
        <v>2639209</v>
      </c>
      <c r="F243" s="87">
        <v>40191.357000000309</v>
      </c>
      <c r="G243" s="87">
        <f>E243+F243</f>
        <v>2679400.3570000003</v>
      </c>
      <c r="H243" s="87"/>
      <c r="I243" s="98" t="s">
        <v>259</v>
      </c>
      <c r="J243" s="80"/>
      <c r="K243" s="80"/>
      <c r="L243" s="75" t="s">
        <v>371</v>
      </c>
    </row>
    <row r="244" spans="1:12" ht="14.1" customHeight="1">
      <c r="A244" s="75">
        <f t="shared" si="18"/>
        <v>238</v>
      </c>
      <c r="B244" s="90" t="s">
        <v>372</v>
      </c>
      <c r="C244" s="92">
        <v>6061980.8729999997</v>
      </c>
      <c r="D244" s="92">
        <f>C244-E244</f>
        <v>6061.8729999996722</v>
      </c>
      <c r="E244" s="92">
        <v>6055919</v>
      </c>
      <c r="F244" s="92">
        <v>6061.8729999996722</v>
      </c>
      <c r="G244" s="92">
        <f>E244+F244</f>
        <v>6061980.8729999997</v>
      </c>
      <c r="H244" s="92"/>
      <c r="I244" s="99" t="s">
        <v>337</v>
      </c>
      <c r="J244" s="80"/>
      <c r="K244" s="80"/>
      <c r="L244" s="75" t="s">
        <v>373</v>
      </c>
    </row>
    <row r="245" spans="1:12" ht="43.5" customHeight="1">
      <c r="A245" s="75">
        <f t="shared" si="18"/>
        <v>239</v>
      </c>
      <c r="B245" s="81" t="s">
        <v>374</v>
      </c>
      <c r="C245" s="87">
        <f>SUM(C240:C244)</f>
        <v>90981940.441999987</v>
      </c>
      <c r="D245" s="87">
        <f>SUM(D240:D244)</f>
        <v>1209867.4419999928</v>
      </c>
      <c r="E245" s="87">
        <f>SUM(E240:E244)</f>
        <v>89772073</v>
      </c>
      <c r="F245" s="87">
        <f>SUM(F240:F244)</f>
        <v>184807.44199999282</v>
      </c>
      <c r="G245" s="87">
        <f>SUM(G240:G244)</f>
        <v>89956880.441999987</v>
      </c>
      <c r="H245" s="87"/>
      <c r="I245" s="98"/>
      <c r="J245" s="80"/>
      <c r="K245" s="80"/>
      <c r="L245" s="355" t="s">
        <v>375</v>
      </c>
    </row>
    <row r="246" spans="1:12" ht="14.1" customHeight="1">
      <c r="A246" s="75">
        <f t="shared" si="18"/>
        <v>240</v>
      </c>
      <c r="C246" s="87"/>
      <c r="D246" s="87"/>
      <c r="E246" s="87"/>
      <c r="F246" s="87"/>
      <c r="G246" s="87"/>
      <c r="H246" s="87"/>
      <c r="I246" s="98"/>
      <c r="J246" s="80"/>
      <c r="K246" s="80"/>
    </row>
    <row r="247" spans="1:12" ht="14.1" customHeight="1">
      <c r="A247" s="75">
        <f t="shared" si="18"/>
        <v>241</v>
      </c>
      <c r="B247" s="81" t="s">
        <v>202</v>
      </c>
      <c r="C247" s="87"/>
      <c r="D247" s="87"/>
      <c r="E247" s="87"/>
      <c r="F247" s="87"/>
      <c r="G247" s="87"/>
      <c r="H247" s="87"/>
      <c r="I247" s="98"/>
      <c r="J247" s="80"/>
      <c r="K247" s="80"/>
    </row>
    <row r="248" spans="1:12" ht="14.1" customHeight="1">
      <c r="A248" s="75">
        <f t="shared" si="18"/>
        <v>242</v>
      </c>
      <c r="B248" s="76" t="s">
        <v>376</v>
      </c>
      <c r="C248" s="87">
        <f>14250943.05+34208983.54</f>
        <v>48459926.590000004</v>
      </c>
      <c r="D248" s="87">
        <f>+C248</f>
        <v>48459926.590000004</v>
      </c>
      <c r="E248" s="87">
        <f>+C248-D248</f>
        <v>0</v>
      </c>
      <c r="F248" s="87">
        <v>0</v>
      </c>
      <c r="G248" s="87">
        <f>E248+F248</f>
        <v>0</v>
      </c>
      <c r="H248" s="87"/>
      <c r="I248" s="98" t="s">
        <v>377</v>
      </c>
      <c r="J248" s="80"/>
      <c r="K248" s="80"/>
      <c r="L248" s="75" t="s">
        <v>378</v>
      </c>
    </row>
    <row r="249" spans="1:12" ht="69" customHeight="1">
      <c r="A249" s="75">
        <f t="shared" si="18"/>
        <v>243</v>
      </c>
      <c r="B249" s="90" t="s">
        <v>379</v>
      </c>
      <c r="C249" s="87">
        <v>1432085.75</v>
      </c>
      <c r="D249" s="87">
        <f>C249-E249</f>
        <v>28641.75</v>
      </c>
      <c r="E249" s="87">
        <v>1403444</v>
      </c>
      <c r="F249" s="87">
        <v>28641.75</v>
      </c>
      <c r="G249" s="87">
        <f>E249+F249</f>
        <v>1432085.75</v>
      </c>
      <c r="H249" s="87"/>
      <c r="I249" s="98" t="s">
        <v>377</v>
      </c>
      <c r="J249" s="80"/>
      <c r="K249" s="80"/>
      <c r="L249" s="355" t="s">
        <v>380</v>
      </c>
    </row>
    <row r="250" spans="1:12" ht="14.1" customHeight="1">
      <c r="A250" s="75">
        <f t="shared" si="18"/>
        <v>244</v>
      </c>
      <c r="B250" s="81" t="s">
        <v>381</v>
      </c>
      <c r="C250" s="97">
        <f>SUM(C248:C249)</f>
        <v>49892012.340000004</v>
      </c>
      <c r="D250" s="97">
        <f>SUM(D248:D249)</f>
        <v>48488568.340000004</v>
      </c>
      <c r="E250" s="97">
        <f>SUM(E248:E249)</f>
        <v>1403444</v>
      </c>
      <c r="F250" s="97">
        <f>SUM(F248:F249)</f>
        <v>28641.75</v>
      </c>
      <c r="G250" s="97">
        <f>SUM(G248:G249)</f>
        <v>1432085.75</v>
      </c>
      <c r="H250" s="97"/>
      <c r="I250" s="335"/>
      <c r="J250" s="80"/>
      <c r="K250" s="80"/>
    </row>
    <row r="251" spans="1:12" ht="14.1" customHeight="1">
      <c r="A251" s="75">
        <f t="shared" si="18"/>
        <v>245</v>
      </c>
      <c r="B251" s="96"/>
      <c r="C251" s="94"/>
      <c r="D251" s="94"/>
      <c r="E251" s="322"/>
      <c r="F251" s="94"/>
      <c r="G251" s="87"/>
      <c r="H251" s="87"/>
      <c r="I251" s="98"/>
      <c r="J251" s="80"/>
      <c r="K251" s="80"/>
    </row>
    <row r="252" spans="1:12" ht="14.1" customHeight="1">
      <c r="A252" s="75">
        <f t="shared" si="18"/>
        <v>246</v>
      </c>
      <c r="B252" s="96"/>
      <c r="C252" s="94"/>
      <c r="D252" s="94"/>
      <c r="E252" s="94"/>
      <c r="F252" s="94"/>
      <c r="G252" s="87"/>
      <c r="H252" s="87"/>
      <c r="I252" s="98"/>
      <c r="J252" s="80"/>
      <c r="K252" s="80"/>
    </row>
    <row r="253" spans="1:12" ht="14.1" customHeight="1">
      <c r="A253" s="75">
        <f t="shared" si="18"/>
        <v>247</v>
      </c>
      <c r="B253" s="81" t="s">
        <v>382</v>
      </c>
      <c r="C253" s="87"/>
      <c r="D253" s="87"/>
      <c r="E253" s="87"/>
      <c r="F253" s="87"/>
      <c r="G253" s="87"/>
      <c r="H253" s="87"/>
      <c r="I253" s="98"/>
      <c r="J253" s="80"/>
      <c r="K253" s="80"/>
    </row>
    <row r="254" spans="1:12" s="95" customFormat="1" ht="33.75" customHeight="1">
      <c r="A254" s="75">
        <f t="shared" si="18"/>
        <v>248</v>
      </c>
      <c r="B254" s="76" t="s">
        <v>383</v>
      </c>
      <c r="C254" s="87">
        <v>-453392109.80999994</v>
      </c>
      <c r="D254" s="87">
        <f t="shared" ref="D254:D261" si="19">C254-E254</f>
        <v>-113764182.80999994</v>
      </c>
      <c r="E254" s="356">
        <v>-339627927</v>
      </c>
      <c r="F254" s="87">
        <v>93977971.09415172</v>
      </c>
      <c r="G254" s="87">
        <f t="shared" ref="G254:G261" si="20">E254+F254</f>
        <v>-245649955.90584826</v>
      </c>
      <c r="H254" s="87"/>
      <c r="I254" s="96" t="s">
        <v>377</v>
      </c>
      <c r="J254" s="80"/>
      <c r="K254" s="80"/>
      <c r="L254" s="357" t="s">
        <v>384</v>
      </c>
    </row>
    <row r="255" spans="1:12" s="95" customFormat="1" ht="14.1" customHeight="1">
      <c r="A255" s="75">
        <f t="shared" si="18"/>
        <v>249</v>
      </c>
      <c r="B255" s="76" t="s">
        <v>385</v>
      </c>
      <c r="C255" s="87">
        <v>0</v>
      </c>
      <c r="D255" s="87">
        <f t="shared" si="19"/>
        <v>0</v>
      </c>
      <c r="E255" s="87">
        <v>0</v>
      </c>
      <c r="F255" s="87">
        <v>0</v>
      </c>
      <c r="G255" s="87">
        <f t="shared" si="20"/>
        <v>0</v>
      </c>
      <c r="H255" s="87"/>
      <c r="I255" s="96" t="s">
        <v>280</v>
      </c>
      <c r="J255" s="80"/>
      <c r="K255" s="80"/>
    </row>
    <row r="256" spans="1:12" s="95" customFormat="1" ht="14.1" customHeight="1">
      <c r="A256" s="75">
        <f t="shared" si="18"/>
        <v>250</v>
      </c>
      <c r="B256" s="76" t="s">
        <v>386</v>
      </c>
      <c r="C256" s="87">
        <v>0</v>
      </c>
      <c r="D256" s="87">
        <f t="shared" si="19"/>
        <v>0</v>
      </c>
      <c r="E256" s="87">
        <v>0</v>
      </c>
      <c r="F256" s="87">
        <v>0</v>
      </c>
      <c r="G256" s="87">
        <f t="shared" si="20"/>
        <v>0</v>
      </c>
      <c r="H256" s="87"/>
      <c r="I256" s="96" t="s">
        <v>280</v>
      </c>
      <c r="J256" s="80"/>
      <c r="K256" s="80"/>
    </row>
    <row r="257" spans="1:12" s="95" customFormat="1" ht="14.1" customHeight="1">
      <c r="A257" s="75">
        <f t="shared" si="18"/>
        <v>251</v>
      </c>
      <c r="B257" s="76" t="s">
        <v>387</v>
      </c>
      <c r="C257" s="87">
        <f>1613024.29-134731+21003.35+820552.97</f>
        <v>2319849.6100000003</v>
      </c>
      <c r="D257" s="87">
        <f t="shared" si="19"/>
        <v>0</v>
      </c>
      <c r="E257" s="87">
        <f>C257</f>
        <v>2319849.6100000003</v>
      </c>
      <c r="F257" s="87">
        <v>0</v>
      </c>
      <c r="G257" s="87">
        <f t="shared" si="20"/>
        <v>2319849.6100000003</v>
      </c>
      <c r="H257" s="87"/>
      <c r="I257" s="96" t="s">
        <v>280</v>
      </c>
      <c r="J257" s="80"/>
      <c r="K257" s="80"/>
      <c r="L257" s="95" t="s">
        <v>388</v>
      </c>
    </row>
    <row r="258" spans="1:12" s="95" customFormat="1" ht="14.1" customHeight="1">
      <c r="A258" s="75">
        <f t="shared" si="18"/>
        <v>252</v>
      </c>
      <c r="B258" s="76" t="s">
        <v>389</v>
      </c>
      <c r="C258" s="87">
        <f>-101503.08-750316.52-470152.99</f>
        <v>-1321972.5899999999</v>
      </c>
      <c r="D258" s="87">
        <f t="shared" si="19"/>
        <v>0.41000000014901161</v>
      </c>
      <c r="E258" s="87">
        <v>-1321973</v>
      </c>
      <c r="F258" s="87">
        <v>0</v>
      </c>
      <c r="G258" s="87">
        <f t="shared" si="20"/>
        <v>-1321973</v>
      </c>
      <c r="H258" s="87"/>
      <c r="I258" s="96" t="s">
        <v>362</v>
      </c>
      <c r="J258" s="80"/>
      <c r="K258" s="80"/>
      <c r="L258" s="95" t="s">
        <v>390</v>
      </c>
    </row>
    <row r="259" spans="1:12" ht="14.1" customHeight="1">
      <c r="A259" s="75">
        <f t="shared" si="18"/>
        <v>253</v>
      </c>
      <c r="B259" s="76" t="s">
        <v>391</v>
      </c>
      <c r="C259" s="87">
        <f>-38090279.75-367913.59</f>
        <v>-38458193.340000004</v>
      </c>
      <c r="D259" s="87">
        <f>J259</f>
        <v>-367913.59</v>
      </c>
      <c r="E259" s="87">
        <f>C259-D259</f>
        <v>-38090279.75</v>
      </c>
      <c r="F259" s="87">
        <v>0</v>
      </c>
      <c r="G259" s="87">
        <f>E259+F259</f>
        <v>-38090279.75</v>
      </c>
      <c r="H259" s="87"/>
      <c r="I259" s="96" t="s">
        <v>362</v>
      </c>
      <c r="J259" s="80">
        <v>-367913.59</v>
      </c>
      <c r="K259" s="80"/>
      <c r="L259" s="75" t="s">
        <v>392</v>
      </c>
    </row>
    <row r="260" spans="1:12" ht="14.1" customHeight="1">
      <c r="A260" s="75">
        <f t="shared" si="18"/>
        <v>254</v>
      </c>
      <c r="B260" s="76" t="s">
        <v>393</v>
      </c>
      <c r="C260" s="87">
        <v>0</v>
      </c>
      <c r="D260" s="87">
        <f>C260-E260</f>
        <v>0</v>
      </c>
      <c r="E260" s="87">
        <f>C260</f>
        <v>0</v>
      </c>
      <c r="F260" s="87">
        <v>10000000</v>
      </c>
      <c r="G260" s="87">
        <f>+F260</f>
        <v>10000000</v>
      </c>
      <c r="H260" s="87"/>
      <c r="I260" s="96" t="s">
        <v>280</v>
      </c>
      <c r="J260" s="80"/>
      <c r="K260" s="80"/>
    </row>
    <row r="261" spans="1:12" ht="14.1" customHeight="1">
      <c r="A261" s="75">
        <f t="shared" si="18"/>
        <v>255</v>
      </c>
      <c r="B261" s="90" t="s">
        <v>394</v>
      </c>
      <c r="C261" s="92">
        <v>0</v>
      </c>
      <c r="D261" s="92">
        <f t="shared" si="19"/>
        <v>0</v>
      </c>
      <c r="E261" s="92">
        <v>0</v>
      </c>
      <c r="F261" s="92">
        <v>0</v>
      </c>
      <c r="G261" s="92">
        <f t="shared" si="20"/>
        <v>0</v>
      </c>
      <c r="H261" s="92"/>
      <c r="I261" s="114" t="s">
        <v>280</v>
      </c>
      <c r="J261" s="80"/>
      <c r="K261" s="80"/>
    </row>
    <row r="262" spans="1:12" ht="14.1" customHeight="1">
      <c r="A262" s="75">
        <f t="shared" si="18"/>
        <v>256</v>
      </c>
      <c r="B262" s="93" t="s">
        <v>395</v>
      </c>
      <c r="C262" s="94">
        <f>SUM(C254:C261)</f>
        <v>-490852426.12999988</v>
      </c>
      <c r="D262" s="94">
        <f>SUM(D254:D261)</f>
        <v>-114132095.98999995</v>
      </c>
      <c r="E262" s="94">
        <f>SUM(E254:E261)</f>
        <v>-376720330.13999999</v>
      </c>
      <c r="F262" s="94">
        <f>SUM(F254:F261)</f>
        <v>103977971.09415172</v>
      </c>
      <c r="G262" s="94">
        <f>SUM(G254:G261)</f>
        <v>-272742359.04584825</v>
      </c>
      <c r="H262" s="94"/>
      <c r="I262" s="104"/>
      <c r="J262" s="80"/>
      <c r="K262" s="80"/>
    </row>
    <row r="263" spans="1:12" ht="14.1" customHeight="1">
      <c r="A263" s="75">
        <f t="shared" si="18"/>
        <v>257</v>
      </c>
      <c r="B263" s="114"/>
      <c r="C263" s="94"/>
      <c r="D263" s="94"/>
      <c r="E263" s="94"/>
      <c r="F263" s="94"/>
      <c r="G263" s="94"/>
      <c r="H263" s="94"/>
      <c r="I263" s="104"/>
      <c r="J263" s="80"/>
      <c r="K263" s="80"/>
    </row>
    <row r="264" spans="1:12" s="81" customFormat="1" ht="14.1" customHeight="1" thickBot="1">
      <c r="A264" s="75">
        <f t="shared" si="18"/>
        <v>258</v>
      </c>
      <c r="B264" s="116" t="s">
        <v>396</v>
      </c>
      <c r="C264" s="358">
        <f>C204+C230+C237+C245+C250+C262</f>
        <v>2065208337.1920002</v>
      </c>
      <c r="D264" s="358">
        <f>D204+D230+D237+D245+D250+D262</f>
        <v>-9109547.3379999101</v>
      </c>
      <c r="E264" s="358">
        <f>E204+E230+E237+E245+E250+E262</f>
        <v>2074317884.5300002</v>
      </c>
      <c r="F264" s="358">
        <f>F204+F230+F237+F245+F250+F262</f>
        <v>-141286409.73384827</v>
      </c>
      <c r="G264" s="358">
        <f>G204+G230+G237+G245+G250+G262</f>
        <v>1933031474.7961516</v>
      </c>
      <c r="H264" s="358"/>
      <c r="I264" s="359"/>
      <c r="J264" s="80"/>
      <c r="K264" s="80"/>
      <c r="L264" s="77"/>
    </row>
    <row r="265" spans="1:12" ht="13.5" customHeight="1" thickTop="1">
      <c r="A265" s="75">
        <f t="shared" si="18"/>
        <v>259</v>
      </c>
      <c r="B265" s="80"/>
      <c r="C265" s="80"/>
      <c r="D265" s="87"/>
      <c r="E265" s="87"/>
      <c r="F265" s="87"/>
      <c r="G265" s="87"/>
      <c r="H265" s="87"/>
      <c r="I265" s="98"/>
      <c r="J265" s="80"/>
      <c r="K265" s="80"/>
    </row>
    <row r="266" spans="1:12" ht="13.5" customHeight="1">
      <c r="A266" s="75">
        <f t="shared" si="18"/>
        <v>260</v>
      </c>
      <c r="C266" s="87"/>
      <c r="D266" s="87"/>
      <c r="E266" s="87"/>
      <c r="F266" s="87"/>
      <c r="G266" s="87"/>
      <c r="H266" s="87"/>
      <c r="I266" s="98"/>
      <c r="J266" s="80"/>
      <c r="K266" s="80"/>
    </row>
    <row r="267" spans="1:12" ht="25.5">
      <c r="A267" s="75">
        <f t="shared" ref="A267:A330" si="21">+A266+1</f>
        <v>261</v>
      </c>
      <c r="B267" s="89" t="s">
        <v>397</v>
      </c>
      <c r="C267" s="87">
        <f>290185619.95+358327944.58+2152779.43</f>
        <v>650666343.95999992</v>
      </c>
      <c r="D267" s="94">
        <f>C267-E267</f>
        <v>0</v>
      </c>
      <c r="E267" s="94">
        <f>C267</f>
        <v>650666343.95999992</v>
      </c>
      <c r="F267" s="87">
        <v>-53897239.240777612</v>
      </c>
      <c r="G267" s="87">
        <f>E267+F267</f>
        <v>596769104.71922231</v>
      </c>
      <c r="H267" s="87"/>
      <c r="I267" s="98" t="s">
        <v>280</v>
      </c>
      <c r="J267" s="80">
        <v>593629104</v>
      </c>
      <c r="K267" s="80">
        <f>+G267-J267</f>
        <v>3140000.7192223072</v>
      </c>
      <c r="L267" s="355" t="s">
        <v>398</v>
      </c>
    </row>
    <row r="268" spans="1:12" ht="14.1" customHeight="1">
      <c r="A268" s="75">
        <f t="shared" si="21"/>
        <v>262</v>
      </c>
      <c r="B268" s="89" t="s">
        <v>399</v>
      </c>
      <c r="C268" s="87">
        <f>2956196.36+2569858.89+138820.29</f>
        <v>5664875.54</v>
      </c>
      <c r="D268" s="94">
        <f>C268</f>
        <v>5664875.54</v>
      </c>
      <c r="E268" s="94">
        <f>C268-D268</f>
        <v>0</v>
      </c>
      <c r="F268" s="87">
        <v>0</v>
      </c>
      <c r="G268" s="87">
        <f>E268+F268</f>
        <v>0</v>
      </c>
      <c r="H268" s="87"/>
      <c r="I268" s="98" t="s">
        <v>280</v>
      </c>
      <c r="J268" s="80"/>
      <c r="K268" s="80"/>
      <c r="L268" s="75" t="s">
        <v>400</v>
      </c>
    </row>
    <row r="269" spans="1:12" ht="14.1" customHeight="1">
      <c r="A269" s="75">
        <f t="shared" si="21"/>
        <v>263</v>
      </c>
      <c r="B269" s="89" t="s">
        <v>169</v>
      </c>
      <c r="C269" s="87">
        <v>-6574896</v>
      </c>
      <c r="D269" s="94">
        <f>C269</f>
        <v>-6574896</v>
      </c>
      <c r="E269" s="94">
        <f>C269-D269</f>
        <v>0</v>
      </c>
      <c r="F269" s="87"/>
      <c r="G269" s="87"/>
      <c r="H269" s="87"/>
      <c r="I269" s="98"/>
      <c r="J269" s="80"/>
      <c r="K269" s="80"/>
      <c r="L269" s="75" t="s">
        <v>401</v>
      </c>
    </row>
    <row r="270" spans="1:12" ht="14.1" customHeight="1">
      <c r="A270" s="75">
        <f t="shared" si="21"/>
        <v>264</v>
      </c>
      <c r="B270" s="89"/>
      <c r="C270" s="87"/>
      <c r="D270" s="94"/>
      <c r="E270" s="94"/>
      <c r="G270" s="87"/>
      <c r="H270" s="87"/>
      <c r="I270" s="98"/>
      <c r="J270" s="80"/>
      <c r="K270" s="80"/>
    </row>
    <row r="271" spans="1:12" ht="14.1" customHeight="1">
      <c r="A271" s="75">
        <f t="shared" si="21"/>
        <v>265</v>
      </c>
      <c r="B271" s="81" t="s">
        <v>402</v>
      </c>
      <c r="C271" s="87"/>
      <c r="D271" s="94"/>
      <c r="E271" s="94"/>
      <c r="G271" s="87"/>
      <c r="H271" s="87"/>
      <c r="I271" s="98"/>
      <c r="J271" s="80"/>
      <c r="K271" s="80"/>
    </row>
    <row r="272" spans="1:12" ht="14.1" customHeight="1">
      <c r="A272" s="75">
        <f t="shared" si="21"/>
        <v>266</v>
      </c>
      <c r="B272" s="76" t="s">
        <v>403</v>
      </c>
      <c r="C272" s="87">
        <v>0</v>
      </c>
      <c r="D272" s="94">
        <f>C272-E272</f>
        <v>0</v>
      </c>
      <c r="E272" s="94">
        <v>0</v>
      </c>
      <c r="F272" s="87">
        <v>0</v>
      </c>
      <c r="G272" s="87">
        <f>E272+F272</f>
        <v>0</v>
      </c>
      <c r="H272" s="87"/>
      <c r="I272" s="98"/>
      <c r="J272" s="80"/>
      <c r="K272" s="80"/>
    </row>
    <row r="273" spans="1:13" ht="66.75" customHeight="1">
      <c r="A273" s="75">
        <f t="shared" si="21"/>
        <v>267</v>
      </c>
      <c r="B273" s="76" t="s">
        <v>404</v>
      </c>
      <c r="C273" s="87">
        <f>28268397.94-C268</f>
        <v>22603522.400000002</v>
      </c>
      <c r="D273" s="87">
        <f>C273-E273</f>
        <v>316449.31359999999</v>
      </c>
      <c r="E273" s="87">
        <v>22287073.086400002</v>
      </c>
      <c r="F273" s="87">
        <v>316449.31359999999</v>
      </c>
      <c r="G273" s="87">
        <f>E273+F273</f>
        <v>22603522.400000002</v>
      </c>
      <c r="H273" s="87"/>
      <c r="I273" s="98" t="s">
        <v>365</v>
      </c>
      <c r="J273" s="80"/>
      <c r="K273" s="80"/>
      <c r="L273" s="355" t="s">
        <v>405</v>
      </c>
    </row>
    <row r="274" spans="1:13" ht="14.1" customHeight="1">
      <c r="A274" s="75">
        <f t="shared" si="21"/>
        <v>268</v>
      </c>
      <c r="B274" s="90" t="s">
        <v>406</v>
      </c>
      <c r="C274" s="87">
        <v>0</v>
      </c>
      <c r="D274" s="94">
        <f>C274-E274</f>
        <v>0</v>
      </c>
      <c r="E274" s="94">
        <v>0</v>
      </c>
      <c r="F274" s="87">
        <v>0</v>
      </c>
      <c r="G274" s="87">
        <f>E274+F274</f>
        <v>0</v>
      </c>
      <c r="H274" s="87"/>
      <c r="I274" s="98"/>
      <c r="J274" s="80"/>
      <c r="K274" s="80"/>
    </row>
    <row r="275" spans="1:13" ht="14.1" customHeight="1">
      <c r="A275" s="75">
        <f t="shared" si="21"/>
        <v>269</v>
      </c>
      <c r="B275" s="108" t="s">
        <v>407</v>
      </c>
      <c r="C275" s="97">
        <f>+C272+C273</f>
        <v>22603522.400000002</v>
      </c>
      <c r="D275" s="97">
        <f>+D272+D273+D274</f>
        <v>316449.31359999999</v>
      </c>
      <c r="E275" s="97">
        <f>+E272+E273</f>
        <v>22287073.086400002</v>
      </c>
      <c r="F275" s="97">
        <f>+F272+F273</f>
        <v>316449.31359999999</v>
      </c>
      <c r="G275" s="110">
        <f>E275+F275</f>
        <v>22603522.400000002</v>
      </c>
      <c r="H275" s="110"/>
      <c r="I275" s="335"/>
      <c r="J275" s="80"/>
      <c r="K275" s="80"/>
    </row>
    <row r="276" spans="1:13" ht="14.1" customHeight="1">
      <c r="A276" s="75">
        <f t="shared" si="21"/>
        <v>270</v>
      </c>
      <c r="B276" s="89"/>
      <c r="C276" s="94"/>
      <c r="D276" s="94"/>
      <c r="E276" s="94"/>
      <c r="F276" s="94"/>
      <c r="G276" s="87"/>
      <c r="H276" s="87"/>
      <c r="I276" s="98"/>
      <c r="J276" s="80"/>
      <c r="K276" s="80"/>
    </row>
    <row r="277" spans="1:13" ht="14.1" customHeight="1">
      <c r="A277" s="75">
        <f t="shared" si="21"/>
        <v>271</v>
      </c>
      <c r="B277" s="81" t="s">
        <v>408</v>
      </c>
      <c r="C277" s="87"/>
      <c r="D277" s="94"/>
      <c r="E277" s="324"/>
      <c r="F277" s="87"/>
      <c r="G277" s="87"/>
      <c r="H277" s="87"/>
      <c r="I277" s="98"/>
      <c r="J277" s="80"/>
      <c r="K277" s="80"/>
    </row>
    <row r="278" spans="1:13" ht="14.1" customHeight="1">
      <c r="A278" s="75">
        <f t="shared" si="21"/>
        <v>272</v>
      </c>
      <c r="B278" s="76" t="s">
        <v>409</v>
      </c>
      <c r="C278" s="87">
        <v>1035101.73</v>
      </c>
      <c r="D278" s="94">
        <f>ROUND(C278-E278,0)</f>
        <v>0</v>
      </c>
      <c r="E278" s="94">
        <v>1035102</v>
      </c>
      <c r="F278" s="87">
        <v>0</v>
      </c>
      <c r="G278" s="87">
        <f>E278+F278</f>
        <v>1035102</v>
      </c>
      <c r="H278" s="87"/>
      <c r="I278" s="98" t="s">
        <v>284</v>
      </c>
      <c r="J278" s="80"/>
      <c r="K278" s="80"/>
      <c r="L278" s="75">
        <v>4500000</v>
      </c>
    </row>
    <row r="279" spans="1:13" ht="14.1" customHeight="1">
      <c r="A279" s="75">
        <f t="shared" si="21"/>
        <v>273</v>
      </c>
      <c r="B279" s="76" t="s">
        <v>410</v>
      </c>
      <c r="C279" s="87">
        <v>98240.16</v>
      </c>
      <c r="D279" s="94">
        <f>ROUND(C279-E279,0)</f>
        <v>0</v>
      </c>
      <c r="E279" s="94">
        <v>98240</v>
      </c>
      <c r="F279" s="87">
        <v>643148</v>
      </c>
      <c r="G279" s="87">
        <f>E279+F279</f>
        <v>741388</v>
      </c>
      <c r="H279" s="87"/>
      <c r="I279" s="98" t="s">
        <v>284</v>
      </c>
      <c r="J279" s="80"/>
      <c r="K279" s="80"/>
      <c r="L279" s="75">
        <v>4510001</v>
      </c>
    </row>
    <row r="280" spans="1:13" ht="14.1" customHeight="1">
      <c r="A280" s="75">
        <f t="shared" si="21"/>
        <v>274</v>
      </c>
      <c r="B280" s="81" t="s">
        <v>411</v>
      </c>
      <c r="C280" s="87"/>
      <c r="D280" s="87"/>
      <c r="E280" s="347"/>
      <c r="F280" s="87"/>
      <c r="G280" s="87"/>
      <c r="H280" s="87"/>
      <c r="I280" s="98"/>
      <c r="J280" s="80"/>
      <c r="K280" s="80"/>
    </row>
    <row r="281" spans="1:13" s="89" customFormat="1" ht="14.1" customHeight="1">
      <c r="A281" s="75">
        <f t="shared" si="21"/>
        <v>275</v>
      </c>
      <c r="B281" s="76" t="s">
        <v>412</v>
      </c>
      <c r="C281" s="87">
        <v>0</v>
      </c>
      <c r="D281" s="87">
        <f t="shared" ref="D281:D289" si="22">C281-E281</f>
        <v>0</v>
      </c>
      <c r="E281" s="87">
        <v>0</v>
      </c>
      <c r="F281" s="87">
        <v>0</v>
      </c>
      <c r="G281" s="87">
        <f t="shared" ref="G281:G289" si="23">E281+F281</f>
        <v>0</v>
      </c>
      <c r="H281" s="87"/>
      <c r="I281" s="96" t="s">
        <v>221</v>
      </c>
      <c r="J281" s="80"/>
      <c r="K281" s="80"/>
      <c r="L281" s="75">
        <v>4540001</v>
      </c>
      <c r="M281" s="76"/>
    </row>
    <row r="282" spans="1:13" ht="14.1" customHeight="1">
      <c r="A282" s="75">
        <f t="shared" si="21"/>
        <v>276</v>
      </c>
      <c r="B282" s="76" t="s">
        <v>413</v>
      </c>
      <c r="C282" s="87">
        <v>501376.26199999999</v>
      </c>
      <c r="D282" s="87">
        <f t="shared" si="22"/>
        <v>7520.2619999999879</v>
      </c>
      <c r="E282" s="94">
        <v>493856</v>
      </c>
      <c r="F282" s="87">
        <v>7520.2619999999879</v>
      </c>
      <c r="G282" s="87">
        <f t="shared" si="23"/>
        <v>501376.26199999999</v>
      </c>
      <c r="H282" s="87"/>
      <c r="I282" s="98" t="s">
        <v>259</v>
      </c>
      <c r="J282" s="80"/>
      <c r="K282" s="80"/>
      <c r="L282" s="75">
        <v>4540001</v>
      </c>
    </row>
    <row r="283" spans="1:13" ht="14.1" customHeight="1">
      <c r="A283" s="75">
        <f t="shared" si="21"/>
        <v>277</v>
      </c>
      <c r="B283" s="76" t="s">
        <v>414</v>
      </c>
      <c r="C283" s="87">
        <v>1021780.748</v>
      </c>
      <c r="D283" s="87">
        <f>C283-E283</f>
        <v>1021.7480000000214</v>
      </c>
      <c r="E283" s="94">
        <v>1020759</v>
      </c>
      <c r="F283" s="87">
        <v>1021.7480000000214</v>
      </c>
      <c r="G283" s="87">
        <f t="shared" si="23"/>
        <v>1021780.748</v>
      </c>
      <c r="H283" s="87"/>
      <c r="I283" s="98" t="s">
        <v>337</v>
      </c>
      <c r="J283" s="80"/>
      <c r="K283" s="80"/>
      <c r="L283" s="75">
        <v>4540001</v>
      </c>
    </row>
    <row r="284" spans="1:13" ht="14.1" customHeight="1">
      <c r="A284" s="75">
        <f t="shared" si="21"/>
        <v>278</v>
      </c>
      <c r="B284" s="76" t="s">
        <v>415</v>
      </c>
      <c r="C284" s="87">
        <v>2489915.27</v>
      </c>
      <c r="D284" s="87">
        <f t="shared" si="22"/>
        <v>37348.270000000019</v>
      </c>
      <c r="E284" s="94">
        <v>2452567</v>
      </c>
      <c r="F284" s="87">
        <v>37348.270000000019</v>
      </c>
      <c r="G284" s="87">
        <f t="shared" si="23"/>
        <v>2489915.27</v>
      </c>
      <c r="H284" s="87"/>
      <c r="I284" s="98" t="s">
        <v>221</v>
      </c>
      <c r="J284" s="80"/>
      <c r="K284" s="80"/>
      <c r="L284" s="75">
        <v>4540002</v>
      </c>
    </row>
    <row r="285" spans="1:13" ht="14.1" customHeight="1">
      <c r="A285" s="75">
        <f t="shared" si="21"/>
        <v>279</v>
      </c>
      <c r="B285" s="76" t="s">
        <v>416</v>
      </c>
      <c r="C285" s="87">
        <v>19425</v>
      </c>
      <c r="D285" s="87">
        <f t="shared" si="22"/>
        <v>291</v>
      </c>
      <c r="E285" s="94">
        <v>19134</v>
      </c>
      <c r="F285" s="87">
        <v>291</v>
      </c>
      <c r="G285" s="87">
        <f t="shared" si="23"/>
        <v>19425</v>
      </c>
      <c r="H285" s="87"/>
      <c r="I285" s="98" t="s">
        <v>259</v>
      </c>
      <c r="J285" s="80"/>
      <c r="K285" s="80"/>
      <c r="L285" s="75">
        <v>4540002</v>
      </c>
    </row>
    <row r="286" spans="1:13" ht="14.1" customHeight="1">
      <c r="A286" s="75">
        <f t="shared" si="21"/>
        <v>280</v>
      </c>
      <c r="B286" s="76" t="s">
        <v>417</v>
      </c>
      <c r="C286" s="360">
        <v>2700</v>
      </c>
      <c r="D286" s="87">
        <f t="shared" si="22"/>
        <v>3</v>
      </c>
      <c r="E286" s="94">
        <v>2697</v>
      </c>
      <c r="F286" s="87">
        <v>3</v>
      </c>
      <c r="G286" s="87">
        <f t="shared" si="23"/>
        <v>2700</v>
      </c>
      <c r="H286" s="87"/>
      <c r="I286" s="98" t="s">
        <v>337</v>
      </c>
      <c r="J286" s="80"/>
      <c r="K286" s="80"/>
      <c r="L286" s="75">
        <v>4540002</v>
      </c>
    </row>
    <row r="287" spans="1:13" ht="14.1" customHeight="1">
      <c r="A287" s="75">
        <f t="shared" si="21"/>
        <v>281</v>
      </c>
      <c r="B287" s="76" t="s">
        <v>418</v>
      </c>
      <c r="C287" s="360">
        <v>5147622.4000000004</v>
      </c>
      <c r="D287" s="87">
        <f t="shared" si="22"/>
        <v>5147.4000000003725</v>
      </c>
      <c r="E287" s="94">
        <v>5142475</v>
      </c>
      <c r="F287" s="87">
        <v>-266246.58999999962</v>
      </c>
      <c r="G287" s="87">
        <f t="shared" si="23"/>
        <v>4876228.41</v>
      </c>
      <c r="H287" s="87"/>
      <c r="I287" s="98" t="s">
        <v>337</v>
      </c>
      <c r="J287" s="80"/>
      <c r="K287" s="80"/>
      <c r="L287" s="75">
        <v>4540005</v>
      </c>
    </row>
    <row r="288" spans="1:13" ht="14.1" customHeight="1">
      <c r="A288" s="75">
        <f t="shared" si="21"/>
        <v>282</v>
      </c>
      <c r="B288" s="76" t="s">
        <v>419</v>
      </c>
      <c r="C288" s="87">
        <v>18000</v>
      </c>
      <c r="D288" s="87">
        <f t="shared" si="22"/>
        <v>18</v>
      </c>
      <c r="E288" s="94">
        <v>17982</v>
      </c>
      <c r="F288" s="87">
        <v>18</v>
      </c>
      <c r="G288" s="87">
        <f t="shared" si="23"/>
        <v>18000</v>
      </c>
      <c r="H288" s="87"/>
      <c r="I288" s="98" t="s">
        <v>337</v>
      </c>
      <c r="J288" s="80"/>
      <c r="K288" s="80"/>
      <c r="L288" s="75">
        <v>4540004</v>
      </c>
    </row>
    <row r="289" spans="1:16" ht="14.1" customHeight="1">
      <c r="A289" s="75">
        <f t="shared" si="21"/>
        <v>283</v>
      </c>
      <c r="B289" s="90" t="s">
        <v>420</v>
      </c>
      <c r="C289" s="87">
        <v>0</v>
      </c>
      <c r="D289" s="87">
        <f t="shared" si="22"/>
        <v>0</v>
      </c>
      <c r="E289" s="94">
        <v>0</v>
      </c>
      <c r="F289" s="87">
        <v>0</v>
      </c>
      <c r="G289" s="87">
        <f t="shared" si="23"/>
        <v>0</v>
      </c>
      <c r="H289" s="87"/>
      <c r="I289" s="76" t="s">
        <v>259</v>
      </c>
      <c r="J289" s="80"/>
      <c r="K289" s="80"/>
      <c r="L289" s="75">
        <v>4540004</v>
      </c>
    </row>
    <row r="290" spans="1:16" s="89" customFormat="1" ht="14.1" customHeight="1">
      <c r="A290" s="75">
        <f t="shared" si="21"/>
        <v>284</v>
      </c>
      <c r="B290" s="108" t="s">
        <v>421</v>
      </c>
      <c r="C290" s="97">
        <f>SUM(C281:C289)</f>
        <v>9200819.6799999997</v>
      </c>
      <c r="D290" s="97">
        <f>SUM(D281:D289)</f>
        <v>51349.6800000004</v>
      </c>
      <c r="E290" s="97">
        <f>SUM(E281:E289)</f>
        <v>9149470</v>
      </c>
      <c r="F290" s="97">
        <f>SUM(F281:F289)</f>
        <v>-220044.30999999959</v>
      </c>
      <c r="G290" s="97">
        <f>SUM(G281:G289)</f>
        <v>8929425.6900000013</v>
      </c>
      <c r="H290" s="97"/>
      <c r="I290" s="335"/>
      <c r="J290" s="80"/>
      <c r="K290" s="80"/>
      <c r="L290" s="95"/>
    </row>
    <row r="291" spans="1:16" s="89" customFormat="1" ht="14.1" customHeight="1">
      <c r="A291" s="75">
        <f t="shared" si="21"/>
        <v>285</v>
      </c>
      <c r="C291" s="94"/>
      <c r="D291" s="94"/>
      <c r="E291" s="322"/>
      <c r="F291" s="94"/>
      <c r="G291" s="94"/>
      <c r="H291" s="94"/>
      <c r="I291" s="96"/>
      <c r="J291" s="80"/>
      <c r="K291" s="80"/>
      <c r="L291" s="95"/>
    </row>
    <row r="292" spans="1:16" s="89" customFormat="1" ht="14.1" customHeight="1">
      <c r="A292" s="75">
        <f t="shared" si="21"/>
        <v>286</v>
      </c>
      <c r="B292" s="81" t="s">
        <v>422</v>
      </c>
      <c r="C292" s="87"/>
      <c r="D292" s="94"/>
      <c r="E292" s="87"/>
      <c r="F292" s="87"/>
      <c r="G292" s="94"/>
      <c r="H292" s="94"/>
      <c r="I292" s="96"/>
      <c r="J292" s="80"/>
      <c r="K292" s="80"/>
      <c r="L292" s="95"/>
    </row>
    <row r="293" spans="1:16" s="89" customFormat="1" ht="14.1" customHeight="1">
      <c r="A293" s="75">
        <f t="shared" si="21"/>
        <v>287</v>
      </c>
      <c r="B293" s="76" t="s">
        <v>423</v>
      </c>
      <c r="C293" s="87">
        <v>0</v>
      </c>
      <c r="D293" s="87">
        <f t="shared" ref="D293:D301" si="24">C293-E293</f>
        <v>0</v>
      </c>
      <c r="E293" s="87">
        <v>0</v>
      </c>
      <c r="F293" s="87">
        <v>0</v>
      </c>
      <c r="G293" s="87">
        <f>E293+F293</f>
        <v>0</v>
      </c>
      <c r="H293" s="87"/>
      <c r="I293" s="96" t="s">
        <v>365</v>
      </c>
      <c r="J293" s="80"/>
      <c r="K293" s="80"/>
      <c r="L293" s="75" t="s">
        <v>424</v>
      </c>
      <c r="M293" s="76"/>
      <c r="N293" s="76"/>
      <c r="O293" s="76"/>
      <c r="P293" s="76"/>
    </row>
    <row r="294" spans="1:16" ht="14.1" customHeight="1">
      <c r="A294" s="75">
        <f t="shared" si="21"/>
        <v>288</v>
      </c>
      <c r="B294" s="76" t="s">
        <v>425</v>
      </c>
      <c r="C294" s="87">
        <v>573592.78</v>
      </c>
      <c r="D294" s="87">
        <f t="shared" si="24"/>
        <v>0</v>
      </c>
      <c r="E294" s="87">
        <f>C294</f>
        <v>573592.78</v>
      </c>
      <c r="F294" s="87">
        <v>-573589.96</v>
      </c>
      <c r="G294" s="87">
        <f>E294+F294</f>
        <v>2.8200000000651926</v>
      </c>
      <c r="H294" s="87"/>
      <c r="I294" s="98" t="s">
        <v>280</v>
      </c>
      <c r="J294" s="80"/>
      <c r="K294" s="80"/>
      <c r="L294" s="75">
        <v>4560007</v>
      </c>
    </row>
    <row r="295" spans="1:16" ht="14.1" customHeight="1">
      <c r="A295" s="75">
        <f t="shared" si="21"/>
        <v>289</v>
      </c>
      <c r="B295" s="76" t="s">
        <v>426</v>
      </c>
      <c r="C295" s="87">
        <v>54393</v>
      </c>
      <c r="D295" s="87">
        <f t="shared" si="24"/>
        <v>54393</v>
      </c>
      <c r="E295" s="94">
        <v>0</v>
      </c>
      <c r="F295" s="87">
        <v>0</v>
      </c>
      <c r="G295" s="87">
        <f t="shared" ref="G295:G301" si="25">E295+F295</f>
        <v>0</v>
      </c>
      <c r="H295" s="87"/>
      <c r="I295" s="98" t="s">
        <v>280</v>
      </c>
      <c r="J295" s="80"/>
      <c r="K295" s="80"/>
      <c r="L295" s="75">
        <v>4561019</v>
      </c>
    </row>
    <row r="296" spans="1:16" ht="14.1" customHeight="1">
      <c r="A296" s="75">
        <f t="shared" si="21"/>
        <v>290</v>
      </c>
      <c r="B296" s="76" t="s">
        <v>427</v>
      </c>
      <c r="C296" s="87">
        <v>-58423543.249999993</v>
      </c>
      <c r="D296" s="87">
        <f t="shared" si="24"/>
        <v>0</v>
      </c>
      <c r="E296" s="87">
        <f>C296</f>
        <v>-58423543.249999993</v>
      </c>
      <c r="F296" s="87">
        <v>-4256853</v>
      </c>
      <c r="G296" s="87">
        <f>E296+F296</f>
        <v>-62680396.249999993</v>
      </c>
      <c r="H296" s="87"/>
      <c r="I296" s="96" t="s">
        <v>280</v>
      </c>
      <c r="J296" s="80"/>
      <c r="K296" s="80"/>
      <c r="L296" s="75" t="s">
        <v>428</v>
      </c>
    </row>
    <row r="297" spans="1:16" ht="14.1" customHeight="1">
      <c r="A297" s="75">
        <f t="shared" si="21"/>
        <v>291</v>
      </c>
      <c r="B297" s="76" t="s">
        <v>429</v>
      </c>
      <c r="C297" s="87">
        <v>-137135.82</v>
      </c>
      <c r="D297" s="87">
        <f t="shared" si="24"/>
        <v>0</v>
      </c>
      <c r="E297" s="87">
        <f>C297</f>
        <v>-137135.82</v>
      </c>
      <c r="F297" s="87">
        <v>0</v>
      </c>
      <c r="G297" s="87">
        <f t="shared" si="25"/>
        <v>-137135.82</v>
      </c>
      <c r="H297" s="87"/>
      <c r="I297" s="96" t="s">
        <v>280</v>
      </c>
      <c r="J297" s="80"/>
      <c r="K297" s="80"/>
      <c r="L297" s="75">
        <v>4561036</v>
      </c>
    </row>
    <row r="298" spans="1:16" ht="41.25" customHeight="1">
      <c r="A298" s="75">
        <f t="shared" si="21"/>
        <v>292</v>
      </c>
      <c r="B298" s="76" t="s">
        <v>430</v>
      </c>
      <c r="C298" s="87">
        <f>90622.96+11396681.94+4488.69+2695171.34+8323.37+79811742.22+229104.27+21934+1790717.82+1598483.32+53960.71</f>
        <v>97701230.639999971</v>
      </c>
      <c r="D298" s="87">
        <f t="shared" si="24"/>
        <v>1465518.6399999708</v>
      </c>
      <c r="E298" s="87">
        <v>96235712</v>
      </c>
      <c r="F298" s="87">
        <v>1465518.6399999708</v>
      </c>
      <c r="G298" s="87">
        <f t="shared" si="25"/>
        <v>97701230.639999971</v>
      </c>
      <c r="H298" s="87"/>
      <c r="I298" s="98" t="s">
        <v>259</v>
      </c>
      <c r="J298" s="80"/>
      <c r="K298" s="80"/>
      <c r="L298" s="355" t="s">
        <v>431</v>
      </c>
    </row>
    <row r="299" spans="1:16" ht="14.1" customHeight="1">
      <c r="A299" s="75">
        <f t="shared" si="21"/>
        <v>293</v>
      </c>
      <c r="B299" s="76" t="s">
        <v>432</v>
      </c>
      <c r="C299" s="87">
        <f>1960917+2129704+71610+313718</f>
        <v>4475949</v>
      </c>
      <c r="D299" s="87">
        <f t="shared" si="24"/>
        <v>4475949</v>
      </c>
      <c r="E299" s="87">
        <v>0</v>
      </c>
      <c r="F299" s="87">
        <v>0</v>
      </c>
      <c r="G299" s="87">
        <f t="shared" si="25"/>
        <v>0</v>
      </c>
      <c r="H299" s="87"/>
      <c r="I299" s="96" t="s">
        <v>280</v>
      </c>
      <c r="J299" s="80"/>
      <c r="K299" s="80"/>
      <c r="L299" s="75" t="s">
        <v>433</v>
      </c>
    </row>
    <row r="300" spans="1:16" ht="14.1" customHeight="1">
      <c r="A300" s="75">
        <f t="shared" si="21"/>
        <v>294</v>
      </c>
      <c r="B300" s="76" t="s">
        <v>434</v>
      </c>
      <c r="C300" s="87">
        <v>111393.83</v>
      </c>
      <c r="D300" s="87">
        <f t="shared" si="24"/>
        <v>1670.8300000000017</v>
      </c>
      <c r="E300" s="94">
        <v>109723</v>
      </c>
      <c r="F300" s="87">
        <v>1670.8300000000017</v>
      </c>
      <c r="G300" s="87">
        <f t="shared" si="25"/>
        <v>111393.83</v>
      </c>
      <c r="H300" s="87"/>
      <c r="I300" s="98" t="s">
        <v>259</v>
      </c>
      <c r="J300" s="80"/>
      <c r="K300" s="80"/>
      <c r="L300" s="75">
        <v>4560015</v>
      </c>
    </row>
    <row r="301" spans="1:16" ht="14.1" customHeight="1">
      <c r="A301" s="75">
        <f t="shared" si="21"/>
        <v>295</v>
      </c>
      <c r="B301" s="76" t="s">
        <v>435</v>
      </c>
      <c r="C301" s="87">
        <v>391867.31</v>
      </c>
      <c r="D301" s="87">
        <f t="shared" si="24"/>
        <v>392.30999999999767</v>
      </c>
      <c r="E301" s="94">
        <v>391475</v>
      </c>
      <c r="F301" s="87">
        <v>392.30999999999767</v>
      </c>
      <c r="G301" s="87">
        <f t="shared" si="25"/>
        <v>391867.31</v>
      </c>
      <c r="H301" s="87"/>
      <c r="I301" s="98" t="s">
        <v>337</v>
      </c>
      <c r="J301" s="80"/>
      <c r="K301" s="80"/>
      <c r="L301" s="75">
        <v>4560015</v>
      </c>
    </row>
    <row r="302" spans="1:16" ht="62.25" customHeight="1">
      <c r="A302" s="75">
        <f t="shared" si="21"/>
        <v>296</v>
      </c>
      <c r="B302" s="108" t="s">
        <v>436</v>
      </c>
      <c r="C302" s="97">
        <f>SUM(C293:C301)</f>
        <v>44747747.48999998</v>
      </c>
      <c r="D302" s="97">
        <f>SUM(D293:D301)</f>
        <v>5997923.7799999705</v>
      </c>
      <c r="E302" s="97">
        <f>SUM(E293:E301)</f>
        <v>38749823.710000008</v>
      </c>
      <c r="F302" s="97">
        <f>SUM(F293:F301)</f>
        <v>-3362861.180000029</v>
      </c>
      <c r="G302" s="97">
        <f>SUM(G293:G301)</f>
        <v>35386962.529999979</v>
      </c>
      <c r="H302" s="97"/>
      <c r="I302" s="335"/>
      <c r="J302" s="80"/>
      <c r="K302" s="80"/>
      <c r="L302" s="355" t="s">
        <v>437</v>
      </c>
    </row>
    <row r="303" spans="1:16" ht="14.1" customHeight="1">
      <c r="A303" s="75">
        <f t="shared" si="21"/>
        <v>297</v>
      </c>
      <c r="B303" s="121"/>
      <c r="C303" s="115"/>
      <c r="D303" s="115"/>
      <c r="E303" s="350"/>
      <c r="F303" s="115"/>
      <c r="G303" s="92"/>
      <c r="H303" s="92"/>
      <c r="I303" s="99"/>
      <c r="J303" s="80"/>
      <c r="K303" s="80"/>
    </row>
    <row r="304" spans="1:16" ht="14.1" customHeight="1">
      <c r="A304" s="75">
        <f t="shared" si="21"/>
        <v>298</v>
      </c>
      <c r="B304" s="108" t="s">
        <v>438</v>
      </c>
      <c r="C304" s="94">
        <f>SUM(C278:C279,C290,C302)</f>
        <v>55081909.05999998</v>
      </c>
      <c r="D304" s="94">
        <f>SUM(D278:D279,D290,D302)</f>
        <v>6049273.4599999711</v>
      </c>
      <c r="E304" s="94">
        <f>SUM(E278:E279,E290,E302)</f>
        <v>49032635.710000008</v>
      </c>
      <c r="F304" s="94">
        <f>SUM(F278:F279,F290,F302)</f>
        <v>-2939757.4900000286</v>
      </c>
      <c r="G304" s="94">
        <f>G302+G290+G279+G278</f>
        <v>46092878.219999984</v>
      </c>
      <c r="H304" s="94"/>
      <c r="I304" s="338"/>
      <c r="J304" s="80"/>
      <c r="K304" s="80"/>
    </row>
    <row r="305" spans="1:16" ht="14.1" customHeight="1">
      <c r="A305" s="75">
        <f t="shared" si="21"/>
        <v>299</v>
      </c>
      <c r="B305" s="121"/>
      <c r="C305" s="115"/>
      <c r="D305" s="115"/>
      <c r="E305" s="350"/>
      <c r="F305" s="115"/>
      <c r="G305" s="115"/>
      <c r="H305" s="115"/>
      <c r="I305" s="345"/>
      <c r="J305" s="80"/>
      <c r="K305" s="80"/>
    </row>
    <row r="306" spans="1:16" ht="14.1" customHeight="1">
      <c r="A306" s="75">
        <f t="shared" si="21"/>
        <v>300</v>
      </c>
      <c r="B306" s="108" t="s">
        <v>439</v>
      </c>
      <c r="C306" s="122">
        <f>+C267+C268+C269+C275+C304</f>
        <v>727441754.9599998</v>
      </c>
      <c r="D306" s="122">
        <f>+D267+D268+D269+D275+D304</f>
        <v>5455702.3135999711</v>
      </c>
      <c r="E306" s="122">
        <f>+E267+E268+E269+E275+E304</f>
        <v>721986052.75639999</v>
      </c>
      <c r="F306" s="122">
        <f>+F267+F268+F269+F275+F304</f>
        <v>-56520547.41717764</v>
      </c>
      <c r="G306" s="122">
        <f>+G267+G268+G269+G275+G304</f>
        <v>665465505.33922231</v>
      </c>
      <c r="H306" s="348">
        <f>ROUND(E306/C306,3)</f>
        <v>0.99299999999999999</v>
      </c>
      <c r="I306" s="361"/>
      <c r="J306" s="80"/>
      <c r="K306" s="80"/>
    </row>
    <row r="307" spans="1:16" ht="14.1" customHeight="1">
      <c r="A307" s="75">
        <f t="shared" si="21"/>
        <v>301</v>
      </c>
      <c r="C307" s="87"/>
      <c r="D307" s="87"/>
      <c r="E307" s="347"/>
      <c r="F307" s="87"/>
      <c r="G307" s="87"/>
      <c r="H307" s="87"/>
      <c r="I307" s="98"/>
      <c r="J307" s="80"/>
      <c r="K307" s="80"/>
    </row>
    <row r="308" spans="1:16" ht="14.1" customHeight="1">
      <c r="A308" s="75">
        <f t="shared" si="21"/>
        <v>302</v>
      </c>
      <c r="B308" s="123" t="s">
        <v>440</v>
      </c>
      <c r="C308" s="87"/>
      <c r="D308" s="87"/>
      <c r="E308" s="87"/>
      <c r="F308" s="87"/>
      <c r="G308" s="87"/>
      <c r="H308" s="87"/>
      <c r="I308" s="98"/>
      <c r="J308" s="80"/>
      <c r="K308" s="80"/>
    </row>
    <row r="309" spans="1:16" ht="14.1" customHeight="1">
      <c r="A309" s="75">
        <f t="shared" si="21"/>
        <v>303</v>
      </c>
      <c r="B309" s="81" t="s">
        <v>441</v>
      </c>
      <c r="C309" s="87"/>
      <c r="D309" s="87"/>
      <c r="E309" s="87"/>
      <c r="F309" s="87"/>
      <c r="G309" s="87"/>
      <c r="H309" s="87"/>
      <c r="I309" s="98"/>
      <c r="J309" s="80"/>
      <c r="K309" s="80"/>
    </row>
    <row r="310" spans="1:16" ht="14.1" customHeight="1">
      <c r="A310" s="75">
        <f t="shared" si="21"/>
        <v>304</v>
      </c>
      <c r="B310" s="76" t="s">
        <v>442</v>
      </c>
      <c r="C310" s="87">
        <v>4075249.41</v>
      </c>
      <c r="D310" s="87">
        <f t="shared" ref="D310:D322" si="26">C310-E310</f>
        <v>61128.410000000149</v>
      </c>
      <c r="E310" s="87">
        <v>4014121</v>
      </c>
      <c r="F310" s="87">
        <v>230517.02000000016</v>
      </c>
      <c r="G310" s="87">
        <f>E310+F310</f>
        <v>4244638.0200000005</v>
      </c>
      <c r="H310" s="87"/>
      <c r="I310" s="98" t="s">
        <v>221</v>
      </c>
      <c r="J310" s="87"/>
      <c r="K310" s="87"/>
      <c r="L310" s="75" t="s">
        <v>443</v>
      </c>
    </row>
    <row r="311" spans="1:16" ht="14.1" customHeight="1">
      <c r="A311" s="75">
        <f t="shared" si="21"/>
        <v>305</v>
      </c>
      <c r="B311" s="76" t="s">
        <v>444</v>
      </c>
      <c r="C311" s="87">
        <f>7396104.18+78036523.32+3622215.17+30564445.2+322229.29</f>
        <v>119941517.16000001</v>
      </c>
      <c r="D311" s="87">
        <f t="shared" si="26"/>
        <v>1679181.1600000113</v>
      </c>
      <c r="E311" s="87">
        <v>118262336</v>
      </c>
      <c r="F311" s="87">
        <v>3225138.010000011</v>
      </c>
      <c r="G311" s="87">
        <f>E311+F311</f>
        <v>121487474.01000001</v>
      </c>
      <c r="H311" s="87"/>
      <c r="I311" s="98" t="s">
        <v>365</v>
      </c>
      <c r="J311" s="80"/>
      <c r="K311" s="80"/>
      <c r="L311" s="75" t="s">
        <v>445</v>
      </c>
    </row>
    <row r="312" spans="1:16" ht="14.1" customHeight="1">
      <c r="A312" s="75">
        <f t="shared" si="21"/>
        <v>306</v>
      </c>
      <c r="B312" s="76" t="s">
        <v>446</v>
      </c>
      <c r="C312" s="87">
        <f>6236172.2+1872076.34</f>
        <v>8108248.54</v>
      </c>
      <c r="D312" s="87">
        <f t="shared" si="26"/>
        <v>121623.54000000004</v>
      </c>
      <c r="E312" s="87">
        <v>7986625</v>
      </c>
      <c r="F312" s="87">
        <v>121623.54000000004</v>
      </c>
      <c r="G312" s="87">
        <f>E312+F312</f>
        <v>8108248.54</v>
      </c>
      <c r="H312" s="87"/>
      <c r="I312" s="98" t="s">
        <v>221</v>
      </c>
      <c r="J312" s="80"/>
      <c r="K312" s="80"/>
      <c r="L312" s="75" t="s">
        <v>447</v>
      </c>
    </row>
    <row r="313" spans="1:16" ht="38.25" customHeight="1">
      <c r="A313" s="75">
        <f t="shared" si="21"/>
        <v>307</v>
      </c>
      <c r="B313" s="76" t="s">
        <v>448</v>
      </c>
      <c r="C313" s="87">
        <f>3772133.28+16131.1+1446384.37-1239079.84</f>
        <v>3995568.91</v>
      </c>
      <c r="D313" s="87">
        <f t="shared" si="26"/>
        <v>55937.910000000149</v>
      </c>
      <c r="E313" s="87">
        <v>3939631</v>
      </c>
      <c r="F313" s="87">
        <v>122617.91000000015</v>
      </c>
      <c r="G313" s="87">
        <f>E313+F313</f>
        <v>4062248.91</v>
      </c>
      <c r="H313" s="87"/>
      <c r="I313" s="98" t="s">
        <v>365</v>
      </c>
      <c r="J313" s="80"/>
      <c r="K313" s="80"/>
      <c r="L313" s="355" t="s">
        <v>449</v>
      </c>
    </row>
    <row r="314" spans="1:16" s="89" customFormat="1" ht="14.1" customHeight="1">
      <c r="A314" s="75">
        <f t="shared" si="21"/>
        <v>308</v>
      </c>
      <c r="B314" s="76" t="s">
        <v>450</v>
      </c>
      <c r="C314" s="87">
        <v>-1066415.0200000005</v>
      </c>
      <c r="D314" s="87">
        <f t="shared" si="26"/>
        <v>-2.0000000484287739E-2</v>
      </c>
      <c r="E314" s="87">
        <v>-1066415</v>
      </c>
      <c r="F314" s="87">
        <v>-42632032.020000003</v>
      </c>
      <c r="G314" s="87">
        <f t="shared" ref="G314:G322" si="27">E314+F314</f>
        <v>-43698447.020000003</v>
      </c>
      <c r="H314" s="87"/>
      <c r="I314" s="98" t="s">
        <v>284</v>
      </c>
      <c r="J314" s="80"/>
      <c r="K314" s="80"/>
      <c r="L314" s="75">
        <v>5010005</v>
      </c>
      <c r="M314" s="76"/>
    </row>
    <row r="315" spans="1:16" ht="30.75" customHeight="1">
      <c r="A315" s="75">
        <f t="shared" si="21"/>
        <v>309</v>
      </c>
      <c r="B315" s="76" t="s">
        <v>451</v>
      </c>
      <c r="C315" s="87">
        <f>1661652.77+1080273.36+2386199.04</f>
        <v>5128125.17</v>
      </c>
      <c r="D315" s="87">
        <f t="shared" si="26"/>
        <v>73537.169999999925</v>
      </c>
      <c r="E315" s="87">
        <v>5054588</v>
      </c>
      <c r="F315" s="87">
        <v>-2006996.53</v>
      </c>
      <c r="G315" s="87">
        <f t="shared" si="27"/>
        <v>3047591.4699999997</v>
      </c>
      <c r="H315" s="87"/>
      <c r="I315" s="98" t="s">
        <v>452</v>
      </c>
      <c r="J315" s="80"/>
      <c r="K315" s="80"/>
      <c r="L315" s="355" t="s">
        <v>453</v>
      </c>
    </row>
    <row r="316" spans="1:16" ht="14.1" customHeight="1">
      <c r="A316" s="75">
        <f t="shared" si="21"/>
        <v>310</v>
      </c>
      <c r="B316" s="76" t="s">
        <v>454</v>
      </c>
      <c r="C316" s="87">
        <v>0</v>
      </c>
      <c r="D316" s="87">
        <f t="shared" si="26"/>
        <v>0</v>
      </c>
      <c r="E316" s="87">
        <v>0</v>
      </c>
      <c r="F316" s="87">
        <v>0</v>
      </c>
      <c r="G316" s="87">
        <f t="shared" si="27"/>
        <v>0</v>
      </c>
      <c r="H316" s="87"/>
      <c r="I316" s="98" t="s">
        <v>221</v>
      </c>
      <c r="J316" s="80"/>
      <c r="K316" s="80"/>
    </row>
    <row r="317" spans="1:16" ht="14.1" customHeight="1">
      <c r="A317" s="75">
        <f t="shared" si="21"/>
        <v>311</v>
      </c>
      <c r="B317" s="76" t="s">
        <v>455</v>
      </c>
      <c r="C317" s="87">
        <v>0</v>
      </c>
      <c r="D317" s="87">
        <f t="shared" si="26"/>
        <v>0</v>
      </c>
      <c r="E317" s="87">
        <v>0</v>
      </c>
      <c r="F317" s="87">
        <v>0</v>
      </c>
      <c r="G317" s="87">
        <f t="shared" si="27"/>
        <v>0</v>
      </c>
      <c r="H317" s="87"/>
      <c r="I317" s="98" t="s">
        <v>221</v>
      </c>
      <c r="J317" s="80"/>
      <c r="K317" s="80"/>
    </row>
    <row r="318" spans="1:16" ht="14.1" customHeight="1">
      <c r="A318" s="75">
        <f t="shared" si="21"/>
        <v>312</v>
      </c>
      <c r="B318" s="76" t="s">
        <v>456</v>
      </c>
      <c r="C318" s="87">
        <v>58098.22</v>
      </c>
      <c r="D318" s="87">
        <f t="shared" si="26"/>
        <v>833.22000000000116</v>
      </c>
      <c r="E318" s="87">
        <v>57265</v>
      </c>
      <c r="F318" s="87">
        <v>7562.4300000000012</v>
      </c>
      <c r="G318" s="87">
        <f t="shared" si="27"/>
        <v>64827.43</v>
      </c>
      <c r="H318" s="87"/>
      <c r="I318" s="98" t="s">
        <v>452</v>
      </c>
      <c r="J318" s="80"/>
      <c r="K318" s="80"/>
      <c r="L318" s="75">
        <v>5050000</v>
      </c>
    </row>
    <row r="319" spans="1:16" s="89" customFormat="1" ht="14.1" customHeight="1">
      <c r="A319" s="75">
        <f t="shared" si="21"/>
        <v>313</v>
      </c>
      <c r="B319" s="76" t="s">
        <v>457</v>
      </c>
      <c r="C319" s="87">
        <f>6024638.35+53008.49-1.1</f>
        <v>6077645.7400000002</v>
      </c>
      <c r="D319" s="87">
        <f t="shared" si="26"/>
        <v>91164.740000000224</v>
      </c>
      <c r="E319" s="87">
        <v>5986481</v>
      </c>
      <c r="F319" s="87">
        <v>-452844.98999999976</v>
      </c>
      <c r="G319" s="87">
        <f t="shared" si="27"/>
        <v>5533636.0099999998</v>
      </c>
      <c r="H319" s="87"/>
      <c r="I319" s="98" t="s">
        <v>221</v>
      </c>
      <c r="J319" s="87"/>
      <c r="K319" s="87"/>
      <c r="L319" s="75" t="s">
        <v>458</v>
      </c>
    </row>
    <row r="320" spans="1:16" s="89" customFormat="1" ht="14.1" customHeight="1">
      <c r="A320" s="75">
        <f t="shared" si="21"/>
        <v>314</v>
      </c>
      <c r="B320" s="76" t="s">
        <v>459</v>
      </c>
      <c r="C320" s="87">
        <v>965.85</v>
      </c>
      <c r="D320" s="87">
        <f>C320-E320</f>
        <v>14.850000000000023</v>
      </c>
      <c r="E320" s="87">
        <v>951</v>
      </c>
      <c r="F320" s="87">
        <v>14.850000000000023</v>
      </c>
      <c r="G320" s="87">
        <f t="shared" si="27"/>
        <v>965.85</v>
      </c>
      <c r="H320" s="87"/>
      <c r="I320" s="98" t="s">
        <v>221</v>
      </c>
      <c r="J320" s="80"/>
      <c r="K320" s="80"/>
      <c r="L320" s="75">
        <v>5070006</v>
      </c>
      <c r="M320" s="76"/>
      <c r="N320" s="76"/>
      <c r="O320" s="76"/>
      <c r="P320" s="76"/>
    </row>
    <row r="321" spans="1:15" ht="14.1" customHeight="1">
      <c r="A321" s="75">
        <f t="shared" si="21"/>
        <v>315</v>
      </c>
      <c r="B321" s="76" t="s">
        <v>460</v>
      </c>
      <c r="C321" s="87">
        <v>0</v>
      </c>
      <c r="D321" s="87">
        <f t="shared" si="26"/>
        <v>0</v>
      </c>
      <c r="E321" s="87">
        <v>0</v>
      </c>
      <c r="F321" s="87">
        <v>0</v>
      </c>
      <c r="G321" s="87">
        <f t="shared" si="27"/>
        <v>0</v>
      </c>
      <c r="H321" s="87"/>
      <c r="I321" s="98" t="s">
        <v>221</v>
      </c>
      <c r="J321" s="80"/>
      <c r="K321" s="80"/>
    </row>
    <row r="322" spans="1:15" ht="14.1" customHeight="1">
      <c r="A322" s="75">
        <f t="shared" si="21"/>
        <v>316</v>
      </c>
      <c r="B322" s="90" t="s">
        <v>461</v>
      </c>
      <c r="C322" s="87">
        <f>36775.01+42857.15+176.85</f>
        <v>79809.010000000009</v>
      </c>
      <c r="D322" s="87">
        <f t="shared" si="26"/>
        <v>1117.0100000000093</v>
      </c>
      <c r="E322" s="87">
        <v>78692</v>
      </c>
      <c r="F322" s="87">
        <v>1117.0100000000093</v>
      </c>
      <c r="G322" s="87">
        <f t="shared" si="27"/>
        <v>79809.010000000009</v>
      </c>
      <c r="H322" s="87"/>
      <c r="I322" s="98" t="s">
        <v>365</v>
      </c>
      <c r="J322" s="80"/>
      <c r="K322" s="80"/>
      <c r="L322" s="75" t="s">
        <v>462</v>
      </c>
    </row>
    <row r="323" spans="1:15" ht="14.1" customHeight="1">
      <c r="A323" s="75">
        <f t="shared" si="21"/>
        <v>317</v>
      </c>
      <c r="B323" s="108" t="s">
        <v>463</v>
      </c>
      <c r="C323" s="97">
        <f>SUM(C310:C322)</f>
        <v>146398812.98999998</v>
      </c>
      <c r="D323" s="97">
        <f>SUM(D310:D322)</f>
        <v>2084537.9900000114</v>
      </c>
      <c r="E323" s="97">
        <f>SUM(E310:E322)</f>
        <v>144314275</v>
      </c>
      <c r="F323" s="97">
        <f>SUM(F310:F322)</f>
        <v>-41383282.769999996</v>
      </c>
      <c r="G323" s="97">
        <f>SUM(G310:G322)</f>
        <v>102930992.23000002</v>
      </c>
      <c r="H323" s="97"/>
      <c r="I323" s="335"/>
      <c r="J323" s="80"/>
      <c r="K323" s="80"/>
    </row>
    <row r="324" spans="1:15" ht="14.1" customHeight="1">
      <c r="A324" s="75">
        <f t="shared" si="21"/>
        <v>318</v>
      </c>
      <c r="B324" s="124"/>
      <c r="C324" s="94"/>
      <c r="D324" s="332"/>
      <c r="E324" s="322"/>
      <c r="F324" s="94"/>
      <c r="G324" s="87"/>
      <c r="H324" s="87"/>
      <c r="I324" s="98"/>
      <c r="J324" s="80"/>
      <c r="K324" s="80"/>
    </row>
    <row r="325" spans="1:15" ht="14.1" customHeight="1">
      <c r="A325" s="75">
        <f t="shared" si="21"/>
        <v>319</v>
      </c>
      <c r="B325" s="76" t="s">
        <v>464</v>
      </c>
      <c r="C325" s="87">
        <v>1352873.19</v>
      </c>
      <c r="D325" s="87">
        <f>C325-E325</f>
        <v>20293.189999999944</v>
      </c>
      <c r="E325" s="87">
        <v>1332580</v>
      </c>
      <c r="F325" s="87">
        <v>167438.47999999992</v>
      </c>
      <c r="G325" s="87">
        <f>E325+F325</f>
        <v>1500018.48</v>
      </c>
      <c r="H325" s="87"/>
      <c r="I325" s="98" t="s">
        <v>221</v>
      </c>
      <c r="J325" s="80"/>
      <c r="K325" s="80"/>
      <c r="L325" s="75" t="s">
        <v>465</v>
      </c>
    </row>
    <row r="326" spans="1:15" ht="14.1" customHeight="1">
      <c r="A326" s="75">
        <f t="shared" si="21"/>
        <v>320</v>
      </c>
      <c r="B326" s="76" t="s">
        <v>466</v>
      </c>
      <c r="C326" s="87">
        <v>1989377.4100000001</v>
      </c>
      <c r="D326" s="87">
        <f>C326-E326</f>
        <v>29840.410000000149</v>
      </c>
      <c r="E326" s="87">
        <v>1959537</v>
      </c>
      <c r="F326" s="87">
        <v>46567.040000000154</v>
      </c>
      <c r="G326" s="87">
        <f>E326+F326</f>
        <v>2006104.04</v>
      </c>
      <c r="H326" s="87"/>
      <c r="I326" s="98" t="s">
        <v>221</v>
      </c>
      <c r="J326" s="87"/>
      <c r="K326" s="87"/>
      <c r="L326" s="75">
        <v>5110000</v>
      </c>
    </row>
    <row r="327" spans="1:15" ht="13.5" customHeight="1">
      <c r="A327" s="75">
        <f t="shared" si="21"/>
        <v>321</v>
      </c>
      <c r="B327" s="76" t="s">
        <v>467</v>
      </c>
      <c r="C327" s="87">
        <f>15573903.48-7671.09-699253.32</f>
        <v>14866979.07</v>
      </c>
      <c r="D327" s="87">
        <f>C327-E327</f>
        <v>213192.0700000003</v>
      </c>
      <c r="E327" s="87">
        <v>14653787</v>
      </c>
      <c r="F327" s="87">
        <v>-896434.07999999961</v>
      </c>
      <c r="G327" s="87">
        <f>E327+F327</f>
        <v>13757352.92</v>
      </c>
      <c r="H327" s="87"/>
      <c r="I327" s="98" t="s">
        <v>452</v>
      </c>
      <c r="J327" s="87"/>
      <c r="K327" s="362">
        <f>E327/C327</f>
        <v>0.98566002756873461</v>
      </c>
      <c r="L327" s="75" t="s">
        <v>468</v>
      </c>
    </row>
    <row r="328" spans="1:15" ht="14.1" customHeight="1">
      <c r="A328" s="75">
        <f t="shared" si="21"/>
        <v>322</v>
      </c>
      <c r="B328" s="76" t="s">
        <v>469</v>
      </c>
      <c r="C328" s="87">
        <f>4352733.86+27069.95+1124.18</f>
        <v>4380927.99</v>
      </c>
      <c r="D328" s="87">
        <f>C328-E328</f>
        <v>65713.990000000224</v>
      </c>
      <c r="E328" s="87">
        <v>4315214</v>
      </c>
      <c r="F328" s="87">
        <v>155546.83000000022</v>
      </c>
      <c r="G328" s="87">
        <f>E328+F328</f>
        <v>4470760.83</v>
      </c>
      <c r="H328" s="87"/>
      <c r="I328" s="98" t="s">
        <v>221</v>
      </c>
      <c r="J328" s="87"/>
      <c r="K328" s="87"/>
      <c r="L328" s="75" t="s">
        <v>470</v>
      </c>
    </row>
    <row r="329" spans="1:15" ht="14.1" customHeight="1">
      <c r="A329" s="75">
        <f t="shared" si="21"/>
        <v>323</v>
      </c>
      <c r="B329" s="90" t="s">
        <v>471</v>
      </c>
      <c r="C329" s="87">
        <v>1406936.23</v>
      </c>
      <c r="D329" s="87">
        <f>C329-E329</f>
        <v>21104.229999999981</v>
      </c>
      <c r="E329" s="87">
        <v>1385832</v>
      </c>
      <c r="F329" s="87">
        <v>39187.069999999978</v>
      </c>
      <c r="G329" s="87">
        <f>E329+F329</f>
        <v>1425019.07</v>
      </c>
      <c r="H329" s="87"/>
      <c r="I329" s="98" t="s">
        <v>221</v>
      </c>
      <c r="J329" s="80"/>
      <c r="K329" s="80"/>
      <c r="L329" s="75" t="s">
        <v>472</v>
      </c>
    </row>
    <row r="330" spans="1:15" ht="14.1" customHeight="1">
      <c r="A330" s="75">
        <f t="shared" si="21"/>
        <v>324</v>
      </c>
      <c r="B330" s="108" t="s">
        <v>473</v>
      </c>
      <c r="C330" s="97">
        <f>SUM(C325:C329)</f>
        <v>23997093.890000004</v>
      </c>
      <c r="D330" s="97">
        <f>SUM(D325:D329)</f>
        <v>350143.8900000006</v>
      </c>
      <c r="E330" s="97">
        <f>SUM(E325:E329)</f>
        <v>23646950</v>
      </c>
      <c r="F330" s="97">
        <f>SUM(F325:F329)</f>
        <v>-487694.65999999945</v>
      </c>
      <c r="G330" s="97">
        <f>SUM(G325:G329)</f>
        <v>23159255.340000004</v>
      </c>
      <c r="H330" s="97"/>
      <c r="I330" s="335"/>
      <c r="J330" s="80"/>
      <c r="K330" s="80"/>
    </row>
    <row r="331" spans="1:15" ht="14.1" customHeight="1">
      <c r="A331" s="75">
        <f t="shared" ref="A331:A394" si="28">+A330+1</f>
        <v>325</v>
      </c>
      <c r="B331" s="121"/>
      <c r="C331" s="115"/>
      <c r="D331" s="115"/>
      <c r="E331" s="350"/>
      <c r="F331" s="115"/>
      <c r="G331" s="92"/>
      <c r="H331" s="92"/>
      <c r="I331" s="99"/>
      <c r="J331" s="80"/>
      <c r="K331" s="80"/>
    </row>
    <row r="332" spans="1:15" ht="14.1" customHeight="1">
      <c r="A332" s="75">
        <f t="shared" si="28"/>
        <v>326</v>
      </c>
      <c r="B332" s="108" t="s">
        <v>474</v>
      </c>
      <c r="C332" s="94">
        <f>+C330+C323</f>
        <v>170395906.88</v>
      </c>
      <c r="D332" s="94">
        <f>+D330+D323</f>
        <v>2434681.880000012</v>
      </c>
      <c r="E332" s="94">
        <f>+E330+E323</f>
        <v>167961225</v>
      </c>
      <c r="F332" s="94">
        <f>+F330+F323</f>
        <v>-41870977.429999992</v>
      </c>
      <c r="G332" s="94">
        <f>+G330+G323</f>
        <v>126090247.57000002</v>
      </c>
      <c r="H332" s="94"/>
      <c r="I332" s="338"/>
      <c r="J332" s="80"/>
      <c r="K332" s="80"/>
    </row>
    <row r="333" spans="1:15" ht="14.1" customHeight="1">
      <c r="A333" s="75">
        <f t="shared" si="28"/>
        <v>327</v>
      </c>
      <c r="B333" s="89"/>
      <c r="C333" s="94"/>
      <c r="D333" s="94"/>
      <c r="E333" s="336"/>
      <c r="F333" s="94"/>
      <c r="G333" s="87"/>
      <c r="H333" s="87"/>
      <c r="I333" s="98"/>
      <c r="J333" s="80"/>
      <c r="K333" s="80"/>
    </row>
    <row r="334" spans="1:15" ht="14.1" customHeight="1">
      <c r="A334" s="75">
        <f t="shared" si="28"/>
        <v>328</v>
      </c>
      <c r="B334" s="81" t="s">
        <v>475</v>
      </c>
      <c r="C334" s="87"/>
      <c r="D334" s="87"/>
      <c r="E334" s="87"/>
      <c r="F334" s="87"/>
      <c r="G334" s="87"/>
      <c r="H334" s="87"/>
      <c r="I334" s="98"/>
      <c r="J334" s="80"/>
      <c r="K334" s="80"/>
    </row>
    <row r="335" spans="1:15" ht="14.1" customHeight="1">
      <c r="A335" s="75">
        <f t="shared" si="28"/>
        <v>329</v>
      </c>
      <c r="B335" s="76" t="s">
        <v>476</v>
      </c>
      <c r="C335" s="87">
        <v>0</v>
      </c>
      <c r="D335" s="87">
        <f>C335-E335</f>
        <v>0</v>
      </c>
      <c r="E335" s="87">
        <v>0</v>
      </c>
      <c r="F335" s="87">
        <v>0</v>
      </c>
      <c r="G335" s="87">
        <f>E335+F335</f>
        <v>0</v>
      </c>
      <c r="H335" s="87"/>
      <c r="I335" s="98" t="s">
        <v>221</v>
      </c>
      <c r="J335" s="80"/>
      <c r="K335" s="80"/>
    </row>
    <row r="336" spans="1:15" ht="33" customHeight="1">
      <c r="A336" s="75">
        <f t="shared" si="28"/>
        <v>330</v>
      </c>
      <c r="B336" s="76" t="s">
        <v>477</v>
      </c>
      <c r="C336" s="87">
        <v>7033579.0000000009</v>
      </c>
      <c r="D336" s="87">
        <f>C336-E336</f>
        <v>105504.00000000093</v>
      </c>
      <c r="E336" s="87">
        <v>6928075</v>
      </c>
      <c r="F336" s="87">
        <v>-1919782.4796493505</v>
      </c>
      <c r="G336" s="87">
        <f>E336+F336</f>
        <v>5008292.52035065</v>
      </c>
      <c r="H336" s="87"/>
      <c r="I336" s="98" t="s">
        <v>221</v>
      </c>
      <c r="J336" s="87"/>
      <c r="K336" s="87"/>
      <c r="L336" s="355" t="s">
        <v>478</v>
      </c>
      <c r="O336" s="75"/>
    </row>
    <row r="337" spans="1:12" ht="40.5" customHeight="1">
      <c r="A337" s="75">
        <f t="shared" si="28"/>
        <v>331</v>
      </c>
      <c r="B337" s="76" t="s">
        <v>479</v>
      </c>
      <c r="C337" s="87">
        <v>125459372.98999999</v>
      </c>
      <c r="D337" s="87">
        <f>C337-E337</f>
        <v>1764993.9899999946</v>
      </c>
      <c r="E337" s="87">
        <v>123694379</v>
      </c>
      <c r="F337" s="87">
        <v>2368029.9899999946</v>
      </c>
      <c r="G337" s="87">
        <f>E337+F337</f>
        <v>126062408.98999999</v>
      </c>
      <c r="H337" s="87"/>
      <c r="I337" s="98" t="s">
        <v>365</v>
      </c>
      <c r="J337" s="87">
        <f>-3880379+3268780</f>
        <v>-611599</v>
      </c>
      <c r="K337" s="355" t="s">
        <v>480</v>
      </c>
      <c r="L337" s="355" t="s">
        <v>481</v>
      </c>
    </row>
    <row r="338" spans="1:12" ht="14.1" customHeight="1">
      <c r="A338" s="75">
        <f t="shared" si="28"/>
        <v>332</v>
      </c>
      <c r="B338" s="76" t="s">
        <v>482</v>
      </c>
      <c r="C338" s="87">
        <v>63261.100000000006</v>
      </c>
      <c r="D338" s="87">
        <f>C338-E338</f>
        <v>949.10000000000582</v>
      </c>
      <c r="E338" s="87">
        <v>62312</v>
      </c>
      <c r="F338" s="87">
        <v>949.10000000000582</v>
      </c>
      <c r="G338" s="87">
        <f>E338+F338</f>
        <v>63261.100000000006</v>
      </c>
      <c r="H338" s="87"/>
      <c r="I338" s="98" t="s">
        <v>221</v>
      </c>
      <c r="J338" s="80"/>
      <c r="K338" s="80"/>
      <c r="L338" s="75">
        <v>5560000</v>
      </c>
    </row>
    <row r="339" spans="1:12" ht="14.1" customHeight="1">
      <c r="A339" s="75">
        <f t="shared" si="28"/>
        <v>333</v>
      </c>
      <c r="B339" s="90" t="s">
        <v>483</v>
      </c>
      <c r="C339" s="87">
        <f>793360.1+243.15+5.68+0.93</f>
        <v>793609.8600000001</v>
      </c>
      <c r="D339" s="87">
        <f>C339-E339</f>
        <v>11903.860000000102</v>
      </c>
      <c r="E339" s="87">
        <v>781706</v>
      </c>
      <c r="F339" s="87">
        <v>11903.860000000102</v>
      </c>
      <c r="G339" s="87">
        <f>E339+F339</f>
        <v>793609.8600000001</v>
      </c>
      <c r="H339" s="87"/>
      <c r="I339" s="98" t="s">
        <v>221</v>
      </c>
      <c r="J339" s="80"/>
      <c r="K339" s="80"/>
      <c r="L339" s="75" t="s">
        <v>484</v>
      </c>
    </row>
    <row r="340" spans="1:12" s="89" customFormat="1" ht="14.1" customHeight="1">
      <c r="A340" s="75">
        <f t="shared" si="28"/>
        <v>334</v>
      </c>
      <c r="B340" s="108" t="s">
        <v>485</v>
      </c>
      <c r="C340" s="97">
        <f>SUM(C335:C339)</f>
        <v>133349822.94999999</v>
      </c>
      <c r="D340" s="97">
        <f t="shared" ref="D340:G340" si="29">SUM(D335:D339)</f>
        <v>1883350.9499999958</v>
      </c>
      <c r="E340" s="97">
        <f t="shared" si="29"/>
        <v>131466472</v>
      </c>
      <c r="F340" s="97">
        <f t="shared" si="29"/>
        <v>461100.4703506442</v>
      </c>
      <c r="G340" s="97">
        <f t="shared" si="29"/>
        <v>131927572.47035064</v>
      </c>
      <c r="H340" s="97"/>
      <c r="I340" s="335"/>
      <c r="J340" s="80"/>
      <c r="K340" s="80"/>
      <c r="L340" s="95"/>
    </row>
    <row r="341" spans="1:12" s="89" customFormat="1" ht="14.1" customHeight="1">
      <c r="A341" s="75">
        <f t="shared" si="28"/>
        <v>335</v>
      </c>
      <c r="B341" s="108"/>
      <c r="C341" s="94"/>
      <c r="D341" s="94"/>
      <c r="E341" s="94"/>
      <c r="F341" s="94"/>
      <c r="G341" s="94"/>
      <c r="H341" s="94"/>
      <c r="I341" s="338"/>
      <c r="J341" s="80"/>
      <c r="K341" s="80"/>
      <c r="L341" s="95"/>
    </row>
    <row r="342" spans="1:12" ht="14.1" customHeight="1">
      <c r="A342" s="75">
        <f t="shared" si="28"/>
        <v>336</v>
      </c>
      <c r="B342" s="90" t="s">
        <v>486</v>
      </c>
      <c r="C342" s="87">
        <f>146.29+2335.05+410.78+2.07+3.51</f>
        <v>2897.7000000000003</v>
      </c>
      <c r="D342" s="87">
        <f>+C342-E342</f>
        <v>43.700000000000273</v>
      </c>
      <c r="E342" s="87">
        <v>2854</v>
      </c>
      <c r="F342" s="87">
        <v>43.700000000000273</v>
      </c>
      <c r="G342" s="87">
        <f>E342+F342</f>
        <v>2897.7000000000003</v>
      </c>
      <c r="H342" s="87"/>
      <c r="I342" s="98" t="s">
        <v>221</v>
      </c>
      <c r="J342" s="80"/>
      <c r="K342" s="80"/>
      <c r="L342" s="75" t="s">
        <v>487</v>
      </c>
    </row>
    <row r="343" spans="1:12" s="89" customFormat="1" ht="14.1" customHeight="1">
      <c r="A343" s="75">
        <f t="shared" si="28"/>
        <v>337</v>
      </c>
      <c r="B343" s="108" t="s">
        <v>488</v>
      </c>
      <c r="C343" s="97">
        <f>+C342</f>
        <v>2897.7000000000003</v>
      </c>
      <c r="D343" s="97">
        <f t="shared" ref="D343:G343" si="30">+D342</f>
        <v>43.700000000000273</v>
      </c>
      <c r="E343" s="97">
        <f t="shared" si="30"/>
        <v>2854</v>
      </c>
      <c r="F343" s="97">
        <f t="shared" si="30"/>
        <v>43.700000000000273</v>
      </c>
      <c r="G343" s="97">
        <f t="shared" si="30"/>
        <v>2897.7000000000003</v>
      </c>
      <c r="H343" s="97"/>
      <c r="I343" s="335"/>
      <c r="J343" s="80"/>
      <c r="K343" s="80"/>
      <c r="L343" s="95"/>
    </row>
    <row r="344" spans="1:12" s="89" customFormat="1" ht="14.1" customHeight="1">
      <c r="A344" s="75">
        <f t="shared" si="28"/>
        <v>338</v>
      </c>
      <c r="B344" s="121"/>
      <c r="C344" s="115"/>
      <c r="D344" s="115"/>
      <c r="E344" s="350"/>
      <c r="F344" s="115"/>
      <c r="G344" s="92"/>
      <c r="H344" s="92"/>
      <c r="I344" s="114"/>
      <c r="J344" s="80"/>
      <c r="K344" s="80"/>
      <c r="L344" s="95"/>
    </row>
    <row r="345" spans="1:12" ht="14.1" customHeight="1">
      <c r="A345" s="75">
        <f t="shared" si="28"/>
        <v>339</v>
      </c>
      <c r="B345" s="108" t="s">
        <v>489</v>
      </c>
      <c r="C345" s="94">
        <f>C340+C332+C343</f>
        <v>303748627.52999997</v>
      </c>
      <c r="D345" s="94">
        <f t="shared" ref="D345:F345" si="31">D340+D332+D343</f>
        <v>4318076.5300000077</v>
      </c>
      <c r="E345" s="94">
        <f t="shared" si="31"/>
        <v>299430551</v>
      </c>
      <c r="F345" s="94">
        <f t="shared" si="31"/>
        <v>-41409833.259649344</v>
      </c>
      <c r="G345" s="94">
        <f>G340+G332+G343</f>
        <v>258020717.74035066</v>
      </c>
      <c r="H345" s="94"/>
      <c r="I345" s="104"/>
      <c r="J345" s="80"/>
      <c r="K345" s="80"/>
    </row>
    <row r="346" spans="1:12" ht="14.1" customHeight="1">
      <c r="A346" s="75">
        <f t="shared" si="28"/>
        <v>340</v>
      </c>
      <c r="B346" s="89"/>
      <c r="C346" s="336"/>
      <c r="D346" s="94"/>
      <c r="E346" s="336"/>
      <c r="F346" s="94"/>
      <c r="G346" s="87"/>
      <c r="H346" s="87"/>
      <c r="I346" s="98"/>
      <c r="J346" s="80"/>
      <c r="K346" s="80"/>
    </row>
    <row r="347" spans="1:12" ht="14.1" customHeight="1">
      <c r="A347" s="75">
        <f t="shared" si="28"/>
        <v>341</v>
      </c>
      <c r="B347" s="81" t="s">
        <v>490</v>
      </c>
      <c r="C347" s="87"/>
      <c r="D347" s="87"/>
      <c r="E347" s="87"/>
      <c r="F347" s="87"/>
      <c r="G347" s="87"/>
      <c r="H347" s="87"/>
      <c r="I347" s="98"/>
      <c r="J347" s="80"/>
      <c r="K347" s="80"/>
    </row>
    <row r="348" spans="1:12" ht="14.1" customHeight="1">
      <c r="A348" s="75">
        <f t="shared" si="28"/>
        <v>342</v>
      </c>
      <c r="B348" s="76" t="s">
        <v>491</v>
      </c>
      <c r="C348" s="87">
        <v>2017555.06</v>
      </c>
      <c r="D348" s="87">
        <f t="shared" ref="D348:D359" si="32">C348-E348</f>
        <v>30263.060000000056</v>
      </c>
      <c r="E348" s="87">
        <v>1987292</v>
      </c>
      <c r="F348" s="87">
        <v>29211.870000000057</v>
      </c>
      <c r="G348" s="87">
        <f t="shared" ref="G348:G359" si="33">E348+F348</f>
        <v>2016503.87</v>
      </c>
      <c r="H348" s="87"/>
      <c r="I348" s="98" t="s">
        <v>259</v>
      </c>
      <c r="J348" s="80"/>
      <c r="K348" s="80"/>
      <c r="L348" s="75">
        <v>5600000</v>
      </c>
    </row>
    <row r="349" spans="1:12" ht="14.1" customHeight="1">
      <c r="A349" s="75">
        <f t="shared" si="28"/>
        <v>343</v>
      </c>
      <c r="B349" s="76" t="s">
        <v>492</v>
      </c>
      <c r="C349" s="87">
        <f>487528.19+96613.53</f>
        <v>584141.72</v>
      </c>
      <c r="D349" s="87">
        <f t="shared" si="32"/>
        <v>8761.7199999999721</v>
      </c>
      <c r="E349" s="87">
        <v>575380</v>
      </c>
      <c r="F349" s="87">
        <v>8761.7199999999721</v>
      </c>
      <c r="G349" s="87">
        <f t="shared" si="33"/>
        <v>584141.72</v>
      </c>
      <c r="H349" s="87"/>
      <c r="I349" s="98" t="s">
        <v>259</v>
      </c>
      <c r="J349" s="80"/>
      <c r="K349" s="80"/>
      <c r="L349" s="75" t="s">
        <v>493</v>
      </c>
    </row>
    <row r="350" spans="1:12" s="89" customFormat="1" ht="27.75">
      <c r="A350" s="95">
        <f t="shared" si="28"/>
        <v>344</v>
      </c>
      <c r="B350" s="89" t="s">
        <v>494</v>
      </c>
      <c r="C350" s="94">
        <f>75.09+83453.25+1326798.33+25723.23+393195.59</f>
        <v>1829245.4900000002</v>
      </c>
      <c r="D350" s="94">
        <f t="shared" si="32"/>
        <v>27438.490000000224</v>
      </c>
      <c r="E350" s="94">
        <v>1801807</v>
      </c>
      <c r="F350" s="94">
        <v>27438.490000000224</v>
      </c>
      <c r="G350" s="94">
        <f t="shared" si="33"/>
        <v>1829245.4900000002</v>
      </c>
      <c r="H350" s="94"/>
      <c r="I350" s="96" t="s">
        <v>259</v>
      </c>
      <c r="J350" s="126"/>
      <c r="K350" s="126"/>
      <c r="L350" s="357" t="s">
        <v>495</v>
      </c>
    </row>
    <row r="351" spans="1:12" ht="14.1" customHeight="1">
      <c r="A351" s="75">
        <f t="shared" si="28"/>
        <v>345</v>
      </c>
      <c r="B351" s="76" t="s">
        <v>496</v>
      </c>
      <c r="C351" s="87">
        <v>244494.76</v>
      </c>
      <c r="D351" s="87">
        <f t="shared" si="32"/>
        <v>3667.7600000000093</v>
      </c>
      <c r="E351" s="87">
        <v>240827</v>
      </c>
      <c r="F351" s="87">
        <v>3667.7600000000093</v>
      </c>
      <c r="G351" s="87">
        <f t="shared" si="33"/>
        <v>244494.76</v>
      </c>
      <c r="H351" s="87"/>
      <c r="I351" s="98" t="s">
        <v>259</v>
      </c>
      <c r="J351" s="80"/>
      <c r="K351" s="80"/>
      <c r="L351" s="75">
        <v>5620001</v>
      </c>
    </row>
    <row r="352" spans="1:12" s="89" customFormat="1" ht="14.1" customHeight="1">
      <c r="A352" s="75">
        <f t="shared" si="28"/>
        <v>346</v>
      </c>
      <c r="B352" s="76" t="s">
        <v>497</v>
      </c>
      <c r="C352" s="87">
        <v>21867.99</v>
      </c>
      <c r="D352" s="87">
        <f t="shared" si="32"/>
        <v>327.9900000000016</v>
      </c>
      <c r="E352" s="87">
        <v>21540</v>
      </c>
      <c r="F352" s="87">
        <v>327.9900000000016</v>
      </c>
      <c r="G352" s="87">
        <f t="shared" si="33"/>
        <v>21867.99</v>
      </c>
      <c r="H352" s="87"/>
      <c r="I352" s="98" t="s">
        <v>259</v>
      </c>
      <c r="J352" s="80"/>
      <c r="K352" s="80"/>
      <c r="L352" s="75">
        <v>5630000</v>
      </c>
    </row>
    <row r="353" spans="1:12" s="89" customFormat="1" ht="14.1" customHeight="1">
      <c r="A353" s="75">
        <f t="shared" si="28"/>
        <v>347</v>
      </c>
      <c r="B353" s="76" t="s">
        <v>498</v>
      </c>
      <c r="C353" s="87">
        <v>15.85</v>
      </c>
      <c r="D353" s="87">
        <f t="shared" si="32"/>
        <v>-0.15000000000000036</v>
      </c>
      <c r="E353" s="87">
        <v>16</v>
      </c>
      <c r="F353" s="87">
        <v>-0.15000000000000036</v>
      </c>
      <c r="G353" s="87">
        <f t="shared" si="33"/>
        <v>15.85</v>
      </c>
      <c r="H353" s="87"/>
      <c r="I353" s="98" t="s">
        <v>259</v>
      </c>
      <c r="J353" s="80"/>
      <c r="K353" s="80"/>
      <c r="L353" s="75">
        <v>5640000</v>
      </c>
    </row>
    <row r="354" spans="1:12" s="89" customFormat="1" ht="14.1" customHeight="1">
      <c r="A354" s="75">
        <f t="shared" si="28"/>
        <v>348</v>
      </c>
      <c r="B354" s="76" t="s">
        <v>499</v>
      </c>
      <c r="C354" s="87">
        <v>83552774.820000023</v>
      </c>
      <c r="D354" s="87">
        <f t="shared" si="32"/>
        <v>-0.17999997735023499</v>
      </c>
      <c r="E354" s="87">
        <v>83552775</v>
      </c>
      <c r="F354" s="87">
        <v>5725019.8200000226</v>
      </c>
      <c r="G354" s="87">
        <f t="shared" si="33"/>
        <v>89277794.820000023</v>
      </c>
      <c r="H354" s="87"/>
      <c r="I354" s="96" t="s">
        <v>284</v>
      </c>
      <c r="J354" s="80"/>
      <c r="K354" s="80"/>
      <c r="L354" s="75" t="s">
        <v>500</v>
      </c>
    </row>
    <row r="355" spans="1:12" s="89" customFormat="1" ht="14.1" customHeight="1">
      <c r="A355" s="75">
        <f t="shared" si="28"/>
        <v>349</v>
      </c>
      <c r="B355" s="76" t="s">
        <v>501</v>
      </c>
      <c r="C355" s="87">
        <v>167304.17000000001</v>
      </c>
      <c r="D355" s="87">
        <f t="shared" si="32"/>
        <v>0.17000000001280569</v>
      </c>
      <c r="E355" s="87">
        <v>167304</v>
      </c>
      <c r="F355" s="87">
        <v>0.17000000001280569</v>
      </c>
      <c r="G355" s="87">
        <f t="shared" si="33"/>
        <v>167304.17000000001</v>
      </c>
      <c r="H355" s="87"/>
      <c r="I355" s="96" t="s">
        <v>284</v>
      </c>
      <c r="J355" s="80"/>
      <c r="K355" s="80"/>
      <c r="L355" s="75">
        <v>5650015</v>
      </c>
    </row>
    <row r="356" spans="1:12" s="89" customFormat="1" ht="14.1" customHeight="1">
      <c r="A356" s="75">
        <f t="shared" si="28"/>
        <v>350</v>
      </c>
      <c r="B356" s="76" t="s">
        <v>502</v>
      </c>
      <c r="C356" s="87">
        <v>98580</v>
      </c>
      <c r="D356" s="87">
        <f t="shared" si="32"/>
        <v>1479</v>
      </c>
      <c r="E356" s="87">
        <v>97101</v>
      </c>
      <c r="F356" s="87">
        <v>1479</v>
      </c>
      <c r="G356" s="87">
        <f t="shared" si="33"/>
        <v>98580</v>
      </c>
      <c r="H356" s="87"/>
      <c r="I356" s="96" t="s">
        <v>259</v>
      </c>
      <c r="J356" s="80"/>
      <c r="K356" s="80"/>
      <c r="L356" s="75">
        <v>5650002</v>
      </c>
    </row>
    <row r="357" spans="1:12" s="89" customFormat="1" ht="14.1" customHeight="1">
      <c r="A357" s="75">
        <f t="shared" si="28"/>
        <v>351</v>
      </c>
      <c r="B357" s="76" t="s">
        <v>503</v>
      </c>
      <c r="C357" s="87">
        <v>-688801.43000000017</v>
      </c>
      <c r="D357" s="87">
        <f t="shared" si="32"/>
        <v>-688801.43000000017</v>
      </c>
      <c r="E357" s="87">
        <v>0</v>
      </c>
      <c r="F357" s="87">
        <v>0</v>
      </c>
      <c r="G357" s="87">
        <f t="shared" si="33"/>
        <v>0</v>
      </c>
      <c r="H357" s="87"/>
      <c r="I357" s="96" t="s">
        <v>280</v>
      </c>
      <c r="J357" s="80"/>
      <c r="K357" s="80"/>
      <c r="L357" s="310" t="s">
        <v>504</v>
      </c>
    </row>
    <row r="358" spans="1:12" s="89" customFormat="1" ht="24.75" customHeight="1">
      <c r="A358" s="75">
        <f t="shared" si="28"/>
        <v>352</v>
      </c>
      <c r="B358" s="76" t="s">
        <v>505</v>
      </c>
      <c r="C358" s="87">
        <f>1102636.5+3416.25</f>
        <v>1106052.75</v>
      </c>
      <c r="D358" s="87">
        <f>C358-E358</f>
        <v>-46025.25</v>
      </c>
      <c r="E358" s="87">
        <v>1152078</v>
      </c>
      <c r="F358" s="87">
        <v>-4154449.85</v>
      </c>
      <c r="G358" s="87">
        <f t="shared" si="33"/>
        <v>-3002371.85</v>
      </c>
      <c r="H358" s="87"/>
      <c r="I358" s="98" t="s">
        <v>259</v>
      </c>
      <c r="J358" s="80">
        <v>4174374.15</v>
      </c>
      <c r="K358" s="355" t="s">
        <v>506</v>
      </c>
      <c r="L358" s="310" t="s">
        <v>507</v>
      </c>
    </row>
    <row r="359" spans="1:12" ht="14.1" customHeight="1">
      <c r="A359" s="75">
        <f t="shared" si="28"/>
        <v>353</v>
      </c>
      <c r="B359" s="90" t="s">
        <v>508</v>
      </c>
      <c r="C359" s="87">
        <v>250</v>
      </c>
      <c r="D359" s="87">
        <f t="shared" si="32"/>
        <v>4</v>
      </c>
      <c r="E359" s="87">
        <v>246</v>
      </c>
      <c r="F359" s="87">
        <v>4</v>
      </c>
      <c r="G359" s="87">
        <f t="shared" si="33"/>
        <v>250</v>
      </c>
      <c r="H359" s="87"/>
      <c r="I359" s="98" t="s">
        <v>259</v>
      </c>
      <c r="J359" s="80"/>
      <c r="K359" s="80"/>
      <c r="L359" s="75" t="s">
        <v>509</v>
      </c>
    </row>
    <row r="360" spans="1:12" ht="14.1" customHeight="1">
      <c r="A360" s="75">
        <f t="shared" si="28"/>
        <v>354</v>
      </c>
      <c r="B360" s="108" t="s">
        <v>510</v>
      </c>
      <c r="C360" s="97">
        <f>SUM(C348:C359)</f>
        <v>88933481.180000022</v>
      </c>
      <c r="D360" s="97">
        <f>SUM(D348:D359)</f>
        <v>-662884.81999997725</v>
      </c>
      <c r="E360" s="97">
        <f>SUM(E348:E359)</f>
        <v>89596366</v>
      </c>
      <c r="F360" s="97">
        <f>SUM(F348:F359)</f>
        <v>1641460.8200000231</v>
      </c>
      <c r="G360" s="97">
        <f>SUM(G348:G359)</f>
        <v>91237826.820000038</v>
      </c>
      <c r="H360" s="97"/>
      <c r="I360" s="335"/>
      <c r="J360" s="80"/>
      <c r="K360" s="80"/>
    </row>
    <row r="361" spans="1:12" ht="14.1" customHeight="1">
      <c r="A361" s="75">
        <f t="shared" si="28"/>
        <v>355</v>
      </c>
      <c r="B361" s="89"/>
      <c r="C361" s="94"/>
      <c r="D361" s="94"/>
      <c r="E361" s="94"/>
      <c r="F361" s="94"/>
      <c r="G361" s="87"/>
      <c r="H361" s="87"/>
      <c r="I361" s="98"/>
      <c r="J361" s="80"/>
      <c r="K361" s="80"/>
    </row>
    <row r="362" spans="1:12" ht="14.1" customHeight="1">
      <c r="A362" s="75">
        <f t="shared" si="28"/>
        <v>356</v>
      </c>
      <c r="B362" s="108" t="s">
        <v>511</v>
      </c>
      <c r="C362" s="94"/>
      <c r="D362" s="94"/>
      <c r="E362" s="94"/>
      <c r="F362" s="94"/>
      <c r="G362" s="87"/>
      <c r="H362" s="87"/>
      <c r="I362" s="98"/>
      <c r="J362" s="80"/>
      <c r="K362" s="80"/>
    </row>
    <row r="363" spans="1:12" ht="14.1" customHeight="1">
      <c r="A363" s="75">
        <f t="shared" si="28"/>
        <v>357</v>
      </c>
      <c r="B363" s="76" t="s">
        <v>512</v>
      </c>
      <c r="C363" s="87">
        <v>15020.86</v>
      </c>
      <c r="D363" s="87">
        <f t="shared" ref="D363:D369" si="34">C363-E363</f>
        <v>224.86000000000058</v>
      </c>
      <c r="E363" s="87">
        <v>14796</v>
      </c>
      <c r="F363" s="87">
        <v>224.86000000000058</v>
      </c>
      <c r="G363" s="87">
        <f t="shared" ref="G363:G369" si="35">E363+F363</f>
        <v>15020.86</v>
      </c>
      <c r="H363" s="87"/>
      <c r="I363" s="98" t="s">
        <v>259</v>
      </c>
      <c r="J363" s="80"/>
      <c r="K363" s="80"/>
      <c r="L363" s="75">
        <v>5680000</v>
      </c>
    </row>
    <row r="364" spans="1:12" ht="14.1" customHeight="1">
      <c r="A364" s="75">
        <f t="shared" si="28"/>
        <v>358</v>
      </c>
      <c r="B364" s="76" t="s">
        <v>513</v>
      </c>
      <c r="C364" s="87">
        <f>28312.61+7007.11+183984+4217.9</f>
        <v>223521.62</v>
      </c>
      <c r="D364" s="87">
        <f t="shared" si="34"/>
        <v>3352.6199999999953</v>
      </c>
      <c r="E364" s="87">
        <v>220169</v>
      </c>
      <c r="F364" s="87">
        <v>3352.6199999999953</v>
      </c>
      <c r="G364" s="87">
        <f t="shared" si="35"/>
        <v>223521.62</v>
      </c>
      <c r="H364" s="87"/>
      <c r="I364" s="98" t="s">
        <v>259</v>
      </c>
      <c r="J364" s="80"/>
      <c r="K364" s="80"/>
      <c r="L364" s="75" t="s">
        <v>514</v>
      </c>
    </row>
    <row r="365" spans="1:12" ht="14.1" customHeight="1">
      <c r="A365" s="75">
        <f t="shared" si="28"/>
        <v>359</v>
      </c>
      <c r="B365" s="76" t="s">
        <v>515</v>
      </c>
      <c r="C365" s="87">
        <v>513673.12</v>
      </c>
      <c r="D365" s="87">
        <f t="shared" si="34"/>
        <v>7705.1199999999953</v>
      </c>
      <c r="E365" s="87">
        <v>505968</v>
      </c>
      <c r="F365" s="87">
        <v>7705.1199999999953</v>
      </c>
      <c r="G365" s="87">
        <f t="shared" si="35"/>
        <v>513673.12</v>
      </c>
      <c r="H365" s="87"/>
      <c r="I365" s="98" t="s">
        <v>259</v>
      </c>
      <c r="J365" s="80"/>
      <c r="K365" s="80"/>
      <c r="L365" s="75">
        <v>5700000</v>
      </c>
    </row>
    <row r="366" spans="1:12" ht="14.1" customHeight="1">
      <c r="A366" s="75">
        <f t="shared" si="28"/>
        <v>360</v>
      </c>
      <c r="B366" s="76" t="s">
        <v>516</v>
      </c>
      <c r="C366" s="87">
        <v>5877447.3799999999</v>
      </c>
      <c r="D366" s="87">
        <f t="shared" si="34"/>
        <v>88161.379999999888</v>
      </c>
      <c r="E366" s="87">
        <v>5789286</v>
      </c>
      <c r="F366" s="87">
        <v>88581.909999999887</v>
      </c>
      <c r="G366" s="87">
        <f t="shared" si="35"/>
        <v>5877867.9100000001</v>
      </c>
      <c r="H366" s="87"/>
      <c r="I366" s="98" t="s">
        <v>259</v>
      </c>
      <c r="J366" s="80"/>
      <c r="K366" s="80"/>
      <c r="L366" s="75">
        <v>5710000</v>
      </c>
    </row>
    <row r="367" spans="1:12" ht="14.1" customHeight="1">
      <c r="A367" s="75">
        <f t="shared" si="28"/>
        <v>361</v>
      </c>
      <c r="B367" s="76" t="s">
        <v>517</v>
      </c>
      <c r="C367" s="87">
        <v>117.13999999999999</v>
      </c>
      <c r="D367" s="87">
        <f t="shared" si="34"/>
        <v>2.1399999999999864</v>
      </c>
      <c r="E367" s="87">
        <v>115</v>
      </c>
      <c r="F367" s="87">
        <v>2.1399999999999864</v>
      </c>
      <c r="G367" s="87">
        <f t="shared" si="35"/>
        <v>117.13999999999999</v>
      </c>
      <c r="H367" s="87"/>
      <c r="I367" s="98" t="s">
        <v>259</v>
      </c>
      <c r="J367" s="80"/>
      <c r="K367" s="80"/>
      <c r="L367" s="75">
        <v>5720000</v>
      </c>
    </row>
    <row r="368" spans="1:12" ht="14.1" customHeight="1">
      <c r="A368" s="75">
        <f t="shared" si="28"/>
        <v>362</v>
      </c>
      <c r="B368" s="76" t="s">
        <v>518</v>
      </c>
      <c r="C368" s="87">
        <v>9240.2800000000007</v>
      </c>
      <c r="D368" s="87">
        <f t="shared" si="34"/>
        <v>138.28000000000065</v>
      </c>
      <c r="E368" s="87">
        <v>9102</v>
      </c>
      <c r="F368" s="87">
        <v>138.28000000000065</v>
      </c>
      <c r="G368" s="87">
        <f t="shared" si="35"/>
        <v>9240.2800000000007</v>
      </c>
      <c r="H368" s="87"/>
      <c r="I368" s="98" t="s">
        <v>259</v>
      </c>
      <c r="J368" s="80"/>
      <c r="K368" s="80"/>
      <c r="L368" s="75">
        <v>5730000</v>
      </c>
    </row>
    <row r="369" spans="1:18" ht="14.1" customHeight="1">
      <c r="A369" s="75">
        <f t="shared" si="28"/>
        <v>363</v>
      </c>
      <c r="B369" s="90" t="s">
        <v>519</v>
      </c>
      <c r="C369" s="87">
        <f>75523.92+1323541.1</f>
        <v>1399065.02</v>
      </c>
      <c r="D369" s="87">
        <f t="shared" si="34"/>
        <v>20986.020000000019</v>
      </c>
      <c r="E369" s="87">
        <v>1378079</v>
      </c>
      <c r="F369" s="92">
        <v>20986.020000000019</v>
      </c>
      <c r="G369" s="87">
        <f t="shared" si="35"/>
        <v>1399065.02</v>
      </c>
      <c r="H369" s="87"/>
      <c r="I369" s="98" t="s">
        <v>259</v>
      </c>
      <c r="J369" s="80"/>
      <c r="K369" s="80"/>
      <c r="L369" s="75" t="s">
        <v>520</v>
      </c>
    </row>
    <row r="370" spans="1:18" ht="14.1" customHeight="1">
      <c r="A370" s="75">
        <f t="shared" si="28"/>
        <v>364</v>
      </c>
      <c r="B370" s="108" t="s">
        <v>521</v>
      </c>
      <c r="C370" s="363">
        <f>SUM(C363:C369)</f>
        <v>8038085.4199999999</v>
      </c>
      <c r="D370" s="363">
        <f>SUM(D363:D369)</f>
        <v>120570.4199999999</v>
      </c>
      <c r="E370" s="363">
        <f>SUM(E363:E369)</f>
        <v>7917515</v>
      </c>
      <c r="F370" s="87">
        <f>SUM(F363:F369)</f>
        <v>120990.9499999999</v>
      </c>
      <c r="G370" s="364">
        <f>SUM(G363:G369)</f>
        <v>8038505.9499999993</v>
      </c>
      <c r="H370" s="364"/>
      <c r="I370" s="335"/>
      <c r="J370" s="80"/>
      <c r="K370" s="80"/>
    </row>
    <row r="371" spans="1:18" ht="14.1" customHeight="1">
      <c r="A371" s="75">
        <f t="shared" si="28"/>
        <v>365</v>
      </c>
      <c r="B371" s="121"/>
      <c r="C371" s="115"/>
      <c r="D371" s="115"/>
      <c r="E371" s="115"/>
      <c r="F371" s="115"/>
      <c r="G371" s="92"/>
      <c r="H371" s="92"/>
      <c r="I371" s="99"/>
      <c r="J371" s="80"/>
      <c r="K371" s="80"/>
    </row>
    <row r="372" spans="1:18" ht="14.1" customHeight="1">
      <c r="A372" s="75">
        <f t="shared" si="28"/>
        <v>366</v>
      </c>
      <c r="B372" s="108" t="s">
        <v>522</v>
      </c>
      <c r="C372" s="365">
        <f>C360+C370</f>
        <v>96971566.600000024</v>
      </c>
      <c r="D372" s="365">
        <f>D360+D370</f>
        <v>-542314.39999997732</v>
      </c>
      <c r="E372" s="365">
        <f>E360+E370</f>
        <v>97513881</v>
      </c>
      <c r="F372" s="87">
        <f>F360+F370</f>
        <v>1762451.7700000231</v>
      </c>
      <c r="G372" s="365">
        <f>G360+G370</f>
        <v>99276332.770000041</v>
      </c>
      <c r="H372" s="336"/>
      <c r="I372" s="338"/>
      <c r="J372" s="80"/>
      <c r="K372" s="80"/>
    </row>
    <row r="373" spans="1:18" ht="14.1" customHeight="1">
      <c r="A373" s="75">
        <f t="shared" si="28"/>
        <v>367</v>
      </c>
      <c r="B373" s="89"/>
      <c r="C373" s="94"/>
      <c r="D373" s="94"/>
      <c r="E373" s="336"/>
      <c r="F373" s="94"/>
      <c r="G373" s="87"/>
      <c r="H373" s="87"/>
      <c r="I373" s="98"/>
      <c r="J373" s="80"/>
      <c r="K373" s="80"/>
      <c r="Q373" s="89"/>
      <c r="R373" s="89"/>
    </row>
    <row r="374" spans="1:18" ht="14.1" customHeight="1">
      <c r="A374" s="75">
        <f t="shared" si="28"/>
        <v>368</v>
      </c>
      <c r="B374" s="81" t="s">
        <v>523</v>
      </c>
      <c r="C374" s="87"/>
      <c r="D374" s="87"/>
      <c r="E374" s="87"/>
      <c r="F374" s="87"/>
      <c r="G374" s="87"/>
      <c r="H374" s="87"/>
      <c r="I374" s="98"/>
      <c r="J374" s="80"/>
      <c r="K374" s="80"/>
      <c r="Q374" s="89"/>
      <c r="R374" s="89"/>
    </row>
    <row r="375" spans="1:18" ht="14.1" customHeight="1">
      <c r="A375" s="75">
        <f t="shared" si="28"/>
        <v>369</v>
      </c>
      <c r="B375" s="76" t="s">
        <v>524</v>
      </c>
      <c r="C375" s="87">
        <v>1451741.1800000002</v>
      </c>
      <c r="D375" s="87">
        <f t="shared" ref="D375:D384" si="36">C375-E375</f>
        <v>1452.1800000001676</v>
      </c>
      <c r="E375" s="87">
        <v>1450289</v>
      </c>
      <c r="F375" s="87">
        <v>29762.210000000166</v>
      </c>
      <c r="G375" s="87">
        <f t="shared" ref="G375:G384" si="37">E375+F375</f>
        <v>1480051.2100000002</v>
      </c>
      <c r="H375" s="87"/>
      <c r="I375" s="146" t="s">
        <v>337</v>
      </c>
      <c r="J375" s="80"/>
      <c r="K375" s="80"/>
      <c r="L375" s="75">
        <v>5800000</v>
      </c>
      <c r="Q375" s="89"/>
      <c r="R375" s="89"/>
    </row>
    <row r="376" spans="1:18" ht="14.1" customHeight="1">
      <c r="A376" s="75">
        <f t="shared" si="28"/>
        <v>370</v>
      </c>
      <c r="B376" s="76" t="s">
        <v>525</v>
      </c>
      <c r="C376" s="87">
        <v>2863.7200000000003</v>
      </c>
      <c r="D376" s="87">
        <f t="shared" si="36"/>
        <v>2.7200000000002547</v>
      </c>
      <c r="E376" s="87">
        <v>2861</v>
      </c>
      <c r="F376" s="87">
        <v>2.7200000000002547</v>
      </c>
      <c r="G376" s="87">
        <f t="shared" si="37"/>
        <v>2863.7200000000003</v>
      </c>
      <c r="H376" s="87"/>
      <c r="I376" s="146" t="s">
        <v>337</v>
      </c>
      <c r="J376" s="80"/>
      <c r="K376" s="80"/>
      <c r="L376" s="75">
        <v>5810000</v>
      </c>
      <c r="Q376" s="89"/>
      <c r="R376" s="89"/>
    </row>
    <row r="377" spans="1:18" ht="14.1" customHeight="1">
      <c r="A377" s="75">
        <f t="shared" si="28"/>
        <v>371</v>
      </c>
      <c r="B377" s="76" t="s">
        <v>526</v>
      </c>
      <c r="C377" s="87">
        <v>370025.66000000003</v>
      </c>
      <c r="D377" s="87">
        <f t="shared" si="36"/>
        <v>369.6600000000326</v>
      </c>
      <c r="E377" s="87">
        <v>369656</v>
      </c>
      <c r="F377" s="87">
        <v>369.6600000000326</v>
      </c>
      <c r="G377" s="87">
        <f t="shared" si="37"/>
        <v>370025.66000000003</v>
      </c>
      <c r="H377" s="87"/>
      <c r="I377" s="146" t="s">
        <v>337</v>
      </c>
      <c r="J377" s="80"/>
      <c r="K377" s="80"/>
      <c r="L377" s="75">
        <v>5820000</v>
      </c>
      <c r="Q377" s="89"/>
      <c r="R377" s="89"/>
    </row>
    <row r="378" spans="1:18" ht="14.1" customHeight="1">
      <c r="A378" s="75">
        <f t="shared" si="28"/>
        <v>372</v>
      </c>
      <c r="B378" s="76" t="s">
        <v>527</v>
      </c>
      <c r="C378" s="87">
        <v>723606.94000000006</v>
      </c>
      <c r="D378" s="87">
        <f t="shared" si="36"/>
        <v>723.94000000006054</v>
      </c>
      <c r="E378" s="87">
        <v>722883</v>
      </c>
      <c r="F378" s="87">
        <v>30095.290000000066</v>
      </c>
      <c r="G378" s="87">
        <f t="shared" si="37"/>
        <v>752978.29</v>
      </c>
      <c r="H378" s="87"/>
      <c r="I378" s="146" t="s">
        <v>337</v>
      </c>
      <c r="J378" s="80"/>
      <c r="K378" s="80"/>
      <c r="L378" s="75">
        <v>5830000</v>
      </c>
      <c r="Q378" s="89"/>
      <c r="R378" s="89"/>
    </row>
    <row r="379" spans="1:18" ht="14.1" customHeight="1">
      <c r="A379" s="75">
        <f t="shared" si="28"/>
        <v>373</v>
      </c>
      <c r="B379" s="76" t="s">
        <v>528</v>
      </c>
      <c r="C379" s="87">
        <v>362840.37</v>
      </c>
      <c r="D379" s="87">
        <f t="shared" si="36"/>
        <v>362.36999999999534</v>
      </c>
      <c r="E379" s="87">
        <v>362478</v>
      </c>
      <c r="F379" s="87">
        <v>432.5399999999953</v>
      </c>
      <c r="G379" s="87">
        <f t="shared" si="37"/>
        <v>362910.54</v>
      </c>
      <c r="H379" s="87"/>
      <c r="I379" s="146" t="s">
        <v>337</v>
      </c>
      <c r="J379" s="80"/>
      <c r="K379" s="80"/>
      <c r="L379" s="75">
        <v>5840000</v>
      </c>
      <c r="Q379" s="89"/>
      <c r="R379" s="89"/>
    </row>
    <row r="380" spans="1:18" ht="14.1" customHeight="1">
      <c r="A380" s="75">
        <f t="shared" si="28"/>
        <v>374</v>
      </c>
      <c r="B380" s="76" t="s">
        <v>529</v>
      </c>
      <c r="C380" s="87">
        <v>32898.18</v>
      </c>
      <c r="D380" s="87">
        <f t="shared" si="36"/>
        <v>33.180000000000291</v>
      </c>
      <c r="E380" s="87">
        <v>32865</v>
      </c>
      <c r="F380" s="87">
        <v>561.38000000000022</v>
      </c>
      <c r="G380" s="87">
        <f t="shared" si="37"/>
        <v>33426.379999999997</v>
      </c>
      <c r="H380" s="87"/>
      <c r="I380" s="146" t="s">
        <v>337</v>
      </c>
      <c r="J380" s="80"/>
      <c r="K380" s="80"/>
      <c r="L380" s="75">
        <v>5850000</v>
      </c>
      <c r="Q380" s="89"/>
      <c r="R380" s="89"/>
    </row>
    <row r="381" spans="1:18" ht="14.1" customHeight="1">
      <c r="A381" s="75">
        <f t="shared" si="28"/>
        <v>375</v>
      </c>
      <c r="B381" s="76" t="s">
        <v>530</v>
      </c>
      <c r="C381" s="87">
        <v>1216051.4099999999</v>
      </c>
      <c r="D381" s="87">
        <f t="shared" si="36"/>
        <v>1216.4099999999162</v>
      </c>
      <c r="E381" s="87">
        <v>1214835</v>
      </c>
      <c r="F381" s="87">
        <v>139907.47999999992</v>
      </c>
      <c r="G381" s="87">
        <f t="shared" si="37"/>
        <v>1354742.48</v>
      </c>
      <c r="H381" s="87"/>
      <c r="I381" s="146" t="s">
        <v>337</v>
      </c>
      <c r="J381" s="80"/>
      <c r="K381" s="80"/>
      <c r="L381" s="75">
        <v>5860000</v>
      </c>
      <c r="Q381" s="89"/>
      <c r="R381" s="89"/>
    </row>
    <row r="382" spans="1:18" ht="14.1" customHeight="1">
      <c r="A382" s="75">
        <f t="shared" si="28"/>
        <v>376</v>
      </c>
      <c r="B382" s="76" t="s">
        <v>531</v>
      </c>
      <c r="C382" s="87">
        <v>159098.14000000001</v>
      </c>
      <c r="D382" s="87">
        <f t="shared" si="36"/>
        <v>159.14000000001397</v>
      </c>
      <c r="E382" s="87">
        <v>158939</v>
      </c>
      <c r="F382" s="87">
        <v>17927.960000000014</v>
      </c>
      <c r="G382" s="87">
        <f t="shared" si="37"/>
        <v>176866.96000000002</v>
      </c>
      <c r="H382" s="87"/>
      <c r="I382" s="146" t="s">
        <v>337</v>
      </c>
      <c r="J382" s="80"/>
      <c r="K382" s="80"/>
      <c r="L382" s="75">
        <v>5870000</v>
      </c>
      <c r="Q382" s="89"/>
      <c r="R382" s="89"/>
    </row>
    <row r="383" spans="1:18" s="89" customFormat="1" ht="14.1" customHeight="1">
      <c r="A383" s="75">
        <f t="shared" si="28"/>
        <v>377</v>
      </c>
      <c r="B383" s="76" t="s">
        <v>532</v>
      </c>
      <c r="C383" s="87">
        <v>5777410.3990000002</v>
      </c>
      <c r="D383" s="87">
        <f t="shared" si="36"/>
        <v>5777.3990000002086</v>
      </c>
      <c r="E383" s="87">
        <v>5771633</v>
      </c>
      <c r="F383" s="87">
        <v>-1947796.9309999996</v>
      </c>
      <c r="G383" s="87">
        <f t="shared" si="37"/>
        <v>3823836.0690000001</v>
      </c>
      <c r="H383" s="87"/>
      <c r="I383" s="146" t="s">
        <v>337</v>
      </c>
      <c r="J383" s="80"/>
      <c r="K383" s="80"/>
      <c r="L383" s="75">
        <v>5880000</v>
      </c>
      <c r="M383" s="76"/>
      <c r="N383" s="76"/>
      <c r="O383" s="76"/>
      <c r="P383" s="76"/>
    </row>
    <row r="384" spans="1:18" s="89" customFormat="1" ht="14.1" customHeight="1">
      <c r="A384" s="75">
        <f t="shared" si="28"/>
        <v>378</v>
      </c>
      <c r="B384" s="90" t="s">
        <v>533</v>
      </c>
      <c r="C384" s="87">
        <f>1048774.45+56509.7</f>
        <v>1105284.1499999999</v>
      </c>
      <c r="D384" s="87">
        <f t="shared" si="36"/>
        <v>1105.1499999999069</v>
      </c>
      <c r="E384" s="87">
        <v>1104179</v>
      </c>
      <c r="F384" s="87">
        <v>22253.229999999909</v>
      </c>
      <c r="G384" s="87">
        <f t="shared" si="37"/>
        <v>1126432.23</v>
      </c>
      <c r="H384" s="87"/>
      <c r="I384" s="146" t="s">
        <v>337</v>
      </c>
      <c r="J384" s="80"/>
      <c r="K384" s="80"/>
      <c r="L384" s="75" t="s">
        <v>534</v>
      </c>
      <c r="M384" s="76"/>
      <c r="N384" s="76"/>
      <c r="O384" s="76"/>
      <c r="P384" s="76"/>
    </row>
    <row r="385" spans="1:15" ht="14.1" customHeight="1">
      <c r="A385" s="75">
        <f t="shared" si="28"/>
        <v>379</v>
      </c>
      <c r="B385" s="108" t="s">
        <v>535</v>
      </c>
      <c r="C385" s="97">
        <f>SUM(C375:C384)</f>
        <v>11201820.149</v>
      </c>
      <c r="D385" s="97">
        <f>SUM(D375:D384)</f>
        <v>11202.149000000303</v>
      </c>
      <c r="E385" s="97">
        <f>SUM(E375:E384)</f>
        <v>11190618</v>
      </c>
      <c r="F385" s="97">
        <f>SUM(F375:F384)</f>
        <v>-1706484.4609999994</v>
      </c>
      <c r="G385" s="110">
        <f>SUM(G375:G384)</f>
        <v>9484133.5390000008</v>
      </c>
      <c r="H385" s="110"/>
      <c r="I385" s="354"/>
      <c r="J385" s="80"/>
      <c r="K385" s="80"/>
    </row>
    <row r="386" spans="1:15" ht="14.1" customHeight="1">
      <c r="A386" s="75">
        <f t="shared" si="28"/>
        <v>380</v>
      </c>
      <c r="B386" s="126"/>
      <c r="C386" s="94"/>
      <c r="D386" s="94"/>
      <c r="E386" s="322"/>
      <c r="F386" s="94"/>
      <c r="G386" s="87"/>
      <c r="H386" s="87"/>
      <c r="I386" s="98"/>
      <c r="J386" s="80"/>
      <c r="K386" s="80"/>
    </row>
    <row r="387" spans="1:15" ht="14.1" customHeight="1">
      <c r="A387" s="75">
        <f t="shared" si="28"/>
        <v>381</v>
      </c>
      <c r="B387" s="76" t="s">
        <v>536</v>
      </c>
      <c r="C387" s="87">
        <v>57090.82</v>
      </c>
      <c r="D387" s="87">
        <f t="shared" ref="D387:D397" si="38">C387-E387</f>
        <v>56.819999999999709</v>
      </c>
      <c r="E387" s="87">
        <v>57034</v>
      </c>
      <c r="F387" s="87">
        <v>3680.16</v>
      </c>
      <c r="G387" s="87">
        <f t="shared" ref="G387:G397" si="39">E387+F387</f>
        <v>60714.16</v>
      </c>
      <c r="H387" s="87"/>
      <c r="I387" s="146" t="s">
        <v>337</v>
      </c>
      <c r="J387" s="80"/>
      <c r="K387" s="80"/>
      <c r="L387" s="75">
        <v>5900000</v>
      </c>
    </row>
    <row r="388" spans="1:15" ht="14.1" customHeight="1">
      <c r="A388" s="75">
        <f t="shared" si="28"/>
        <v>382</v>
      </c>
      <c r="B388" s="76" t="s">
        <v>537</v>
      </c>
      <c r="C388" s="87">
        <v>14905.810000000001</v>
      </c>
      <c r="D388" s="87">
        <f t="shared" si="38"/>
        <v>14.81000000000131</v>
      </c>
      <c r="E388" s="87">
        <v>14891</v>
      </c>
      <c r="F388" s="87">
        <v>14.81000000000131</v>
      </c>
      <c r="G388" s="87">
        <f t="shared" si="39"/>
        <v>14905.810000000001</v>
      </c>
      <c r="H388" s="87"/>
      <c r="I388" s="146" t="s">
        <v>337</v>
      </c>
      <c r="J388" s="80"/>
      <c r="K388" s="80"/>
      <c r="L388" s="75">
        <v>5910000</v>
      </c>
    </row>
    <row r="389" spans="1:15" ht="13.15" customHeight="1">
      <c r="A389" s="75">
        <f t="shared" si="28"/>
        <v>383</v>
      </c>
      <c r="B389" s="76" t="s">
        <v>538</v>
      </c>
      <c r="C389" s="87">
        <f>531696.83+46259.81+374865.34</f>
        <v>952821.98</v>
      </c>
      <c r="D389" s="87">
        <f t="shared" si="38"/>
        <v>952.97999999998137</v>
      </c>
      <c r="E389" s="87">
        <v>951869</v>
      </c>
      <c r="F389" s="87">
        <v>1025.5799999999813</v>
      </c>
      <c r="G389" s="87">
        <f t="shared" si="39"/>
        <v>952894.58</v>
      </c>
      <c r="H389" s="87"/>
      <c r="I389" s="146" t="s">
        <v>337</v>
      </c>
      <c r="J389" s="80"/>
      <c r="K389" s="80"/>
      <c r="L389" s="75" t="s">
        <v>539</v>
      </c>
    </row>
    <row r="390" spans="1:15" ht="14.1" customHeight="1">
      <c r="A390" s="75">
        <f t="shared" si="28"/>
        <v>384</v>
      </c>
      <c r="B390" s="76" t="s">
        <v>540</v>
      </c>
      <c r="C390" s="87">
        <v>29277229.737999998</v>
      </c>
      <c r="D390" s="87">
        <f t="shared" si="38"/>
        <v>29276.737999998033</v>
      </c>
      <c r="E390" s="87">
        <v>29247953</v>
      </c>
      <c r="F390" s="87">
        <v>1043496.0479999976</v>
      </c>
      <c r="G390" s="87">
        <f t="shared" si="39"/>
        <v>30291449.047999997</v>
      </c>
      <c r="H390" s="87"/>
      <c r="I390" s="146" t="s">
        <v>337</v>
      </c>
      <c r="J390" s="80"/>
      <c r="K390" s="80"/>
      <c r="L390" s="75">
        <v>5930000</v>
      </c>
    </row>
    <row r="391" spans="1:15" ht="12.75" customHeight="1">
      <c r="A391" s="75">
        <f t="shared" si="28"/>
        <v>385</v>
      </c>
      <c r="B391" s="76" t="s">
        <v>541</v>
      </c>
      <c r="C391" s="87">
        <v>0</v>
      </c>
      <c r="D391" s="87">
        <v>0</v>
      </c>
      <c r="E391" s="87">
        <f>C391</f>
        <v>0</v>
      </c>
      <c r="F391" s="87">
        <v>0</v>
      </c>
      <c r="G391" s="87">
        <f t="shared" si="39"/>
        <v>0</v>
      </c>
      <c r="H391" s="87"/>
      <c r="I391" s="146" t="s">
        <v>542</v>
      </c>
      <c r="J391" s="80"/>
      <c r="K391" s="80"/>
      <c r="L391" s="75">
        <v>5930010</v>
      </c>
    </row>
    <row r="392" spans="1:15" ht="14.1" customHeight="1">
      <c r="A392" s="75">
        <f t="shared" si="28"/>
        <v>386</v>
      </c>
      <c r="B392" s="76" t="s">
        <v>543</v>
      </c>
      <c r="C392" s="87">
        <v>400808.07</v>
      </c>
      <c r="D392" s="87">
        <f t="shared" si="38"/>
        <v>401.07000000000698</v>
      </c>
      <c r="E392" s="87">
        <v>400407</v>
      </c>
      <c r="F392" s="87">
        <v>-6159560.7300000004</v>
      </c>
      <c r="G392" s="87">
        <f t="shared" si="39"/>
        <v>-5759153.7300000004</v>
      </c>
      <c r="H392" s="87"/>
      <c r="I392" s="146" t="s">
        <v>337</v>
      </c>
      <c r="J392" s="80"/>
      <c r="K392" s="80"/>
      <c r="L392" s="75">
        <v>5930001</v>
      </c>
    </row>
    <row r="393" spans="1:15" ht="14.1" customHeight="1">
      <c r="A393" s="75">
        <f t="shared" si="28"/>
        <v>387</v>
      </c>
      <c r="B393" s="76" t="s">
        <v>544</v>
      </c>
      <c r="C393" s="87">
        <v>33645.07</v>
      </c>
      <c r="D393" s="87">
        <f t="shared" si="38"/>
        <v>34.069999999999709</v>
      </c>
      <c r="E393" s="87">
        <v>33611</v>
      </c>
      <c r="F393" s="87">
        <v>774.66999999999985</v>
      </c>
      <c r="G393" s="87">
        <f t="shared" si="39"/>
        <v>34385.67</v>
      </c>
      <c r="H393" s="87"/>
      <c r="I393" s="146" t="s">
        <v>337</v>
      </c>
      <c r="J393" s="80"/>
      <c r="K393" s="80"/>
      <c r="L393" s="75">
        <v>5940000</v>
      </c>
    </row>
    <row r="394" spans="1:15" ht="14.1" customHeight="1">
      <c r="A394" s="75">
        <f t="shared" si="28"/>
        <v>388</v>
      </c>
      <c r="B394" s="76" t="s">
        <v>545</v>
      </c>
      <c r="C394" s="87">
        <v>7710.4000000000005</v>
      </c>
      <c r="D394" s="87">
        <f t="shared" si="38"/>
        <v>7.4000000000005457</v>
      </c>
      <c r="E394" s="87">
        <v>7703</v>
      </c>
      <c r="F394" s="87">
        <v>385.67000000000053</v>
      </c>
      <c r="G394" s="87">
        <f t="shared" si="39"/>
        <v>8088.67</v>
      </c>
      <c r="H394" s="87"/>
      <c r="I394" s="146" t="s">
        <v>337</v>
      </c>
      <c r="J394" s="80"/>
      <c r="K394" s="80"/>
      <c r="L394" s="75">
        <v>5950000</v>
      </c>
    </row>
    <row r="395" spans="1:15" s="89" customFormat="1" ht="14.1" customHeight="1">
      <c r="A395" s="75">
        <f t="shared" ref="A395:A458" si="40">+A394+1</f>
        <v>389</v>
      </c>
      <c r="B395" s="76" t="s">
        <v>546</v>
      </c>
      <c r="C395" s="87">
        <v>7686.97</v>
      </c>
      <c r="D395" s="87">
        <f t="shared" si="38"/>
        <v>7.9700000000002547</v>
      </c>
      <c r="E395" s="87">
        <v>7679</v>
      </c>
      <c r="F395" s="87">
        <v>439.25000000000028</v>
      </c>
      <c r="G395" s="87">
        <f t="shared" si="39"/>
        <v>8118.25</v>
      </c>
      <c r="H395" s="87"/>
      <c r="I395" s="146" t="s">
        <v>337</v>
      </c>
      <c r="J395" s="80"/>
      <c r="K395" s="80"/>
      <c r="L395" s="75">
        <v>5960000</v>
      </c>
      <c r="M395" s="76"/>
      <c r="N395" s="76"/>
      <c r="O395" s="76"/>
    </row>
    <row r="396" spans="1:15" ht="14.1" customHeight="1">
      <c r="A396" s="75">
        <f t="shared" si="40"/>
        <v>390</v>
      </c>
      <c r="B396" s="76" t="s">
        <v>547</v>
      </c>
      <c r="C396" s="87">
        <v>41552.770000000004</v>
      </c>
      <c r="D396" s="87">
        <f t="shared" si="38"/>
        <v>41.770000000004075</v>
      </c>
      <c r="E396" s="87">
        <v>41511</v>
      </c>
      <c r="F396" s="87">
        <v>6075.9300000000039</v>
      </c>
      <c r="G396" s="87">
        <f t="shared" si="39"/>
        <v>47586.930000000008</v>
      </c>
      <c r="H396" s="87"/>
      <c r="I396" s="146" t="s">
        <v>337</v>
      </c>
      <c r="J396" s="80"/>
      <c r="K396" s="80"/>
      <c r="L396" s="75">
        <v>5970000</v>
      </c>
    </row>
    <row r="397" spans="1:15" ht="14.1" customHeight="1">
      <c r="A397" s="75">
        <f t="shared" si="40"/>
        <v>391</v>
      </c>
      <c r="B397" s="90" t="s">
        <v>548</v>
      </c>
      <c r="C397" s="87">
        <v>27546.43</v>
      </c>
      <c r="D397" s="87">
        <f t="shared" si="38"/>
        <v>27.430000000000291</v>
      </c>
      <c r="E397" s="87">
        <v>27519</v>
      </c>
      <c r="F397" s="87">
        <v>48.58000000000029</v>
      </c>
      <c r="G397" s="87">
        <f t="shared" si="39"/>
        <v>27567.58</v>
      </c>
      <c r="H397" s="87"/>
      <c r="I397" s="146" t="s">
        <v>337</v>
      </c>
      <c r="J397" s="80"/>
      <c r="K397" s="80"/>
      <c r="L397" s="75">
        <v>5980000</v>
      </c>
    </row>
    <row r="398" spans="1:15" ht="14.1" customHeight="1">
      <c r="A398" s="75">
        <f t="shared" si="40"/>
        <v>392</v>
      </c>
      <c r="B398" s="108" t="s">
        <v>549</v>
      </c>
      <c r="C398" s="110">
        <f>SUM(C387:C397)</f>
        <v>30820998.057999995</v>
      </c>
      <c r="D398" s="97">
        <f>SUM(D387:D397)</f>
        <v>30821.057999998029</v>
      </c>
      <c r="E398" s="97">
        <f>SUM(E387:E397)</f>
        <v>30790177</v>
      </c>
      <c r="F398" s="97">
        <f>SUM(F387:F397)</f>
        <v>-5103620.0320000034</v>
      </c>
      <c r="G398" s="97">
        <f>SUM(G387:G397)</f>
        <v>25686556.967999998</v>
      </c>
      <c r="H398" s="97"/>
      <c r="I398" s="335"/>
      <c r="J398" s="80"/>
      <c r="K398" s="80"/>
    </row>
    <row r="399" spans="1:15" ht="14.1" customHeight="1">
      <c r="A399" s="75">
        <f t="shared" si="40"/>
        <v>393</v>
      </c>
      <c r="B399" s="130"/>
      <c r="C399" s="92"/>
      <c r="D399" s="115"/>
      <c r="E399" s="350"/>
      <c r="F399" s="115"/>
      <c r="G399" s="92"/>
      <c r="H399" s="92"/>
      <c r="I399" s="99"/>
      <c r="J399" s="80"/>
      <c r="K399" s="80"/>
    </row>
    <row r="400" spans="1:15" ht="14.1" customHeight="1">
      <c r="A400" s="75">
        <f t="shared" si="40"/>
        <v>394</v>
      </c>
      <c r="B400" s="108" t="s">
        <v>550</v>
      </c>
      <c r="C400" s="94">
        <f>C385+C398</f>
        <v>42022818.206999995</v>
      </c>
      <c r="D400" s="94">
        <f>D385+D398</f>
        <v>42023.206999998336</v>
      </c>
      <c r="E400" s="94">
        <f>E385+E398</f>
        <v>41980795</v>
      </c>
      <c r="F400" s="94">
        <f>F385+F398</f>
        <v>-6810104.4930000026</v>
      </c>
      <c r="G400" s="94">
        <f>G385+G398</f>
        <v>35170690.506999999</v>
      </c>
      <c r="H400" s="94"/>
      <c r="I400" s="338"/>
      <c r="J400" s="80"/>
      <c r="K400" s="80"/>
    </row>
    <row r="401" spans="1:16" ht="14.1" customHeight="1">
      <c r="A401" s="75">
        <f t="shared" si="40"/>
        <v>395</v>
      </c>
      <c r="B401" s="89"/>
      <c r="C401" s="94">
        <f>C330+C370+C398+C442+C443-C369</f>
        <v>63722354.997999996</v>
      </c>
      <c r="D401" s="94">
        <f>D330+D370+D398+D442+D443-D369</f>
        <v>512262.74509999878</v>
      </c>
      <c r="E401" s="94">
        <f>E330+E370+E398+E442+E443-E369</f>
        <v>63210092.252899997</v>
      </c>
      <c r="F401" s="94">
        <f>F330+F370+F398+F442+F443-F369</f>
        <v>-5423356.1849000026</v>
      </c>
      <c r="G401" s="94">
        <f>G330+G370+G398+G442+G443-G369</f>
        <v>57786736.067999996</v>
      </c>
      <c r="H401" s="94"/>
      <c r="I401" s="338"/>
      <c r="J401" s="80"/>
      <c r="K401" s="80"/>
    </row>
    <row r="402" spans="1:16" ht="14.1" customHeight="1">
      <c r="A402" s="75">
        <f t="shared" si="40"/>
        <v>396</v>
      </c>
      <c r="B402" s="81" t="s">
        <v>551</v>
      </c>
      <c r="C402" s="87"/>
      <c r="D402" s="87"/>
      <c r="E402" s="87"/>
      <c r="F402" s="87"/>
      <c r="G402" s="87"/>
      <c r="H402" s="87"/>
      <c r="I402" s="98"/>
      <c r="J402" s="80"/>
      <c r="K402" s="80"/>
    </row>
    <row r="403" spans="1:16" ht="14.1" customHeight="1">
      <c r="A403" s="75">
        <f t="shared" si="40"/>
        <v>397</v>
      </c>
      <c r="B403" s="76" t="s">
        <v>552</v>
      </c>
      <c r="C403" s="87">
        <v>19725.86</v>
      </c>
      <c r="D403" s="87">
        <f t="shared" ref="D403:D408" si="41">C403-E403</f>
        <v>-0.13999999999941792</v>
      </c>
      <c r="E403" s="87">
        <v>19726</v>
      </c>
      <c r="F403" s="87">
        <v>-0.13999999999941792</v>
      </c>
      <c r="G403" s="87">
        <f t="shared" ref="G403:G408" si="42">E403+F403</f>
        <v>19725.86</v>
      </c>
      <c r="H403" s="87"/>
      <c r="I403" s="98" t="s">
        <v>553</v>
      </c>
      <c r="J403" s="80"/>
      <c r="K403" s="80"/>
      <c r="L403" s="75" t="s">
        <v>554</v>
      </c>
    </row>
    <row r="404" spans="1:16" ht="14.1" customHeight="1">
      <c r="A404" s="75">
        <f t="shared" si="40"/>
        <v>398</v>
      </c>
      <c r="B404" s="76" t="s">
        <v>555</v>
      </c>
      <c r="C404" s="87">
        <f>31778.14+328060.96+17993.34</f>
        <v>377832.44000000006</v>
      </c>
      <c r="D404" s="87">
        <f t="shared" si="41"/>
        <v>4.440000000060536</v>
      </c>
      <c r="E404" s="87">
        <v>377828</v>
      </c>
      <c r="F404" s="87">
        <v>30898.460000000057</v>
      </c>
      <c r="G404" s="87">
        <f t="shared" si="42"/>
        <v>408726.46000000008</v>
      </c>
      <c r="H404" s="87"/>
      <c r="I404" s="98" t="s">
        <v>553</v>
      </c>
      <c r="J404" s="80"/>
      <c r="K404" s="80"/>
      <c r="L404" s="366" t="s">
        <v>556</v>
      </c>
    </row>
    <row r="405" spans="1:16" ht="25.5">
      <c r="A405" s="75">
        <f t="shared" si="40"/>
        <v>399</v>
      </c>
      <c r="B405" s="76" t="s">
        <v>557</v>
      </c>
      <c r="C405" s="87">
        <f>329110.12+2767355.99+6866.15+634657.49+54422.83+4105.42+526223.12+304216.44+20118.52</f>
        <v>4647076.08</v>
      </c>
      <c r="D405" s="87">
        <f t="shared" si="41"/>
        <v>57.080000000074506</v>
      </c>
      <c r="E405" s="87">
        <v>4647019</v>
      </c>
      <c r="F405" s="87">
        <v>78715.400000000067</v>
      </c>
      <c r="G405" s="87">
        <f t="shared" si="42"/>
        <v>4725734.4000000004</v>
      </c>
      <c r="H405" s="87"/>
      <c r="I405" s="98" t="s">
        <v>553</v>
      </c>
      <c r="J405" s="80"/>
      <c r="K405" s="80"/>
      <c r="L405" s="367" t="s">
        <v>558</v>
      </c>
    </row>
    <row r="406" spans="1:16" ht="14.1" customHeight="1">
      <c r="A406" s="75">
        <f t="shared" si="40"/>
        <v>400</v>
      </c>
      <c r="B406" s="76" t="s">
        <v>559</v>
      </c>
      <c r="C406" s="87">
        <v>0</v>
      </c>
      <c r="D406" s="87">
        <f t="shared" si="41"/>
        <v>0</v>
      </c>
      <c r="E406" s="87">
        <v>0</v>
      </c>
      <c r="F406" s="87">
        <v>0</v>
      </c>
      <c r="G406" s="87">
        <f t="shared" si="42"/>
        <v>0</v>
      </c>
      <c r="H406" s="87"/>
      <c r="I406" s="98" t="s">
        <v>553</v>
      </c>
      <c r="J406" s="368"/>
      <c r="K406" s="368"/>
      <c r="L406" s="366">
        <v>9040000</v>
      </c>
    </row>
    <row r="407" spans="1:16" s="89" customFormat="1" ht="14.1" customHeight="1">
      <c r="A407" s="75">
        <f t="shared" si="40"/>
        <v>401</v>
      </c>
      <c r="B407" s="76" t="s">
        <v>560</v>
      </c>
      <c r="C407" s="87">
        <v>-57939.54</v>
      </c>
      <c r="D407" s="87">
        <f t="shared" si="41"/>
        <v>-0.54000000000087311</v>
      </c>
      <c r="E407" s="87">
        <v>-57939</v>
      </c>
      <c r="F407" s="87">
        <v>-0.54000000000087311</v>
      </c>
      <c r="G407" s="87">
        <f t="shared" si="42"/>
        <v>-57939.54</v>
      </c>
      <c r="H407" s="87"/>
      <c r="I407" s="98" t="s">
        <v>553</v>
      </c>
      <c r="J407" s="369"/>
      <c r="K407" s="369"/>
      <c r="L407" s="370" t="s">
        <v>561</v>
      </c>
      <c r="M407" s="76"/>
      <c r="N407" s="76"/>
      <c r="O407" s="76"/>
    </row>
    <row r="408" spans="1:16" ht="14.1" customHeight="1">
      <c r="A408" s="75">
        <f t="shared" si="40"/>
        <v>402</v>
      </c>
      <c r="B408" s="90" t="s">
        <v>562</v>
      </c>
      <c r="C408" s="87">
        <v>23591.24</v>
      </c>
      <c r="D408" s="87">
        <f t="shared" si="41"/>
        <v>0.24000000000160071</v>
      </c>
      <c r="E408" s="87">
        <v>23591</v>
      </c>
      <c r="F408" s="87">
        <v>0.24000000000160071</v>
      </c>
      <c r="G408" s="87">
        <f t="shared" si="42"/>
        <v>23591.24</v>
      </c>
      <c r="H408" s="87"/>
      <c r="I408" s="98" t="s">
        <v>553</v>
      </c>
      <c r="J408" s="80"/>
      <c r="K408" s="80"/>
      <c r="L408" s="370" t="s">
        <v>563</v>
      </c>
    </row>
    <row r="409" spans="1:16" ht="14.1" customHeight="1">
      <c r="A409" s="75">
        <f t="shared" si="40"/>
        <v>403</v>
      </c>
      <c r="B409" s="108" t="s">
        <v>564</v>
      </c>
      <c r="C409" s="97">
        <f>SUM(C403:C408)</f>
        <v>5010286.08</v>
      </c>
      <c r="D409" s="97">
        <f>SUM(D403:D408)</f>
        <v>61.080000000136351</v>
      </c>
      <c r="E409" s="97">
        <f>SUM(E403:E408)</f>
        <v>5010225</v>
      </c>
      <c r="F409" s="97">
        <f>SUM(F403:F408)</f>
        <v>109613.42000000011</v>
      </c>
      <c r="G409" s="97">
        <f>SUM(G403:G408)</f>
        <v>5119838.4200000009</v>
      </c>
      <c r="H409" s="97"/>
      <c r="I409" s="335"/>
      <c r="J409" s="80"/>
      <c r="K409" s="80"/>
    </row>
    <row r="410" spans="1:16" ht="14.1" customHeight="1">
      <c r="A410" s="75">
        <f t="shared" si="40"/>
        <v>404</v>
      </c>
      <c r="B410" s="89"/>
      <c r="C410" s="94"/>
      <c r="D410" s="94"/>
      <c r="E410" s="322"/>
      <c r="F410" s="94"/>
      <c r="G410" s="87"/>
      <c r="H410" s="87"/>
      <c r="I410" s="98"/>
      <c r="J410" s="80"/>
      <c r="K410" s="80"/>
    </row>
    <row r="411" spans="1:16" ht="14.1" customHeight="1">
      <c r="A411" s="75">
        <f t="shared" si="40"/>
        <v>405</v>
      </c>
      <c r="B411" s="81" t="s">
        <v>565</v>
      </c>
      <c r="C411" s="87"/>
      <c r="D411" s="87"/>
      <c r="E411" s="87"/>
      <c r="F411" s="87"/>
      <c r="G411" s="87"/>
      <c r="H411" s="87"/>
      <c r="I411" s="98"/>
      <c r="J411" s="80"/>
      <c r="K411" s="80"/>
    </row>
    <row r="412" spans="1:16" ht="14.1" customHeight="1">
      <c r="A412" s="75">
        <f t="shared" si="40"/>
        <v>406</v>
      </c>
      <c r="B412" s="76" t="s">
        <v>566</v>
      </c>
      <c r="C412" s="87">
        <v>33552.620000000003</v>
      </c>
      <c r="D412" s="87">
        <f>C412-E412</f>
        <v>0.62000000000261934</v>
      </c>
      <c r="E412" s="87">
        <v>33552</v>
      </c>
      <c r="F412" s="87">
        <v>1994.3300000000024</v>
      </c>
      <c r="G412" s="87">
        <f>E412+F412</f>
        <v>35546.33</v>
      </c>
      <c r="H412" s="87"/>
      <c r="I412" s="98" t="s">
        <v>553</v>
      </c>
      <c r="J412" s="80"/>
      <c r="K412" s="80"/>
      <c r="L412" s="75" t="s">
        <v>567</v>
      </c>
    </row>
    <row r="413" spans="1:16" ht="13.5" customHeight="1">
      <c r="A413" s="75">
        <f t="shared" si="40"/>
        <v>407</v>
      </c>
      <c r="B413" s="76" t="s">
        <v>568</v>
      </c>
      <c r="C413" s="87">
        <f>1197517.17+21.5+521395.12</f>
        <v>1718933.79</v>
      </c>
      <c r="D413" s="87">
        <f>C413-E413</f>
        <v>2.7900000000372529</v>
      </c>
      <c r="E413" s="87">
        <v>1718931</v>
      </c>
      <c r="F413" s="87">
        <v>-1489654.74</v>
      </c>
      <c r="G413" s="87">
        <f>E413+F413</f>
        <v>229276.26</v>
      </c>
      <c r="H413" s="87"/>
      <c r="I413" s="98" t="s">
        <v>553</v>
      </c>
      <c r="J413" s="87">
        <f>515763.12+628079.1+373893.79</f>
        <v>1517736.01</v>
      </c>
      <c r="K413" s="582" t="s">
        <v>569</v>
      </c>
      <c r="L413" s="582"/>
      <c r="P413" s="75"/>
    </row>
    <row r="414" spans="1:16" ht="14.1" customHeight="1">
      <c r="A414" s="75">
        <f t="shared" si="40"/>
        <v>408</v>
      </c>
      <c r="B414" s="76" t="s">
        <v>570</v>
      </c>
      <c r="C414" s="87">
        <v>0</v>
      </c>
      <c r="D414" s="87">
        <f>C414-E414</f>
        <v>0</v>
      </c>
      <c r="E414" s="87">
        <v>0</v>
      </c>
      <c r="F414" s="87">
        <v>0</v>
      </c>
      <c r="G414" s="87">
        <f>E414+F414</f>
        <v>0</v>
      </c>
      <c r="H414" s="87"/>
      <c r="I414" s="98" t="s">
        <v>553</v>
      </c>
      <c r="J414" s="80"/>
      <c r="K414" s="80"/>
      <c r="L414" s="75">
        <v>9090000</v>
      </c>
    </row>
    <row r="415" spans="1:16" ht="14.1" customHeight="1">
      <c r="A415" s="75">
        <f t="shared" si="40"/>
        <v>409</v>
      </c>
      <c r="B415" s="90" t="s">
        <v>571</v>
      </c>
      <c r="C415" s="87">
        <v>23919.599999999999</v>
      </c>
      <c r="D415" s="87">
        <f>C415-E415</f>
        <v>0.59999999999854481</v>
      </c>
      <c r="E415" s="87">
        <v>23919</v>
      </c>
      <c r="F415" s="87">
        <v>-7886.8900000000012</v>
      </c>
      <c r="G415" s="87">
        <f>E415+F415</f>
        <v>16032.109999999999</v>
      </c>
      <c r="H415" s="87"/>
      <c r="I415" s="98" t="s">
        <v>553</v>
      </c>
      <c r="J415" s="80"/>
      <c r="K415" s="80"/>
      <c r="L415" s="75" t="s">
        <v>572</v>
      </c>
    </row>
    <row r="416" spans="1:16" ht="14.1" customHeight="1">
      <c r="A416" s="75">
        <f t="shared" si="40"/>
        <v>410</v>
      </c>
      <c r="B416" s="108" t="s">
        <v>573</v>
      </c>
      <c r="C416" s="97">
        <f>SUM(C412:C415)</f>
        <v>1776406.0100000002</v>
      </c>
      <c r="D416" s="97">
        <f>SUM(D411:D415)</f>
        <v>4.0100000000384171</v>
      </c>
      <c r="E416" s="97">
        <f>SUM(E411:E415)</f>
        <v>1776402</v>
      </c>
      <c r="F416" s="97">
        <f>SUM(F411:F415)</f>
        <v>-1495547.2999999998</v>
      </c>
      <c r="G416" s="97">
        <f>SUM(G412:G415)</f>
        <v>280854.7</v>
      </c>
      <c r="H416" s="97"/>
      <c r="I416" s="335"/>
      <c r="J416" s="80"/>
      <c r="K416" s="80"/>
    </row>
    <row r="417" spans="1:12" ht="14.1" customHeight="1">
      <c r="A417" s="75">
        <f t="shared" si="40"/>
        <v>411</v>
      </c>
      <c r="B417" s="89"/>
      <c r="C417" s="94"/>
      <c r="D417" s="94"/>
      <c r="E417" s="322"/>
      <c r="F417" s="94"/>
      <c r="G417" s="87"/>
      <c r="H417" s="87"/>
      <c r="I417" s="98"/>
      <c r="J417" s="80"/>
      <c r="K417" s="80"/>
    </row>
    <row r="418" spans="1:12" ht="14.1" customHeight="1">
      <c r="A418" s="75">
        <f t="shared" si="40"/>
        <v>412</v>
      </c>
      <c r="B418" s="81" t="s">
        <v>574</v>
      </c>
      <c r="C418" s="87"/>
      <c r="D418" s="87"/>
      <c r="E418" s="87"/>
      <c r="F418" s="87"/>
      <c r="G418" s="87"/>
      <c r="H418" s="87"/>
      <c r="I418" s="98"/>
      <c r="J418" s="80"/>
      <c r="K418" s="80"/>
    </row>
    <row r="419" spans="1:12" ht="14.1" customHeight="1">
      <c r="A419" s="75">
        <f t="shared" si="40"/>
        <v>413</v>
      </c>
      <c r="B419" s="76" t="s">
        <v>575</v>
      </c>
      <c r="C419" s="87">
        <v>0</v>
      </c>
      <c r="D419" s="87">
        <f>C419-E419</f>
        <v>0</v>
      </c>
      <c r="E419" s="87">
        <v>0</v>
      </c>
      <c r="F419" s="87">
        <v>0</v>
      </c>
      <c r="G419" s="87">
        <f>E419+F419</f>
        <v>0</v>
      </c>
      <c r="H419" s="87"/>
      <c r="I419" s="98" t="s">
        <v>553</v>
      </c>
      <c r="J419" s="80"/>
      <c r="K419" s="80"/>
      <c r="L419" s="75" t="s">
        <v>576</v>
      </c>
    </row>
    <row r="420" spans="1:12" ht="14.1" customHeight="1">
      <c r="A420" s="75">
        <f t="shared" si="40"/>
        <v>414</v>
      </c>
      <c r="B420" s="76" t="s">
        <v>577</v>
      </c>
      <c r="C420" s="87">
        <f>9241.85+87.37</f>
        <v>9329.2200000000012</v>
      </c>
      <c r="D420" s="87">
        <f>C420-E420</f>
        <v>0.11421320356203069</v>
      </c>
      <c r="E420" s="87">
        <v>9329.1057867964391</v>
      </c>
      <c r="F420" s="87">
        <v>0</v>
      </c>
      <c r="G420" s="87">
        <f>E420+F420</f>
        <v>9329.1057867964391</v>
      </c>
      <c r="H420" s="87"/>
      <c r="I420" s="98" t="s">
        <v>553</v>
      </c>
      <c r="J420" s="80"/>
      <c r="K420" s="80"/>
      <c r="L420" s="75" t="s">
        <v>578</v>
      </c>
    </row>
    <row r="421" spans="1:12" ht="14.1" customHeight="1">
      <c r="A421" s="75">
        <f t="shared" si="40"/>
        <v>415</v>
      </c>
      <c r="B421" s="76" t="s">
        <v>579</v>
      </c>
      <c r="C421" s="87">
        <v>0</v>
      </c>
      <c r="D421" s="87">
        <f>C421-E421</f>
        <v>0</v>
      </c>
      <c r="E421" s="87">
        <v>0</v>
      </c>
      <c r="F421" s="87">
        <v>0</v>
      </c>
      <c r="G421" s="87">
        <f>E421+F421</f>
        <v>0</v>
      </c>
      <c r="H421" s="87"/>
      <c r="I421" s="98" t="s">
        <v>553</v>
      </c>
      <c r="J421" s="80"/>
      <c r="K421" s="80"/>
      <c r="L421" s="75" t="s">
        <v>580</v>
      </c>
    </row>
    <row r="422" spans="1:12" ht="14.1" customHeight="1">
      <c r="A422" s="75">
        <f t="shared" si="40"/>
        <v>416</v>
      </c>
      <c r="B422" s="90" t="s">
        <v>581</v>
      </c>
      <c r="C422" s="87">
        <v>0</v>
      </c>
      <c r="D422" s="87">
        <f>C422-E422</f>
        <v>0</v>
      </c>
      <c r="E422" s="87">
        <v>0</v>
      </c>
      <c r="F422" s="87">
        <v>0</v>
      </c>
      <c r="G422" s="87">
        <f>E422+F422</f>
        <v>0</v>
      </c>
      <c r="H422" s="87"/>
      <c r="I422" s="98" t="s">
        <v>553</v>
      </c>
      <c r="J422" s="80"/>
      <c r="K422" s="80"/>
      <c r="L422" s="75">
        <v>91600000</v>
      </c>
    </row>
    <row r="423" spans="1:12" ht="14.1" customHeight="1">
      <c r="A423" s="75">
        <f t="shared" si="40"/>
        <v>417</v>
      </c>
      <c r="B423" s="108" t="s">
        <v>582</v>
      </c>
      <c r="C423" s="97">
        <f>SUM(C418:C422)</f>
        <v>9329.2200000000012</v>
      </c>
      <c r="D423" s="97">
        <f>SUM(D418:D422)</f>
        <v>0.11421320356203069</v>
      </c>
      <c r="E423" s="97">
        <f>SUM(E418:E422)</f>
        <v>9329.1057867964391</v>
      </c>
      <c r="F423" s="97">
        <f>SUM(F418:F422)</f>
        <v>0</v>
      </c>
      <c r="G423" s="97">
        <f>SUM(G419:G422)</f>
        <v>9329.1057867964391</v>
      </c>
      <c r="H423" s="97"/>
      <c r="I423" s="335"/>
      <c r="J423" s="80"/>
      <c r="K423" s="80"/>
    </row>
    <row r="424" spans="1:12" ht="14.1" customHeight="1">
      <c r="A424" s="75">
        <f t="shared" si="40"/>
        <v>418</v>
      </c>
      <c r="B424" s="89"/>
      <c r="C424" s="94"/>
      <c r="D424" s="94"/>
      <c r="E424" s="94"/>
      <c r="F424" s="94"/>
      <c r="G424" s="87"/>
      <c r="H424" s="87"/>
      <c r="I424" s="98"/>
      <c r="J424" s="80"/>
      <c r="K424" s="80"/>
    </row>
    <row r="425" spans="1:12" ht="14.1" customHeight="1">
      <c r="A425" s="75">
        <f t="shared" si="40"/>
        <v>419</v>
      </c>
      <c r="B425" s="81" t="s">
        <v>583</v>
      </c>
      <c r="C425" s="87"/>
      <c r="D425" s="87"/>
      <c r="E425" s="371"/>
      <c r="F425" s="87"/>
      <c r="G425" s="87"/>
      <c r="H425" s="87"/>
      <c r="I425" s="98"/>
      <c r="J425" s="80"/>
      <c r="K425" s="80"/>
    </row>
    <row r="426" spans="1:12" ht="14.1" customHeight="1">
      <c r="A426" s="75">
        <f t="shared" si="40"/>
        <v>420</v>
      </c>
      <c r="B426" s="76" t="s">
        <v>584</v>
      </c>
      <c r="C426" s="87">
        <v>12085338.379999999</v>
      </c>
      <c r="D426" s="87">
        <f t="shared" ref="D426:D439" si="43">C426-E426</f>
        <v>169194.37999999896</v>
      </c>
      <c r="E426" s="87">
        <v>11916144</v>
      </c>
      <c r="F426" s="87">
        <v>447411.36999999895</v>
      </c>
      <c r="G426" s="87">
        <f t="shared" ref="G426:G439" si="44">E426+F426</f>
        <v>12363555.369999999</v>
      </c>
      <c r="H426" s="87"/>
      <c r="I426" s="98" t="s">
        <v>585</v>
      </c>
      <c r="J426" s="80"/>
      <c r="K426" s="80"/>
      <c r="L426" s="75" t="s">
        <v>586</v>
      </c>
    </row>
    <row r="427" spans="1:12" ht="51" customHeight="1">
      <c r="A427" s="75">
        <f t="shared" si="40"/>
        <v>421</v>
      </c>
      <c r="B427" s="76" t="s">
        <v>587</v>
      </c>
      <c r="C427" s="87">
        <v>851202.11</v>
      </c>
      <c r="D427" s="87">
        <f t="shared" si="43"/>
        <v>11917.109999999986</v>
      </c>
      <c r="E427" s="87">
        <v>839285</v>
      </c>
      <c r="F427" s="87">
        <v>8023.5199999999859</v>
      </c>
      <c r="G427" s="87">
        <f t="shared" si="44"/>
        <v>847308.52</v>
      </c>
      <c r="H427" s="87"/>
      <c r="I427" s="98" t="s">
        <v>585</v>
      </c>
      <c r="J427" s="87"/>
      <c r="K427" s="87"/>
      <c r="L427" s="355" t="s">
        <v>588</v>
      </c>
    </row>
    <row r="428" spans="1:12" ht="14.1" customHeight="1">
      <c r="A428" s="75">
        <f t="shared" si="40"/>
        <v>422</v>
      </c>
      <c r="B428" s="76" t="s">
        <v>589</v>
      </c>
      <c r="C428" s="87">
        <v>-1721098.6</v>
      </c>
      <c r="D428" s="87">
        <f t="shared" si="43"/>
        <v>-24095.380399999907</v>
      </c>
      <c r="E428" s="87">
        <v>-1697003.2196000002</v>
      </c>
      <c r="F428" s="87">
        <v>-73495.830399999904</v>
      </c>
      <c r="G428" s="87">
        <f t="shared" si="44"/>
        <v>-1770499.05</v>
      </c>
      <c r="H428" s="87"/>
      <c r="I428" s="98" t="s">
        <v>585</v>
      </c>
      <c r="J428" s="80"/>
      <c r="K428" s="80"/>
      <c r="L428" s="75" t="s">
        <v>590</v>
      </c>
    </row>
    <row r="429" spans="1:12" s="89" customFormat="1" ht="30" customHeight="1">
      <c r="A429" s="75">
        <f t="shared" si="40"/>
        <v>423</v>
      </c>
      <c r="B429" s="76" t="s">
        <v>591</v>
      </c>
      <c r="C429" s="87">
        <v>5942942.2400000002</v>
      </c>
      <c r="D429" s="87">
        <f t="shared" si="43"/>
        <v>83201.191360000521</v>
      </c>
      <c r="E429" s="87">
        <v>5859741.0486399997</v>
      </c>
      <c r="F429" s="87">
        <v>83201.191360000521</v>
      </c>
      <c r="G429" s="87">
        <f t="shared" si="44"/>
        <v>5942942.2400000002</v>
      </c>
      <c r="H429" s="87"/>
      <c r="I429" s="98" t="s">
        <v>585</v>
      </c>
      <c r="J429" s="80"/>
      <c r="K429" s="80"/>
      <c r="L429" s="355" t="s">
        <v>592</v>
      </c>
    </row>
    <row r="430" spans="1:12" s="89" customFormat="1" ht="14.1" customHeight="1">
      <c r="A430" s="75">
        <f t="shared" si="40"/>
        <v>424</v>
      </c>
      <c r="B430" s="76" t="s">
        <v>593</v>
      </c>
      <c r="C430" s="87">
        <v>1112072.69</v>
      </c>
      <c r="D430" s="87">
        <f t="shared" si="43"/>
        <v>15569.017660000129</v>
      </c>
      <c r="E430" s="87">
        <v>1096503.6723399998</v>
      </c>
      <c r="F430" s="87">
        <v>15569.017660000129</v>
      </c>
      <c r="G430" s="87">
        <f t="shared" si="44"/>
        <v>1112072.69</v>
      </c>
      <c r="H430" s="87"/>
      <c r="I430" s="98" t="s">
        <v>585</v>
      </c>
      <c r="J430" s="80"/>
      <c r="K430" s="80"/>
      <c r="L430" s="95">
        <v>9240000</v>
      </c>
    </row>
    <row r="431" spans="1:12" s="89" customFormat="1" ht="32.25" customHeight="1">
      <c r="A431" s="75">
        <f t="shared" si="40"/>
        <v>425</v>
      </c>
      <c r="B431" s="76" t="s">
        <v>594</v>
      </c>
      <c r="C431" s="87">
        <v>1893284.88</v>
      </c>
      <c r="D431" s="87">
        <f t="shared" si="43"/>
        <v>26505.988320000004</v>
      </c>
      <c r="E431" s="87">
        <v>1866778.8916799999</v>
      </c>
      <c r="F431" s="87">
        <v>26505.988320000004</v>
      </c>
      <c r="G431" s="87">
        <f t="shared" si="44"/>
        <v>1893284.88</v>
      </c>
      <c r="H431" s="87"/>
      <c r="I431" s="98" t="s">
        <v>585</v>
      </c>
      <c r="J431" s="80"/>
      <c r="K431" s="80"/>
      <c r="L431" s="357" t="s">
        <v>595</v>
      </c>
    </row>
    <row r="432" spans="1:12" s="89" customFormat="1" ht="52.5" customHeight="1">
      <c r="A432" s="75">
        <f t="shared" si="40"/>
        <v>426</v>
      </c>
      <c r="B432" s="76" t="s">
        <v>596</v>
      </c>
      <c r="C432" s="87">
        <v>996411.95</v>
      </c>
      <c r="D432" s="87">
        <f t="shared" si="43"/>
        <v>13949.767300000065</v>
      </c>
      <c r="E432" s="87">
        <v>982462.18269999989</v>
      </c>
      <c r="F432" s="87">
        <v>3382692.5685336012</v>
      </c>
      <c r="G432" s="87">
        <f t="shared" si="44"/>
        <v>4365154.751233601</v>
      </c>
      <c r="H432" s="87"/>
      <c r="I432" s="98" t="s">
        <v>585</v>
      </c>
      <c r="J432" s="80"/>
      <c r="K432" s="80"/>
      <c r="L432" s="357" t="s">
        <v>597</v>
      </c>
    </row>
    <row r="433" spans="1:15" ht="14.1" customHeight="1">
      <c r="A433" s="75">
        <f t="shared" si="40"/>
        <v>427</v>
      </c>
      <c r="B433" s="76" t="s">
        <v>598</v>
      </c>
      <c r="C433" s="87">
        <v>0</v>
      </c>
      <c r="D433" s="87">
        <f t="shared" si="43"/>
        <v>0</v>
      </c>
      <c r="E433" s="87">
        <v>0</v>
      </c>
      <c r="F433" s="87">
        <v>0</v>
      </c>
      <c r="G433" s="87">
        <f t="shared" si="44"/>
        <v>0</v>
      </c>
      <c r="H433" s="87"/>
      <c r="I433" s="98" t="s">
        <v>585</v>
      </c>
      <c r="J433" s="80"/>
      <c r="K433" s="80"/>
      <c r="L433" s="75">
        <v>9260057</v>
      </c>
    </row>
    <row r="434" spans="1:15" ht="13.5" customHeight="1">
      <c r="A434" s="75">
        <f t="shared" si="40"/>
        <v>428</v>
      </c>
      <c r="B434" s="76" t="s">
        <v>599</v>
      </c>
      <c r="C434" s="87">
        <v>162570.53</v>
      </c>
      <c r="D434" s="87">
        <f t="shared" si="43"/>
        <v>2275.9874199999904</v>
      </c>
      <c r="E434" s="87">
        <v>160294.54258000001</v>
      </c>
      <c r="F434" s="87">
        <v>2275.9874199999904</v>
      </c>
      <c r="G434" s="87">
        <f t="shared" si="44"/>
        <v>162570.53</v>
      </c>
      <c r="H434" s="87"/>
      <c r="I434" s="98" t="s">
        <v>585</v>
      </c>
      <c r="J434" s="80"/>
      <c r="K434" s="80"/>
      <c r="L434" s="75">
        <v>9270000</v>
      </c>
    </row>
    <row r="435" spans="1:15" ht="14.1" customHeight="1">
      <c r="A435" s="75">
        <f t="shared" si="40"/>
        <v>429</v>
      </c>
      <c r="B435" s="76" t="s">
        <v>600</v>
      </c>
      <c r="C435" s="87">
        <f>22552.99+4342.74+952810.46</f>
        <v>979706.19</v>
      </c>
      <c r="D435" s="87">
        <f t="shared" si="43"/>
        <v>0.18999999994412065</v>
      </c>
      <c r="E435" s="87">
        <v>979706</v>
      </c>
      <c r="F435" s="87">
        <v>114528.90999999992</v>
      </c>
      <c r="G435" s="87">
        <f t="shared" si="44"/>
        <v>1094234.9099999999</v>
      </c>
      <c r="H435" s="87"/>
      <c r="I435" s="98" t="s">
        <v>284</v>
      </c>
      <c r="J435" s="80"/>
      <c r="K435" s="80"/>
      <c r="L435" s="75" t="s">
        <v>601</v>
      </c>
    </row>
    <row r="436" spans="1:15" ht="22.5" customHeight="1">
      <c r="A436" s="75">
        <f t="shared" si="40"/>
        <v>430</v>
      </c>
      <c r="B436" s="76" t="s">
        <v>602</v>
      </c>
      <c r="C436" s="87">
        <f>2256773.27+49865.17</f>
        <v>2306638.44</v>
      </c>
      <c r="D436" s="87">
        <f>C436-E436</f>
        <v>16594.669999999925</v>
      </c>
      <c r="E436" s="87">
        <f>(C436-J436)</f>
        <v>2290043.77</v>
      </c>
      <c r="F436" s="87">
        <v>262407.95</v>
      </c>
      <c r="G436" s="87">
        <f t="shared" si="44"/>
        <v>2552451.7200000002</v>
      </c>
      <c r="H436" s="87"/>
      <c r="I436" s="98" t="s">
        <v>284</v>
      </c>
      <c r="J436" s="80">
        <v>16594.669999999998</v>
      </c>
      <c r="K436" s="75" t="s">
        <v>603</v>
      </c>
      <c r="L436" s="75" t="s">
        <v>604</v>
      </c>
    </row>
    <row r="437" spans="1:15" ht="26.25" customHeight="1">
      <c r="A437" s="75">
        <f t="shared" si="40"/>
        <v>431</v>
      </c>
      <c r="B437" s="76" t="s">
        <v>605</v>
      </c>
      <c r="C437" s="87">
        <v>105335.46</v>
      </c>
      <c r="D437" s="87">
        <f t="shared" si="43"/>
        <v>1474.6964399999997</v>
      </c>
      <c r="E437" s="87">
        <v>103860.76356000001</v>
      </c>
      <c r="F437" s="87">
        <v>-52701.833559999999</v>
      </c>
      <c r="G437" s="87">
        <f t="shared" si="44"/>
        <v>51158.930000000008</v>
      </c>
      <c r="H437" s="87"/>
      <c r="I437" s="98" t="s">
        <v>585</v>
      </c>
      <c r="J437" s="80"/>
      <c r="K437" s="80"/>
      <c r="L437" s="355" t="s">
        <v>606</v>
      </c>
    </row>
    <row r="438" spans="1:15" ht="14.1" customHeight="1">
      <c r="A438" s="75">
        <f t="shared" si="40"/>
        <v>432</v>
      </c>
      <c r="B438" s="76" t="s">
        <v>607</v>
      </c>
      <c r="C438" s="87">
        <v>592234.80000000005</v>
      </c>
      <c r="D438" s="87">
        <f t="shared" si="43"/>
        <v>8291.2872000000207</v>
      </c>
      <c r="E438" s="87">
        <v>583943.51280000003</v>
      </c>
      <c r="F438" s="87">
        <v>9056.6872000000203</v>
      </c>
      <c r="G438" s="87">
        <f t="shared" si="44"/>
        <v>593000.20000000007</v>
      </c>
      <c r="H438" s="87"/>
      <c r="I438" s="98" t="s">
        <v>585</v>
      </c>
      <c r="J438" s="80"/>
      <c r="K438" s="80"/>
      <c r="L438" s="75" t="s">
        <v>608</v>
      </c>
    </row>
    <row r="439" spans="1:15" ht="14.1" customHeight="1">
      <c r="A439" s="75">
        <f t="shared" si="40"/>
        <v>433</v>
      </c>
      <c r="B439" s="90" t="s">
        <v>609</v>
      </c>
      <c r="C439" s="87">
        <f>18233.71+51276.13</f>
        <v>69509.84</v>
      </c>
      <c r="D439" s="87">
        <f t="shared" si="43"/>
        <v>972.83999999999651</v>
      </c>
      <c r="E439" s="87">
        <v>68537</v>
      </c>
      <c r="F439" s="87">
        <v>-175.95000000000346</v>
      </c>
      <c r="G439" s="87">
        <f t="shared" si="44"/>
        <v>68361.05</v>
      </c>
      <c r="H439" s="87"/>
      <c r="I439" s="98" t="s">
        <v>585</v>
      </c>
      <c r="J439" s="80"/>
      <c r="K439" s="80"/>
      <c r="L439" s="75" t="s">
        <v>610</v>
      </c>
    </row>
    <row r="440" spans="1:15" ht="14.1" customHeight="1">
      <c r="A440" s="75">
        <f t="shared" si="40"/>
        <v>434</v>
      </c>
      <c r="B440" s="108" t="s">
        <v>611</v>
      </c>
      <c r="C440" s="97">
        <f>SUM(C426:C439)</f>
        <v>25376148.910000004</v>
      </c>
      <c r="D440" s="97">
        <f>SUM(D426:D439)</f>
        <v>325851.7452999996</v>
      </c>
      <c r="E440" s="97">
        <f>SUM(E426:E439)</f>
        <v>25050297.164699998</v>
      </c>
      <c r="F440" s="97">
        <f>SUM(F426:F439)</f>
        <v>4225299.5765336007</v>
      </c>
      <c r="G440" s="372">
        <f>SUM(G426:G439)</f>
        <v>29275596.741233598</v>
      </c>
      <c r="H440" s="372"/>
      <c r="I440" s="373"/>
      <c r="J440" s="80"/>
      <c r="K440" s="80"/>
    </row>
    <row r="441" spans="1:15" ht="14.1" customHeight="1">
      <c r="A441" s="75">
        <f t="shared" si="40"/>
        <v>435</v>
      </c>
      <c r="C441" s="94"/>
      <c r="D441" s="94"/>
      <c r="E441" s="94"/>
      <c r="F441" s="94"/>
      <c r="G441" s="87"/>
      <c r="H441" s="87"/>
      <c r="I441" s="98"/>
      <c r="J441" s="80"/>
      <c r="K441" s="80"/>
    </row>
    <row r="442" spans="1:15" ht="39" customHeight="1">
      <c r="A442" s="75">
        <f t="shared" si="40"/>
        <v>436</v>
      </c>
      <c r="B442" s="89" t="s">
        <v>612</v>
      </c>
      <c r="C442" s="87">
        <f>2265242.65-C443</f>
        <v>2265242.65</v>
      </c>
      <c r="D442" s="87">
        <f>C442-E442</f>
        <v>31713.397100000177</v>
      </c>
      <c r="E442" s="87">
        <v>2233529.2528999997</v>
      </c>
      <c r="F442" s="87">
        <v>67953.57710000017</v>
      </c>
      <c r="G442" s="87">
        <f>E442+F442</f>
        <v>2301482.83</v>
      </c>
      <c r="H442" s="87"/>
      <c r="I442" s="98" t="s">
        <v>585</v>
      </c>
      <c r="J442" s="80"/>
      <c r="K442" s="80"/>
      <c r="L442" s="355" t="s">
        <v>613</v>
      </c>
    </row>
    <row r="443" spans="1:15" ht="14.1" customHeight="1">
      <c r="A443" s="75">
        <f t="shared" si="40"/>
        <v>437</v>
      </c>
      <c r="B443" s="121" t="s">
        <v>614</v>
      </c>
      <c r="C443" s="87">
        <v>0</v>
      </c>
      <c r="D443" s="94">
        <f>C443-E443</f>
        <v>0</v>
      </c>
      <c r="E443" s="87">
        <v>0</v>
      </c>
      <c r="F443" s="87">
        <v>0</v>
      </c>
      <c r="G443" s="87">
        <f>E443+F443</f>
        <v>0</v>
      </c>
      <c r="H443" s="87"/>
      <c r="I443" s="98" t="s">
        <v>585</v>
      </c>
      <c r="J443" s="80"/>
      <c r="K443" s="80"/>
      <c r="L443" s="374"/>
    </row>
    <row r="444" spans="1:15" ht="14.1" customHeight="1">
      <c r="A444" s="75">
        <f t="shared" si="40"/>
        <v>438</v>
      </c>
      <c r="B444" s="108" t="s">
        <v>615</v>
      </c>
      <c r="C444" s="97">
        <f>C440+SUM(C442:C443)</f>
        <v>27641391.560000002</v>
      </c>
      <c r="D444" s="97">
        <f>D440+SUM(D442:D443)</f>
        <v>357565.14239999978</v>
      </c>
      <c r="E444" s="97">
        <f>E440+SUM(E442:E443)</f>
        <v>27283826.417599998</v>
      </c>
      <c r="F444" s="97">
        <f>F440+F442+F443</f>
        <v>4293253.153633601</v>
      </c>
      <c r="G444" s="372">
        <f>G440+G442+G443</f>
        <v>31577079.5712336</v>
      </c>
      <c r="H444" s="372"/>
      <c r="I444" s="373"/>
      <c r="J444" s="80"/>
      <c r="K444" s="80"/>
    </row>
    <row r="445" spans="1:15" ht="14.1" customHeight="1">
      <c r="A445" s="75">
        <f t="shared" si="40"/>
        <v>439</v>
      </c>
      <c r="B445" s="121"/>
      <c r="C445" s="115"/>
      <c r="D445" s="115"/>
      <c r="E445" s="350"/>
      <c r="F445" s="115"/>
      <c r="G445" s="92"/>
      <c r="H445" s="92"/>
      <c r="I445" s="99"/>
      <c r="J445" s="80"/>
      <c r="K445" s="80"/>
    </row>
    <row r="446" spans="1:15" s="89" customFormat="1" ht="14.1" customHeight="1">
      <c r="A446" s="75">
        <f t="shared" si="40"/>
        <v>440</v>
      </c>
      <c r="B446" s="108" t="s">
        <v>616</v>
      </c>
      <c r="C446" s="375">
        <f>C444+C423+C416+C409+C400+C372+C345</f>
        <v>477180425.20700002</v>
      </c>
      <c r="D446" s="375">
        <f>D444+D423+D416+D409+D400+D372+D345</f>
        <v>4175415.6836132323</v>
      </c>
      <c r="E446" s="375">
        <f>E444+E423+E416+E409+E400+E372+E345</f>
        <v>473005009.52338678</v>
      </c>
      <c r="F446" s="375">
        <f>F444+F423+F416+F409+F400+F372+F345</f>
        <v>-43550166.70901572</v>
      </c>
      <c r="G446" s="375">
        <f>G444+G423+G416+G409+G400+G372+G345</f>
        <v>429454842.81437111</v>
      </c>
      <c r="H446" s="376">
        <f>ROUND(E446/C446,3)</f>
        <v>0.99099999999999999</v>
      </c>
      <c r="I446" s="377"/>
      <c r="J446" s="80"/>
      <c r="K446" s="80"/>
      <c r="L446" s="75"/>
      <c r="M446" s="76"/>
      <c r="N446" s="76"/>
      <c r="O446" s="76"/>
    </row>
    <row r="447" spans="1:15" s="89" customFormat="1" ht="14.1" customHeight="1">
      <c r="A447" s="75">
        <f t="shared" si="40"/>
        <v>441</v>
      </c>
      <c r="C447" s="365"/>
      <c r="D447" s="365"/>
      <c r="E447" s="378"/>
      <c r="F447" s="365"/>
      <c r="G447" s="379"/>
      <c r="H447" s="379"/>
      <c r="I447" s="377"/>
      <c r="J447" s="80"/>
      <c r="K447" s="80"/>
      <c r="L447" s="75"/>
      <c r="M447" s="76"/>
      <c r="N447" s="76"/>
      <c r="O447" s="76"/>
    </row>
    <row r="448" spans="1:15" s="89" customFormat="1" ht="14.1" customHeight="1">
      <c r="A448" s="75">
        <f t="shared" si="40"/>
        <v>442</v>
      </c>
      <c r="B448" s="93" t="s">
        <v>617</v>
      </c>
      <c r="C448" s="365">
        <f>(C446-(C311+C312+C313+C314+C336+C337))-(C350+C354+C355+C356+C357+C369)</f>
        <v>127350385.55699997</v>
      </c>
      <c r="D448" s="365">
        <f>(D446-(D311+D312+D313+D314+D336+D337))-(D350+D354+D355+D356+D369)</f>
        <v>398271.60361320281</v>
      </c>
      <c r="E448" s="365">
        <f>(E446-(E311+E312+E313+E314+E336+E337))-(E350+E354+E355+E356+E369)</f>
        <v>126263312.52338678</v>
      </c>
      <c r="F448" s="365">
        <f>(F446-(F311+F336+F337))-(F350+F354+F355+F356+F369)</f>
        <v>-52998475.729366399</v>
      </c>
      <c r="G448" s="365">
        <f>(G446-(G311+G336+G337))-(G350+G354+G355+G356+G369)</f>
        <v>84124677.794020459</v>
      </c>
      <c r="H448" s="376">
        <f>ROUND(E448/C448,3)</f>
        <v>0.99099999999999999</v>
      </c>
      <c r="J448" s="80"/>
      <c r="K448" s="80"/>
      <c r="L448" s="75"/>
      <c r="M448" s="76"/>
      <c r="N448" s="76"/>
      <c r="O448" s="76"/>
    </row>
    <row r="449" spans="1:15" s="89" customFormat="1" ht="14.1" customHeight="1">
      <c r="A449" s="75">
        <f t="shared" si="40"/>
        <v>443</v>
      </c>
      <c r="C449" s="365"/>
      <c r="D449" s="365"/>
      <c r="E449" s="378"/>
      <c r="F449" s="365"/>
      <c r="G449" s="379"/>
      <c r="H449" s="379"/>
      <c r="I449" s="377"/>
      <c r="J449" s="80"/>
      <c r="K449" s="80"/>
      <c r="L449" s="75"/>
      <c r="M449" s="76"/>
      <c r="N449" s="76"/>
      <c r="O449" s="76"/>
    </row>
    <row r="450" spans="1:15" s="89" customFormat="1" ht="14.1" customHeight="1">
      <c r="A450" s="75">
        <f t="shared" si="40"/>
        <v>444</v>
      </c>
      <c r="B450" s="108" t="s">
        <v>204</v>
      </c>
      <c r="C450" s="365"/>
      <c r="D450" s="365"/>
      <c r="E450" s="378"/>
      <c r="F450" s="365"/>
      <c r="G450" s="380"/>
      <c r="H450" s="380"/>
      <c r="I450" s="377"/>
      <c r="J450" s="80"/>
      <c r="K450" s="80"/>
      <c r="L450" s="75"/>
      <c r="M450" s="76"/>
      <c r="N450" s="76"/>
      <c r="O450" s="76"/>
    </row>
    <row r="451" spans="1:15" s="89" customFormat="1" ht="14.1" customHeight="1">
      <c r="A451" s="75">
        <f t="shared" si="40"/>
        <v>445</v>
      </c>
      <c r="B451" s="76" t="s">
        <v>618</v>
      </c>
      <c r="C451" s="365">
        <v>0</v>
      </c>
      <c r="D451" s="365">
        <v>0</v>
      </c>
      <c r="E451" s="365">
        <v>0</v>
      </c>
      <c r="F451" s="365">
        <v>0</v>
      </c>
      <c r="G451" s="380">
        <f>E451+F451</f>
        <v>0</v>
      </c>
      <c r="H451" s="380"/>
      <c r="I451" s="377"/>
      <c r="J451" s="80"/>
      <c r="K451" s="80"/>
      <c r="L451" s="75"/>
      <c r="M451" s="76"/>
      <c r="N451" s="76"/>
      <c r="O451" s="76"/>
    </row>
    <row r="452" spans="1:15" s="89" customFormat="1" ht="14.1" customHeight="1">
      <c r="A452" s="75">
        <f t="shared" si="40"/>
        <v>446</v>
      </c>
      <c r="B452" s="76" t="s">
        <v>619</v>
      </c>
      <c r="C452" s="365">
        <v>0</v>
      </c>
      <c r="D452" s="365">
        <v>0</v>
      </c>
      <c r="E452" s="365">
        <v>0</v>
      </c>
      <c r="F452" s="87">
        <v>0</v>
      </c>
      <c r="G452" s="380">
        <f>E452+F452</f>
        <v>0</v>
      </c>
      <c r="H452" s="380"/>
      <c r="I452" s="377"/>
      <c r="J452" s="80"/>
      <c r="K452" s="80"/>
      <c r="L452" s="75"/>
      <c r="M452" s="76"/>
      <c r="N452" s="76"/>
      <c r="O452" s="76"/>
    </row>
    <row r="453" spans="1:15" s="89" customFormat="1" ht="14.1" customHeight="1">
      <c r="A453" s="75">
        <f t="shared" si="40"/>
        <v>447</v>
      </c>
      <c r="B453" s="76" t="s">
        <v>550</v>
      </c>
      <c r="C453" s="365">
        <v>0</v>
      </c>
      <c r="D453" s="365">
        <v>0</v>
      </c>
      <c r="E453" s="365">
        <v>0</v>
      </c>
      <c r="F453" s="365">
        <v>0</v>
      </c>
      <c r="G453" s="380">
        <f>E453+F453</f>
        <v>0</v>
      </c>
      <c r="H453" s="380"/>
      <c r="I453" s="377"/>
      <c r="J453" s="80"/>
      <c r="K453" s="80"/>
      <c r="L453" s="75"/>
      <c r="M453" s="76"/>
      <c r="N453" s="76"/>
      <c r="O453" s="76"/>
    </row>
    <row r="454" spans="1:15" s="89" customFormat="1" ht="14.1" customHeight="1">
      <c r="A454" s="75">
        <f t="shared" si="40"/>
        <v>448</v>
      </c>
      <c r="B454" s="76" t="s">
        <v>620</v>
      </c>
      <c r="C454" s="365">
        <v>0</v>
      </c>
      <c r="D454" s="365">
        <v>0</v>
      </c>
      <c r="E454" s="365">
        <v>0</v>
      </c>
      <c r="F454" s="365">
        <v>0</v>
      </c>
      <c r="G454" s="380">
        <f>E454+F454</f>
        <v>0</v>
      </c>
      <c r="H454" s="380"/>
      <c r="I454" s="377"/>
      <c r="J454" s="80"/>
      <c r="K454" s="80"/>
      <c r="L454" s="75"/>
      <c r="M454" s="76"/>
      <c r="N454" s="76"/>
      <c r="O454" s="76"/>
    </row>
    <row r="455" spans="1:15" s="89" customFormat="1" ht="14.1" customHeight="1">
      <c r="A455" s="75">
        <f t="shared" si="40"/>
        <v>449</v>
      </c>
      <c r="B455" s="90" t="s">
        <v>621</v>
      </c>
      <c r="C455" s="381">
        <v>0</v>
      </c>
      <c r="D455" s="381">
        <v>0</v>
      </c>
      <c r="E455" s="381">
        <v>0</v>
      </c>
      <c r="F455" s="365">
        <v>0</v>
      </c>
      <c r="G455" s="380">
        <f>E455+F455</f>
        <v>0</v>
      </c>
      <c r="H455" s="382"/>
      <c r="I455" s="383"/>
      <c r="J455" s="80"/>
      <c r="K455" s="80"/>
      <c r="L455" s="75"/>
      <c r="M455" s="76"/>
      <c r="N455" s="76"/>
      <c r="O455" s="76"/>
    </row>
    <row r="456" spans="1:15" s="89" customFormat="1" ht="14.1" customHeight="1">
      <c r="A456" s="75">
        <f t="shared" si="40"/>
        <v>450</v>
      </c>
      <c r="B456" s="134" t="s">
        <v>622</v>
      </c>
      <c r="C456" s="384">
        <f>SUM(C451:C455)</f>
        <v>0</v>
      </c>
      <c r="D456" s="137">
        <f>SUM(D451:D455)</f>
        <v>0</v>
      </c>
      <c r="E456" s="384">
        <f>SUM(E451:E455)</f>
        <v>0</v>
      </c>
      <c r="F456" s="384">
        <f>SUM(F451:F455)</f>
        <v>0</v>
      </c>
      <c r="G456" s="384">
        <f>SUM(G451:G455)</f>
        <v>0</v>
      </c>
      <c r="H456" s="385"/>
      <c r="I456" s="386"/>
      <c r="J456" s="80"/>
      <c r="K456" s="80"/>
      <c r="L456" s="75"/>
      <c r="M456" s="76"/>
      <c r="N456" s="76"/>
      <c r="O456" s="76"/>
    </row>
    <row r="457" spans="1:15" s="89" customFormat="1" ht="14.1" customHeight="1" thickBot="1">
      <c r="A457" s="75">
        <f t="shared" si="40"/>
        <v>451</v>
      </c>
      <c r="B457" s="140" t="s">
        <v>623</v>
      </c>
      <c r="C457" s="387"/>
      <c r="D457" s="101"/>
      <c r="E457" s="387"/>
      <c r="F457" s="387">
        <v>-60772164.879299641</v>
      </c>
      <c r="G457" s="387">
        <f>G456*0.125</f>
        <v>0</v>
      </c>
      <c r="H457" s="388"/>
      <c r="I457" s="389"/>
      <c r="J457" s="80"/>
      <c r="K457" s="80"/>
      <c r="L457" s="75"/>
      <c r="M457" s="76"/>
      <c r="N457" s="76"/>
      <c r="O457" s="76"/>
    </row>
    <row r="458" spans="1:15" s="89" customFormat="1" ht="14.1" customHeight="1" thickTop="1">
      <c r="A458" s="75">
        <f t="shared" si="40"/>
        <v>452</v>
      </c>
      <c r="C458" s="365"/>
      <c r="D458" s="365"/>
      <c r="E458" s="378"/>
      <c r="F458" s="365"/>
      <c r="G458" s="380"/>
      <c r="H458" s="380"/>
      <c r="I458" s="377"/>
      <c r="J458" s="80"/>
      <c r="K458" s="80"/>
      <c r="L458" s="75"/>
      <c r="M458" s="76"/>
      <c r="N458" s="76"/>
      <c r="O458" s="76"/>
    </row>
    <row r="459" spans="1:15" ht="14.1" customHeight="1">
      <c r="A459" s="75">
        <f t="shared" ref="A459:A522" si="45">+A458+1</f>
        <v>453</v>
      </c>
      <c r="B459" s="81" t="s">
        <v>624</v>
      </c>
      <c r="C459" s="87"/>
      <c r="D459" s="87"/>
      <c r="E459" s="87"/>
      <c r="F459" s="87"/>
      <c r="G459" s="87"/>
      <c r="H459" s="87"/>
      <c r="I459" s="98"/>
      <c r="J459" s="80"/>
      <c r="K459" s="80"/>
    </row>
    <row r="460" spans="1:15" ht="14.1" customHeight="1">
      <c r="A460" s="75">
        <f t="shared" si="45"/>
        <v>454</v>
      </c>
      <c r="B460" s="76" t="s">
        <v>331</v>
      </c>
      <c r="C460" s="87">
        <f>38383235.63-2010677.27</f>
        <v>36372558.359999999</v>
      </c>
      <c r="D460" s="87">
        <f>C460-E460</f>
        <v>545588.3599999994</v>
      </c>
      <c r="E460" s="87">
        <v>35826970</v>
      </c>
      <c r="F460" s="87">
        <v>-12420976.887533</v>
      </c>
      <c r="G460" s="87">
        <f>E460+F460</f>
        <v>23405993.112466998</v>
      </c>
      <c r="H460" s="87"/>
      <c r="I460" s="98" t="s">
        <v>221</v>
      </c>
      <c r="J460" s="80"/>
      <c r="K460" s="80"/>
    </row>
    <row r="461" spans="1:15" ht="14.1" customHeight="1">
      <c r="A461" s="75">
        <f t="shared" si="45"/>
        <v>455</v>
      </c>
      <c r="B461" s="76" t="s">
        <v>625</v>
      </c>
      <c r="C461" s="87">
        <f>25079616.02</f>
        <v>25079616.02</v>
      </c>
      <c r="D461" s="87">
        <f>C461-E461</f>
        <v>376194.01999999955</v>
      </c>
      <c r="E461" s="87">
        <v>24703422</v>
      </c>
      <c r="F461" s="87">
        <v>-1216149.6064000004</v>
      </c>
      <c r="G461" s="87">
        <f>E461+F461</f>
        <v>23487272.393599998</v>
      </c>
      <c r="H461" s="87"/>
      <c r="I461" s="98" t="s">
        <v>259</v>
      </c>
      <c r="J461" s="80"/>
      <c r="K461" s="80"/>
    </row>
    <row r="462" spans="1:15" ht="14.1" customHeight="1">
      <c r="A462" s="75">
        <f t="shared" si="45"/>
        <v>456</v>
      </c>
      <c r="B462" s="76" t="s">
        <v>626</v>
      </c>
      <c r="C462" s="87">
        <v>279198.36</v>
      </c>
      <c r="D462" s="87">
        <f>C462-E462</f>
        <v>4188.359999999986</v>
      </c>
      <c r="E462" s="87">
        <v>275010</v>
      </c>
      <c r="F462" s="87">
        <v>4188.359999999986</v>
      </c>
      <c r="G462" s="87">
        <f>E462+F462</f>
        <v>279198.36</v>
      </c>
      <c r="H462" s="87"/>
      <c r="I462" s="98" t="s">
        <v>221</v>
      </c>
      <c r="J462" s="80"/>
      <c r="K462" s="80"/>
    </row>
    <row r="463" spans="1:15" ht="14.1" customHeight="1">
      <c r="A463" s="75">
        <f t="shared" si="45"/>
        <v>457</v>
      </c>
      <c r="B463" s="76" t="s">
        <v>336</v>
      </c>
      <c r="C463" s="87">
        <v>41318811.469999999</v>
      </c>
      <c r="D463" s="87">
        <f>C463-E463</f>
        <v>41318.469999998808</v>
      </c>
      <c r="E463" s="87">
        <v>41277493</v>
      </c>
      <c r="F463" s="87">
        <v>5162605.0200999994</v>
      </c>
      <c r="G463" s="87">
        <f>E463+F463</f>
        <v>46440098.020099998</v>
      </c>
      <c r="H463" s="87"/>
      <c r="I463" s="98" t="s">
        <v>337</v>
      </c>
      <c r="J463" s="80"/>
      <c r="K463" s="80"/>
    </row>
    <row r="464" spans="1:15" s="89" customFormat="1" ht="14.1" customHeight="1">
      <c r="A464" s="75">
        <f t="shared" si="45"/>
        <v>458</v>
      </c>
      <c r="B464" s="90" t="s">
        <v>338</v>
      </c>
      <c r="C464" s="92">
        <f>8666811.47</f>
        <v>8666811.4700000007</v>
      </c>
      <c r="D464" s="92">
        <f>C464-E464</f>
        <v>173336.47000000067</v>
      </c>
      <c r="E464" s="115">
        <v>8493475</v>
      </c>
      <c r="F464" s="92">
        <v>6447089.8078000005</v>
      </c>
      <c r="G464" s="92">
        <f>E464+F464</f>
        <v>14940564.807800001</v>
      </c>
      <c r="H464" s="92"/>
      <c r="I464" s="99" t="s">
        <v>214</v>
      </c>
      <c r="J464" s="80"/>
      <c r="K464" s="80"/>
      <c r="L464" s="75"/>
      <c r="M464" s="76"/>
      <c r="N464" s="76"/>
      <c r="O464" s="76"/>
    </row>
    <row r="465" spans="1:14" ht="14.1" customHeight="1">
      <c r="A465" s="75">
        <f t="shared" si="45"/>
        <v>459</v>
      </c>
      <c r="B465" s="108" t="s">
        <v>627</v>
      </c>
      <c r="C465" s="94">
        <f>SUM(C460:C464)</f>
        <v>111716995.67999999</v>
      </c>
      <c r="D465" s="94">
        <f>SUM(D460:D464)</f>
        <v>1140625.6799999983</v>
      </c>
      <c r="E465" s="94">
        <f>SUM(E460:E464)</f>
        <v>110576370</v>
      </c>
      <c r="F465" s="94">
        <f>SUM(F460:F464)</f>
        <v>-2023243.3060330003</v>
      </c>
      <c r="G465" s="94">
        <f>SUM(G460:G464)</f>
        <v>108553126.69396698</v>
      </c>
      <c r="H465" s="94"/>
      <c r="I465" s="338"/>
      <c r="J465" s="80"/>
      <c r="K465" s="80"/>
      <c r="L465" s="75" t="s">
        <v>628</v>
      </c>
    </row>
    <row r="466" spans="1:14" ht="14.1" customHeight="1">
      <c r="A466" s="75">
        <f t="shared" si="45"/>
        <v>460</v>
      </c>
      <c r="C466" s="87"/>
      <c r="D466" s="87"/>
      <c r="E466" s="87"/>
      <c r="F466" s="87"/>
      <c r="G466" s="87"/>
      <c r="H466" s="87"/>
      <c r="I466" s="98"/>
      <c r="J466" s="80"/>
      <c r="K466" s="80"/>
    </row>
    <row r="467" spans="1:14" ht="14.1" customHeight="1">
      <c r="A467" s="75">
        <f t="shared" si="45"/>
        <v>461</v>
      </c>
      <c r="B467" s="81" t="s">
        <v>629</v>
      </c>
      <c r="C467" s="87"/>
      <c r="D467" s="87"/>
      <c r="E467" s="87"/>
      <c r="F467" s="87"/>
      <c r="G467" s="87"/>
      <c r="H467" s="87"/>
      <c r="I467" s="98"/>
      <c r="J467" s="80"/>
      <c r="K467" s="80"/>
    </row>
    <row r="468" spans="1:14" ht="14.1" customHeight="1">
      <c r="A468" s="75">
        <f t="shared" si="45"/>
        <v>462</v>
      </c>
      <c r="B468" s="76" t="s">
        <v>630</v>
      </c>
      <c r="C468" s="87">
        <f>6362943.01+495522.63-900039.17</f>
        <v>5958426.4699999997</v>
      </c>
      <c r="D468" s="87">
        <f>C468-E468</f>
        <v>119168.46999999974</v>
      </c>
      <c r="E468" s="94">
        <v>5839258</v>
      </c>
      <c r="F468" s="87">
        <v>-6243774.5300000003</v>
      </c>
      <c r="G468" s="87">
        <f>E468+F468</f>
        <v>-404516.53000000026</v>
      </c>
      <c r="H468" s="87"/>
      <c r="I468" s="98" t="s">
        <v>214</v>
      </c>
      <c r="J468" s="80"/>
      <c r="K468" s="80"/>
    </row>
    <row r="469" spans="1:14" ht="14.1" customHeight="1">
      <c r="A469" s="75">
        <f t="shared" si="45"/>
        <v>463</v>
      </c>
      <c r="B469" s="76" t="s">
        <v>314</v>
      </c>
      <c r="C469" s="87">
        <v>0</v>
      </c>
      <c r="D469" s="87">
        <f>C469-E469</f>
        <v>0</v>
      </c>
      <c r="E469" s="87">
        <v>0</v>
      </c>
      <c r="F469" s="87">
        <v>0</v>
      </c>
      <c r="G469" s="87">
        <f>E469+F469</f>
        <v>0</v>
      </c>
      <c r="H469" s="87"/>
      <c r="I469" s="98" t="s">
        <v>221</v>
      </c>
      <c r="J469" s="80"/>
      <c r="K469" s="80"/>
    </row>
    <row r="470" spans="1:14" ht="14.1" customHeight="1">
      <c r="A470" s="75">
        <f t="shared" si="45"/>
        <v>464</v>
      </c>
      <c r="B470" s="76" t="s">
        <v>315</v>
      </c>
      <c r="C470" s="87">
        <v>38616</v>
      </c>
      <c r="D470" s="87">
        <f>C470-E470</f>
        <v>579</v>
      </c>
      <c r="E470" s="87">
        <v>38037</v>
      </c>
      <c r="F470" s="87">
        <v>579</v>
      </c>
      <c r="G470" s="87">
        <f>E470+F470</f>
        <v>38616</v>
      </c>
      <c r="H470" s="87"/>
      <c r="I470" s="98" t="s">
        <v>259</v>
      </c>
      <c r="J470" s="80"/>
      <c r="K470" s="80"/>
    </row>
    <row r="471" spans="1:14" ht="14.1" customHeight="1">
      <c r="A471" s="75">
        <f t="shared" si="45"/>
        <v>465</v>
      </c>
      <c r="B471" s="76" t="s">
        <v>316</v>
      </c>
      <c r="C471" s="87">
        <v>0</v>
      </c>
      <c r="D471" s="87">
        <f>C471-E471</f>
        <v>0</v>
      </c>
      <c r="E471" s="87">
        <v>0</v>
      </c>
      <c r="F471" s="87">
        <v>0</v>
      </c>
      <c r="G471" s="87">
        <f>E471+F471</f>
        <v>0</v>
      </c>
      <c r="H471" s="87"/>
      <c r="I471" s="98" t="s">
        <v>337</v>
      </c>
      <c r="J471" s="80"/>
      <c r="K471" s="80"/>
    </row>
    <row r="472" spans="1:14" ht="14.1" customHeight="1">
      <c r="A472" s="75">
        <f t="shared" si="45"/>
        <v>466</v>
      </c>
      <c r="B472" s="90" t="s">
        <v>317</v>
      </c>
      <c r="C472" s="92">
        <v>0</v>
      </c>
      <c r="D472" s="92">
        <f>C472-E472</f>
        <v>0</v>
      </c>
      <c r="E472" s="115">
        <v>0</v>
      </c>
      <c r="F472" s="92">
        <v>0</v>
      </c>
      <c r="G472" s="92">
        <f>E472+F472</f>
        <v>0</v>
      </c>
      <c r="H472" s="92"/>
      <c r="I472" s="99" t="s">
        <v>214</v>
      </c>
      <c r="J472" s="80"/>
      <c r="K472" s="80"/>
    </row>
    <row r="473" spans="1:14" ht="14.1" customHeight="1">
      <c r="A473" s="75">
        <f t="shared" si="45"/>
        <v>467</v>
      </c>
      <c r="B473" s="108" t="s">
        <v>631</v>
      </c>
      <c r="C473" s="94">
        <f>SUM(C468:C472)</f>
        <v>5997042.4699999997</v>
      </c>
      <c r="D473" s="94">
        <f>SUM(D468:D472)</f>
        <v>119747.46999999974</v>
      </c>
      <c r="E473" s="94">
        <f>SUM(E468:E472)</f>
        <v>5877295</v>
      </c>
      <c r="F473" s="94">
        <f>SUM(F468:F472)</f>
        <v>-6243195.5300000003</v>
      </c>
      <c r="G473" s="94">
        <f>SUM(G468:G472)</f>
        <v>-365900.53000000026</v>
      </c>
      <c r="H473" s="94"/>
      <c r="I473" s="338"/>
      <c r="J473" s="80"/>
      <c r="K473" s="80"/>
      <c r="L473" s="75" t="s">
        <v>628</v>
      </c>
    </row>
    <row r="474" spans="1:14" ht="14.1" customHeight="1">
      <c r="A474" s="75">
        <f t="shared" si="45"/>
        <v>468</v>
      </c>
      <c r="B474" s="126"/>
      <c r="C474" s="94"/>
      <c r="D474" s="94"/>
      <c r="E474" s="322"/>
      <c r="F474" s="94"/>
      <c r="G474" s="87"/>
      <c r="H474" s="87"/>
      <c r="I474" s="98"/>
      <c r="J474" s="80"/>
      <c r="K474" s="80"/>
    </row>
    <row r="475" spans="1:14" ht="14.1" customHeight="1">
      <c r="A475" s="75">
        <f t="shared" si="45"/>
        <v>469</v>
      </c>
      <c r="B475" s="108" t="s">
        <v>632</v>
      </c>
      <c r="C475" s="94"/>
      <c r="D475" s="80"/>
      <c r="E475" s="94"/>
      <c r="F475" s="94"/>
      <c r="G475" s="87"/>
      <c r="H475" s="87"/>
      <c r="I475" s="98"/>
      <c r="J475" s="80"/>
      <c r="K475" s="80"/>
    </row>
    <row r="476" spans="1:14" ht="14.1" customHeight="1">
      <c r="A476" s="75">
        <f t="shared" si="45"/>
        <v>470</v>
      </c>
      <c r="B476" s="121" t="s">
        <v>633</v>
      </c>
      <c r="C476" s="87">
        <f>214594.82+3880652.78+4174373.99</f>
        <v>8269621.5899999999</v>
      </c>
      <c r="D476" s="87">
        <f>C476-E476</f>
        <v>120904.58999999985</v>
      </c>
      <c r="E476" s="87">
        <v>8148717</v>
      </c>
      <c r="F476" s="87">
        <v>-85273.730000000156</v>
      </c>
      <c r="G476" s="87">
        <f>E476+F476</f>
        <v>8063443.2699999996</v>
      </c>
      <c r="H476" s="87"/>
      <c r="I476" s="98" t="s">
        <v>259</v>
      </c>
      <c r="J476" s="80">
        <v>209318.32</v>
      </c>
      <c r="K476" s="75" t="s">
        <v>634</v>
      </c>
    </row>
    <row r="477" spans="1:14" ht="14.1" customHeight="1">
      <c r="A477" s="75">
        <f t="shared" si="45"/>
        <v>471</v>
      </c>
      <c r="B477" s="108" t="s">
        <v>635</v>
      </c>
      <c r="C477" s="110">
        <f>SUM(C476:C476)</f>
        <v>8269621.5899999999</v>
      </c>
      <c r="D477" s="110">
        <f>SUM(D476:D476)</f>
        <v>120904.58999999985</v>
      </c>
      <c r="E477" s="110">
        <f>SUM(E476:E476)</f>
        <v>8148717</v>
      </c>
      <c r="F477" s="110">
        <f>SUM(F476:F476)</f>
        <v>-85273.730000000156</v>
      </c>
      <c r="G477" s="110">
        <f>SUM(G476:G476)</f>
        <v>8063443.2699999996</v>
      </c>
      <c r="H477" s="110"/>
      <c r="I477" s="334"/>
      <c r="J477" s="80"/>
      <c r="K477" s="75"/>
      <c r="L477" s="75" t="s">
        <v>636</v>
      </c>
    </row>
    <row r="478" spans="1:14" ht="14.1" customHeight="1">
      <c r="A478" s="75">
        <f t="shared" si="45"/>
        <v>472</v>
      </c>
      <c r="B478" s="121"/>
      <c r="C478" s="92"/>
      <c r="D478" s="92"/>
      <c r="E478" s="350"/>
      <c r="F478" s="115"/>
      <c r="G478" s="92"/>
      <c r="H478" s="92"/>
      <c r="I478" s="99"/>
      <c r="J478" s="80"/>
      <c r="K478" s="80"/>
      <c r="N478" s="75"/>
    </row>
    <row r="479" spans="1:14" ht="14.1" customHeight="1" thickBot="1">
      <c r="A479" s="75">
        <f t="shared" si="45"/>
        <v>473</v>
      </c>
      <c r="B479" s="140" t="s">
        <v>637</v>
      </c>
      <c r="C479" s="103">
        <f>C465+C473+C477</f>
        <v>125983659.73999999</v>
      </c>
      <c r="D479" s="103">
        <f>D465+D473+D477</f>
        <v>1381277.7399999979</v>
      </c>
      <c r="E479" s="103">
        <f>E465+E473+E477</f>
        <v>124602382</v>
      </c>
      <c r="F479" s="103">
        <f>F465+F473+F477</f>
        <v>-8351712.5660330011</v>
      </c>
      <c r="G479" s="103">
        <f>G465+G473+G477</f>
        <v>116250669.43396698</v>
      </c>
      <c r="H479" s="103"/>
      <c r="I479" s="352"/>
      <c r="J479" s="80"/>
      <c r="K479" s="80"/>
    </row>
    <row r="480" spans="1:14" ht="14.1" customHeight="1" thickTop="1">
      <c r="A480" s="75">
        <f t="shared" si="45"/>
        <v>474</v>
      </c>
      <c r="B480" s="89"/>
      <c r="C480" s="94"/>
      <c r="D480" s="94"/>
      <c r="E480" s="94"/>
      <c r="F480" s="94"/>
      <c r="G480" s="94"/>
      <c r="H480" s="94"/>
      <c r="I480" s="338"/>
      <c r="J480" s="80"/>
      <c r="K480" s="80"/>
    </row>
    <row r="481" spans="1:12" ht="14.1" customHeight="1">
      <c r="A481" s="75">
        <f t="shared" si="45"/>
        <v>475</v>
      </c>
      <c r="B481" s="108" t="s">
        <v>638</v>
      </c>
      <c r="C481" s="87"/>
      <c r="D481" s="94"/>
      <c r="E481" s="324"/>
      <c r="F481" s="87"/>
      <c r="G481" s="87"/>
      <c r="H481" s="87"/>
      <c r="I481" s="98"/>
      <c r="J481" s="80"/>
      <c r="K481" s="80"/>
    </row>
    <row r="482" spans="1:12" ht="14.1" customHeight="1">
      <c r="A482" s="75">
        <f t="shared" si="45"/>
        <v>476</v>
      </c>
      <c r="B482" s="81" t="s">
        <v>639</v>
      </c>
      <c r="C482" s="87"/>
      <c r="D482" s="94"/>
      <c r="E482" s="87"/>
      <c r="F482" s="87"/>
      <c r="G482" s="87"/>
      <c r="H482" s="87"/>
      <c r="I482" s="98"/>
      <c r="J482" s="80"/>
      <c r="K482" s="80"/>
    </row>
    <row r="483" spans="1:12" ht="14.1" customHeight="1">
      <c r="A483" s="75">
        <f t="shared" si="45"/>
        <v>477</v>
      </c>
      <c r="B483" s="76" t="s">
        <v>640</v>
      </c>
      <c r="C483" s="87">
        <f>3696111.31-1520481.09</f>
        <v>2175630.2199999997</v>
      </c>
      <c r="D483" s="87">
        <f>C483-E483</f>
        <v>19580.219999999739</v>
      </c>
      <c r="E483" s="87">
        <v>2156050</v>
      </c>
      <c r="F483" s="87">
        <v>266730.63459787978</v>
      </c>
      <c r="G483" s="87">
        <f>E483+F483</f>
        <v>2422780.6345978798</v>
      </c>
      <c r="H483" s="87"/>
      <c r="I483" s="98" t="s">
        <v>641</v>
      </c>
      <c r="J483" s="80"/>
      <c r="K483" s="80"/>
      <c r="L483" s="75" t="s">
        <v>642</v>
      </c>
    </row>
    <row r="484" spans="1:12" ht="14.1" customHeight="1">
      <c r="A484" s="75">
        <f t="shared" si="45"/>
        <v>478</v>
      </c>
      <c r="B484" s="76" t="s">
        <v>643</v>
      </c>
      <c r="C484" s="87">
        <f>17339.19-7497.17</f>
        <v>9842.0199999999986</v>
      </c>
      <c r="D484" s="87">
        <f>C484-E484</f>
        <v>89.019999999998618</v>
      </c>
      <c r="E484" s="87">
        <v>9753</v>
      </c>
      <c r="F484" s="87">
        <v>89.019999999998618</v>
      </c>
      <c r="G484" s="87">
        <f>E484+F484</f>
        <v>9842.0199999999986</v>
      </c>
      <c r="H484" s="87"/>
      <c r="I484" s="98" t="s">
        <v>641</v>
      </c>
      <c r="J484" s="80"/>
      <c r="K484" s="80"/>
      <c r="L484" s="75" t="s">
        <v>644</v>
      </c>
    </row>
    <row r="485" spans="1:12" ht="14.1" customHeight="1">
      <c r="A485" s="75">
        <f t="shared" si="45"/>
        <v>479</v>
      </c>
      <c r="B485" s="90" t="s">
        <v>645</v>
      </c>
      <c r="C485" s="87">
        <f>25112.39-8300.05</f>
        <v>16812.34</v>
      </c>
      <c r="D485" s="87">
        <f>C485-E485</f>
        <v>151.34000000000015</v>
      </c>
      <c r="E485" s="87">
        <v>16661</v>
      </c>
      <c r="F485" s="87">
        <v>151.34000000000015</v>
      </c>
      <c r="G485" s="87">
        <f>E485+F485</f>
        <v>16812.34</v>
      </c>
      <c r="H485" s="87"/>
      <c r="I485" s="98" t="s">
        <v>646</v>
      </c>
      <c r="J485" s="80"/>
      <c r="K485" s="80"/>
      <c r="L485" s="75" t="s">
        <v>647</v>
      </c>
    </row>
    <row r="486" spans="1:12" ht="14.1" customHeight="1">
      <c r="A486" s="75">
        <f t="shared" si="45"/>
        <v>480</v>
      </c>
      <c r="B486" s="108" t="s">
        <v>648</v>
      </c>
      <c r="C486" s="97">
        <f>SUM(C483:C485)</f>
        <v>2202284.5799999996</v>
      </c>
      <c r="D486" s="97">
        <f>SUM(D481:D485)</f>
        <v>19820.579999999736</v>
      </c>
      <c r="E486" s="97">
        <f>SUM(E482:E485)</f>
        <v>2182464</v>
      </c>
      <c r="F486" s="97">
        <f>SUM(F482:F485)</f>
        <v>266970.99459787982</v>
      </c>
      <c r="G486" s="97">
        <f>SUM(G483:G485)</f>
        <v>2449434.9945978797</v>
      </c>
      <c r="H486" s="97"/>
      <c r="I486" s="335"/>
      <c r="J486" s="80"/>
      <c r="K486" s="80"/>
    </row>
    <row r="487" spans="1:12" ht="14.1" customHeight="1">
      <c r="A487" s="75">
        <f t="shared" si="45"/>
        <v>481</v>
      </c>
      <c r="B487" s="89"/>
      <c r="C487" s="94"/>
      <c r="D487" s="94"/>
      <c r="E487" s="94"/>
      <c r="F487" s="94"/>
      <c r="G487" s="87"/>
      <c r="H487" s="87"/>
      <c r="I487" s="98"/>
      <c r="J487" s="80"/>
      <c r="K487" s="80"/>
    </row>
    <row r="488" spans="1:12" ht="37.5" customHeight="1">
      <c r="A488" s="75">
        <f t="shared" si="45"/>
        <v>482</v>
      </c>
      <c r="B488" s="76" t="s">
        <v>649</v>
      </c>
      <c r="C488" s="87">
        <f>-25903.25-1054977.68+8399299.56+6243500</f>
        <v>13561918.630000001</v>
      </c>
      <c r="D488" s="87">
        <f>C488-E488</f>
        <v>271238.63000000082</v>
      </c>
      <c r="E488" s="87">
        <v>13290680</v>
      </c>
      <c r="F488" s="87">
        <v>4345218.9866666663</v>
      </c>
      <c r="G488" s="87">
        <f>E488+F488</f>
        <v>17635898.986666664</v>
      </c>
      <c r="H488" s="87"/>
      <c r="I488" s="98" t="s">
        <v>377</v>
      </c>
      <c r="J488" s="80"/>
      <c r="K488" s="80"/>
      <c r="L488" s="355" t="s">
        <v>650</v>
      </c>
    </row>
    <row r="489" spans="1:12" ht="14.1" customHeight="1">
      <c r="A489" s="75">
        <f t="shared" si="45"/>
        <v>483</v>
      </c>
      <c r="B489" s="76" t="s">
        <v>651</v>
      </c>
      <c r="C489" s="87">
        <v>0</v>
      </c>
      <c r="D489" s="87">
        <f>C489-E489</f>
        <v>0</v>
      </c>
      <c r="E489" s="87">
        <v>0</v>
      </c>
      <c r="F489" s="87">
        <v>0</v>
      </c>
      <c r="G489" s="87">
        <f>E489+F489</f>
        <v>0</v>
      </c>
      <c r="H489" s="87"/>
      <c r="I489" s="98" t="s">
        <v>377</v>
      </c>
      <c r="J489" s="80"/>
      <c r="K489" s="80"/>
    </row>
    <row r="490" spans="1:12" ht="14.1" customHeight="1">
      <c r="A490" s="75">
        <f t="shared" si="45"/>
        <v>484</v>
      </c>
      <c r="B490" s="76" t="s">
        <v>652</v>
      </c>
      <c r="C490" s="87">
        <v>0</v>
      </c>
      <c r="D490" s="87">
        <f t="shared" ref="D490:D497" si="46">C490-E490</f>
        <v>0</v>
      </c>
      <c r="E490" s="87">
        <v>0</v>
      </c>
      <c r="F490" s="87">
        <v>0</v>
      </c>
      <c r="G490" s="87">
        <f t="shared" ref="G490:G497" si="47">E490+F490</f>
        <v>0</v>
      </c>
      <c r="H490" s="87"/>
      <c r="I490" s="98" t="s">
        <v>284</v>
      </c>
      <c r="J490" s="80"/>
      <c r="K490" s="80"/>
      <c r="L490" s="75" t="s">
        <v>653</v>
      </c>
    </row>
    <row r="491" spans="1:12" ht="33.75" customHeight="1">
      <c r="A491" s="75">
        <f t="shared" si="45"/>
        <v>485</v>
      </c>
      <c r="B491" s="76" t="s">
        <v>654</v>
      </c>
      <c r="C491" s="87">
        <f>31893.6+23957.45</f>
        <v>55851.05</v>
      </c>
      <c r="D491" s="87">
        <f t="shared" si="46"/>
        <v>1117.0500000000029</v>
      </c>
      <c r="E491" s="87">
        <v>54734</v>
      </c>
      <c r="F491" s="87">
        <v>1117.0500000000029</v>
      </c>
      <c r="G491" s="87">
        <f t="shared" si="47"/>
        <v>55851.05</v>
      </c>
      <c r="H491" s="87"/>
      <c r="I491" s="98" t="s">
        <v>377</v>
      </c>
      <c r="J491" s="80"/>
      <c r="K491" s="80"/>
      <c r="L491" s="355" t="s">
        <v>655</v>
      </c>
    </row>
    <row r="492" spans="1:12" ht="14.1" customHeight="1">
      <c r="A492" s="75">
        <f t="shared" si="45"/>
        <v>486</v>
      </c>
      <c r="B492" s="76" t="s">
        <v>656</v>
      </c>
      <c r="C492" s="87">
        <v>0</v>
      </c>
      <c r="D492" s="87">
        <f t="shared" si="46"/>
        <v>0</v>
      </c>
      <c r="E492" s="87">
        <f>C492</f>
        <v>0</v>
      </c>
      <c r="F492" s="87">
        <v>0</v>
      </c>
      <c r="G492" s="87">
        <f>E492+F492</f>
        <v>0</v>
      </c>
      <c r="H492" s="87"/>
      <c r="I492" s="98" t="s">
        <v>284</v>
      </c>
      <c r="J492" s="80"/>
      <c r="K492" s="80"/>
      <c r="L492" s="75" t="s">
        <v>657</v>
      </c>
    </row>
    <row r="493" spans="1:12" ht="14.1" customHeight="1">
      <c r="A493" s="75">
        <f t="shared" si="45"/>
        <v>487</v>
      </c>
      <c r="B493" s="76" t="s">
        <v>658</v>
      </c>
      <c r="C493" s="87">
        <f>-224843.4-449686.8-534124.77+3748250.55+2935782.15</f>
        <v>5475377.7300000004</v>
      </c>
      <c r="D493" s="87">
        <f t="shared" si="46"/>
        <v>82130.730000000447</v>
      </c>
      <c r="E493" s="87">
        <v>5393247</v>
      </c>
      <c r="F493" s="87">
        <v>1272655.7300000004</v>
      </c>
      <c r="G493" s="87">
        <f>E493+F493</f>
        <v>6665902.7300000004</v>
      </c>
      <c r="H493" s="87"/>
      <c r="I493" s="146" t="s">
        <v>221</v>
      </c>
      <c r="J493" s="80"/>
      <c r="K493" s="80"/>
      <c r="L493" s="75" t="s">
        <v>659</v>
      </c>
    </row>
    <row r="494" spans="1:12" ht="34.5" customHeight="1">
      <c r="A494" s="75">
        <f t="shared" si="45"/>
        <v>488</v>
      </c>
      <c r="B494" s="76" t="s">
        <v>660</v>
      </c>
      <c r="C494" s="87">
        <f>11690.17+7706.46</f>
        <v>19396.63</v>
      </c>
      <c r="D494" s="87">
        <f t="shared" si="46"/>
        <v>-0.36999999999898137</v>
      </c>
      <c r="E494" s="87">
        <v>19397</v>
      </c>
      <c r="F494" s="87">
        <v>-0.36999999999898137</v>
      </c>
      <c r="G494" s="87">
        <f t="shared" si="47"/>
        <v>19396.63</v>
      </c>
      <c r="H494" s="87"/>
      <c r="I494" s="98" t="s">
        <v>284</v>
      </c>
      <c r="J494" s="80"/>
      <c r="K494" s="80"/>
      <c r="L494" s="355" t="s">
        <v>661</v>
      </c>
    </row>
    <row r="495" spans="1:12" ht="13.5" customHeight="1">
      <c r="A495" s="75">
        <f t="shared" si="45"/>
        <v>489</v>
      </c>
      <c r="B495" s="76" t="s">
        <v>662</v>
      </c>
      <c r="C495" s="87">
        <v>0</v>
      </c>
      <c r="D495" s="87">
        <f t="shared" si="46"/>
        <v>0</v>
      </c>
      <c r="E495" s="87">
        <v>0</v>
      </c>
      <c r="F495" s="87">
        <v>0</v>
      </c>
      <c r="G495" s="87">
        <f t="shared" si="47"/>
        <v>0</v>
      </c>
      <c r="H495" s="87"/>
      <c r="I495" s="98" t="s">
        <v>284</v>
      </c>
      <c r="J495" s="80"/>
      <c r="K495" s="80"/>
      <c r="L495" s="75" t="s">
        <v>663</v>
      </c>
    </row>
    <row r="496" spans="1:12" ht="14.1" customHeight="1">
      <c r="A496" s="75">
        <f t="shared" si="45"/>
        <v>490</v>
      </c>
      <c r="B496" s="76" t="s">
        <v>664</v>
      </c>
      <c r="C496" s="87">
        <f>13842.23+871.74</f>
        <v>14713.97</v>
      </c>
      <c r="D496" s="87">
        <f t="shared" si="46"/>
        <v>131.96999999999935</v>
      </c>
      <c r="E496" s="87">
        <v>14582</v>
      </c>
      <c r="F496" s="87">
        <v>131.96999999999935</v>
      </c>
      <c r="G496" s="87">
        <f t="shared" si="47"/>
        <v>14713.97</v>
      </c>
      <c r="H496" s="87"/>
      <c r="I496" s="98" t="s">
        <v>641</v>
      </c>
      <c r="J496" s="80"/>
      <c r="K496" s="80"/>
      <c r="L496" s="75" t="s">
        <v>665</v>
      </c>
    </row>
    <row r="497" spans="1:12" ht="39" customHeight="1">
      <c r="A497" s="75">
        <f t="shared" si="45"/>
        <v>491</v>
      </c>
      <c r="B497" s="90" t="s">
        <v>666</v>
      </c>
      <c r="C497" s="87">
        <f>-372463.1-832.23+181332+275960+7431.19+8389.44+6250</f>
        <v>106067.30000000005</v>
      </c>
      <c r="D497" s="87">
        <f t="shared" si="46"/>
        <v>2121.3000000000466</v>
      </c>
      <c r="E497" s="87">
        <v>103946</v>
      </c>
      <c r="F497" s="87">
        <v>2121.3000000000466</v>
      </c>
      <c r="G497" s="87">
        <f t="shared" si="47"/>
        <v>106067.30000000005</v>
      </c>
      <c r="H497" s="87"/>
      <c r="I497" s="98" t="s">
        <v>214</v>
      </c>
      <c r="J497" s="80"/>
      <c r="K497" s="80"/>
      <c r="L497" s="75" t="s">
        <v>667</v>
      </c>
    </row>
    <row r="498" spans="1:12" ht="14.1" customHeight="1">
      <c r="A498" s="75">
        <f t="shared" si="45"/>
        <v>492</v>
      </c>
      <c r="B498" s="108" t="s">
        <v>668</v>
      </c>
      <c r="C498" s="97">
        <f>SUM(C486:C497)</f>
        <v>21435609.890000001</v>
      </c>
      <c r="D498" s="97">
        <f>SUM(D486:D497)</f>
        <v>376559.890000001</v>
      </c>
      <c r="E498" s="97">
        <f>SUM(E486:E497)</f>
        <v>21059050</v>
      </c>
      <c r="F498" s="97">
        <f>SUM(F486:F497)</f>
        <v>5888215.6612645462</v>
      </c>
      <c r="G498" s="97">
        <f>SUM(G486:G497)</f>
        <v>26947265.661264542</v>
      </c>
      <c r="H498" s="97"/>
      <c r="I498" s="335"/>
      <c r="J498" s="80"/>
      <c r="K498" s="80"/>
    </row>
    <row r="499" spans="1:12" ht="14.1" customHeight="1">
      <c r="A499" s="75">
        <f t="shared" si="45"/>
        <v>493</v>
      </c>
      <c r="B499" s="108"/>
      <c r="C499" s="94"/>
      <c r="D499" s="94"/>
      <c r="E499" s="322"/>
      <c r="F499" s="94"/>
      <c r="G499" s="94"/>
      <c r="H499" s="94"/>
      <c r="I499" s="338"/>
      <c r="J499" s="80"/>
      <c r="K499" s="80"/>
    </row>
    <row r="500" spans="1:12" ht="14.1" customHeight="1">
      <c r="A500" s="75">
        <f t="shared" si="45"/>
        <v>494</v>
      </c>
      <c r="B500" s="76" t="s">
        <v>669</v>
      </c>
      <c r="C500" s="87">
        <v>-567697.8600000001</v>
      </c>
      <c r="D500" s="87">
        <f>C500-E500</f>
        <v>-8515.8600000001024</v>
      </c>
      <c r="E500" s="87">
        <v>-559182</v>
      </c>
      <c r="F500" s="87">
        <v>-3948965.8600000003</v>
      </c>
      <c r="G500" s="87">
        <f>E500+F500</f>
        <v>-4508147.8600000003</v>
      </c>
      <c r="H500" s="87"/>
      <c r="I500" s="98" t="s">
        <v>221</v>
      </c>
      <c r="J500" s="80"/>
      <c r="K500" s="80"/>
    </row>
    <row r="501" spans="1:12" ht="14.1" customHeight="1">
      <c r="A501" s="75">
        <f t="shared" si="45"/>
        <v>495</v>
      </c>
      <c r="B501" s="76" t="s">
        <v>670</v>
      </c>
      <c r="C501" s="87">
        <v>-3835072.13</v>
      </c>
      <c r="D501" s="87">
        <f>C501-E501</f>
        <v>-57526.129999999888</v>
      </c>
      <c r="E501" s="87">
        <v>-3777546</v>
      </c>
      <c r="F501" s="87">
        <v>-57526.129999999888</v>
      </c>
      <c r="G501" s="87">
        <f>E501+F501</f>
        <v>-3835072.13</v>
      </c>
      <c r="H501" s="87"/>
      <c r="I501" s="98" t="s">
        <v>259</v>
      </c>
      <c r="J501" s="80"/>
      <c r="K501" s="80"/>
    </row>
    <row r="502" spans="1:12" ht="14.1" customHeight="1">
      <c r="A502" s="75">
        <f t="shared" si="45"/>
        <v>496</v>
      </c>
      <c r="B502" s="76" t="s">
        <v>671</v>
      </c>
      <c r="C502" s="87">
        <v>-1363411.52</v>
      </c>
      <c r="D502" s="87">
        <f>C502-E502</f>
        <v>-1363.5200000000186</v>
      </c>
      <c r="E502" s="87">
        <v>-1362048</v>
      </c>
      <c r="F502" s="87">
        <v>-1363.5200000000186</v>
      </c>
      <c r="G502" s="87">
        <f>E502+F502</f>
        <v>-1363411.52</v>
      </c>
      <c r="H502" s="87"/>
      <c r="I502" s="98" t="s">
        <v>337</v>
      </c>
      <c r="J502" s="80"/>
      <c r="K502" s="80"/>
    </row>
    <row r="503" spans="1:12" ht="14.1" customHeight="1">
      <c r="A503" s="75">
        <f t="shared" si="45"/>
        <v>497</v>
      </c>
      <c r="B503" s="76" t="s">
        <v>672</v>
      </c>
      <c r="C503" s="87">
        <v>-136388.51</v>
      </c>
      <c r="D503" s="87">
        <f>C503-E503</f>
        <v>-2727.5100000000093</v>
      </c>
      <c r="E503" s="87">
        <v>-133661</v>
      </c>
      <c r="F503" s="87">
        <v>-2727.5100000000093</v>
      </c>
      <c r="G503" s="87">
        <f>E503+F503</f>
        <v>-136388.51</v>
      </c>
      <c r="H503" s="87"/>
      <c r="I503" s="98" t="s">
        <v>214</v>
      </c>
      <c r="J503" s="80"/>
      <c r="K503" s="80"/>
    </row>
    <row r="504" spans="1:12" ht="14.1" customHeight="1">
      <c r="A504" s="75">
        <f t="shared" si="45"/>
        <v>498</v>
      </c>
      <c r="B504" s="76" t="s">
        <v>673</v>
      </c>
      <c r="C504" s="87">
        <v>-136479.04000000001</v>
      </c>
      <c r="D504" s="87">
        <f>C504-E504</f>
        <v>-2730.0400000000081</v>
      </c>
      <c r="E504" s="87">
        <v>-133749</v>
      </c>
      <c r="F504" s="87">
        <v>-2730.0400000000081</v>
      </c>
      <c r="G504" s="87">
        <f>E504+F504</f>
        <v>-136479.04000000001</v>
      </c>
      <c r="H504" s="87"/>
      <c r="I504" s="98" t="s">
        <v>214</v>
      </c>
      <c r="J504" s="80"/>
      <c r="K504" s="80"/>
    </row>
    <row r="505" spans="1:12" ht="14.1" customHeight="1">
      <c r="A505" s="75">
        <f t="shared" si="45"/>
        <v>499</v>
      </c>
      <c r="C505" s="87"/>
      <c r="D505" s="87"/>
      <c r="E505" s="87"/>
      <c r="F505" s="87"/>
      <c r="G505" s="87"/>
      <c r="H505" s="87"/>
      <c r="I505" s="98"/>
      <c r="J505" s="80"/>
      <c r="K505" s="80"/>
    </row>
    <row r="506" spans="1:12" ht="14.1" customHeight="1">
      <c r="A506" s="75">
        <f t="shared" si="45"/>
        <v>500</v>
      </c>
      <c r="B506" s="76" t="s">
        <v>674</v>
      </c>
      <c r="C506" s="87">
        <v>1839861.6099999999</v>
      </c>
      <c r="D506" s="87">
        <f>C506-E506</f>
        <v>-0.39000000013038516</v>
      </c>
      <c r="E506" s="343">
        <v>1839862</v>
      </c>
      <c r="F506" s="87">
        <v>-243878.88847500016</v>
      </c>
      <c r="G506" s="87">
        <f>E506+F506</f>
        <v>1595983.1115249998</v>
      </c>
      <c r="H506" s="87"/>
      <c r="I506" s="98" t="s">
        <v>284</v>
      </c>
      <c r="J506" s="80"/>
      <c r="K506" s="80"/>
      <c r="L506" s="75">
        <v>4310002</v>
      </c>
    </row>
    <row r="507" spans="1:12" ht="14.1" customHeight="1">
      <c r="A507" s="75">
        <f t="shared" si="45"/>
        <v>501</v>
      </c>
      <c r="C507" s="87"/>
      <c r="D507" s="87"/>
      <c r="E507" s="309"/>
      <c r="F507" s="87"/>
      <c r="G507" s="87"/>
      <c r="H507" s="87"/>
      <c r="I507" s="98"/>
      <c r="J507" s="80"/>
      <c r="K507" s="80"/>
    </row>
    <row r="508" spans="1:12" ht="14.1" customHeight="1">
      <c r="A508" s="75">
        <f t="shared" si="45"/>
        <v>502</v>
      </c>
      <c r="B508" s="81" t="s">
        <v>675</v>
      </c>
      <c r="C508" s="87"/>
      <c r="D508" s="321"/>
      <c r="E508" s="347"/>
      <c r="F508" s="87"/>
      <c r="G508" s="87"/>
      <c r="H508" s="87"/>
      <c r="I508" s="98"/>
      <c r="J508" s="80"/>
      <c r="K508" s="80"/>
    </row>
    <row r="509" spans="1:12" ht="13.5" customHeight="1">
      <c r="A509" s="75">
        <f t="shared" si="45"/>
        <v>503</v>
      </c>
      <c r="B509" s="76" t="s">
        <v>676</v>
      </c>
      <c r="C509" s="87">
        <v>-15351</v>
      </c>
      <c r="D509" s="87">
        <f>J509</f>
        <v>0</v>
      </c>
      <c r="E509" s="87">
        <f>C509-D509</f>
        <v>-15351</v>
      </c>
      <c r="F509" s="87">
        <v>0</v>
      </c>
      <c r="G509" s="87">
        <f t="shared" ref="G509:G516" si="48">E509+F509</f>
        <v>-15351</v>
      </c>
      <c r="H509" s="87"/>
      <c r="I509" s="98" t="s">
        <v>284</v>
      </c>
      <c r="J509" s="80"/>
      <c r="K509" s="80"/>
      <c r="L509" s="75">
        <v>4116000</v>
      </c>
    </row>
    <row r="510" spans="1:12" ht="13.5" customHeight="1">
      <c r="A510" s="75">
        <f t="shared" si="45"/>
        <v>504</v>
      </c>
      <c r="B510" s="76" t="s">
        <v>677</v>
      </c>
      <c r="C510" s="87">
        <v>0</v>
      </c>
      <c r="D510" s="87">
        <f t="shared" ref="D510:D516" si="49">C510-E510</f>
        <v>0</v>
      </c>
      <c r="E510" s="87">
        <v>0</v>
      </c>
      <c r="F510" s="87">
        <v>0</v>
      </c>
      <c r="G510" s="87">
        <f t="shared" si="48"/>
        <v>0</v>
      </c>
      <c r="H510" s="87"/>
      <c r="I510" s="98" t="s">
        <v>280</v>
      </c>
      <c r="J510" s="80"/>
      <c r="K510" s="80"/>
      <c r="L510" s="75">
        <v>4117000</v>
      </c>
    </row>
    <row r="511" spans="1:12" ht="13.5" customHeight="1">
      <c r="A511" s="75">
        <f t="shared" si="45"/>
        <v>505</v>
      </c>
      <c r="B511" s="76" t="s">
        <v>678</v>
      </c>
      <c r="C511" s="87">
        <f>-7.2-180714.29</f>
        <v>-180721.49000000002</v>
      </c>
      <c r="D511" s="87">
        <f t="shared" si="49"/>
        <v>-2530.4900000000198</v>
      </c>
      <c r="E511" s="87">
        <v>-178191</v>
      </c>
      <c r="F511" s="87">
        <v>-2530.4900000000198</v>
      </c>
      <c r="G511" s="87">
        <f t="shared" si="48"/>
        <v>-180721.49000000002</v>
      </c>
      <c r="H511" s="87"/>
      <c r="I511" s="98" t="s">
        <v>365</v>
      </c>
      <c r="J511" s="80"/>
      <c r="K511" s="80"/>
      <c r="L511" s="75" t="s">
        <v>679</v>
      </c>
    </row>
    <row r="512" spans="1:12" ht="14.1" customHeight="1">
      <c r="A512" s="75">
        <f t="shared" si="45"/>
        <v>506</v>
      </c>
      <c r="B512" s="76" t="s">
        <v>680</v>
      </c>
      <c r="C512" s="87">
        <v>2069335.87</v>
      </c>
      <c r="D512" s="87">
        <f t="shared" si="49"/>
        <v>31039.870000000112</v>
      </c>
      <c r="E512" s="87">
        <v>2038296</v>
      </c>
      <c r="F512" s="87">
        <v>155606.52000000011</v>
      </c>
      <c r="G512" s="87">
        <f t="shared" si="48"/>
        <v>2193902.52</v>
      </c>
      <c r="H512" s="87"/>
      <c r="I512" s="98" t="s">
        <v>221</v>
      </c>
      <c r="J512" s="80"/>
      <c r="K512" s="80"/>
      <c r="L512" s="75">
        <v>4111005</v>
      </c>
    </row>
    <row r="513" spans="1:12" ht="13.5" customHeight="1">
      <c r="A513" s="75">
        <f t="shared" si="45"/>
        <v>507</v>
      </c>
      <c r="B513" s="76" t="s">
        <v>681</v>
      </c>
      <c r="C513" s="87">
        <f>3336658.47+1171191.15</f>
        <v>4507849.62</v>
      </c>
      <c r="D513" s="87">
        <f>C513-E513</f>
        <v>0</v>
      </c>
      <c r="E513" s="87">
        <f>J513</f>
        <v>4507849.62</v>
      </c>
      <c r="F513" s="87">
        <v>0</v>
      </c>
      <c r="G513" s="87">
        <f t="shared" si="48"/>
        <v>4507849.62</v>
      </c>
      <c r="H513" s="87"/>
      <c r="I513" s="98" t="s">
        <v>284</v>
      </c>
      <c r="J513" s="80">
        <f>C513</f>
        <v>4507849.62</v>
      </c>
      <c r="K513" s="75" t="s">
        <v>682</v>
      </c>
      <c r="L513" s="75" t="s">
        <v>683</v>
      </c>
    </row>
    <row r="514" spans="1:12" ht="13.5" customHeight="1">
      <c r="A514" s="75">
        <f t="shared" si="45"/>
        <v>508</v>
      </c>
      <c r="B514" s="76" t="s">
        <v>684</v>
      </c>
      <c r="C514" s="87">
        <v>-289.13</v>
      </c>
      <c r="D514" s="87">
        <f t="shared" si="49"/>
        <v>-6.1299999999999955</v>
      </c>
      <c r="E514" s="87">
        <v>-283</v>
      </c>
      <c r="F514" s="87">
        <v>-7.1299999999999955</v>
      </c>
      <c r="G514" s="87">
        <f t="shared" si="48"/>
        <v>-290.13</v>
      </c>
      <c r="H514" s="87"/>
      <c r="I514" s="98" t="s">
        <v>685</v>
      </c>
      <c r="J514" s="80"/>
      <c r="L514" s="75">
        <v>4190005</v>
      </c>
    </row>
    <row r="515" spans="1:12" ht="13.5" customHeight="1">
      <c r="A515" s="75">
        <f t="shared" si="45"/>
        <v>509</v>
      </c>
      <c r="B515" s="76" t="s">
        <v>686</v>
      </c>
      <c r="C515" s="87">
        <f>290215.27+4932777.06</f>
        <v>5222992.33</v>
      </c>
      <c r="D515" s="87">
        <f>C515</f>
        <v>5222992.33</v>
      </c>
      <c r="E515" s="87">
        <v>0</v>
      </c>
      <c r="F515" s="87">
        <v>0</v>
      </c>
      <c r="G515" s="87">
        <f t="shared" si="48"/>
        <v>0</v>
      </c>
      <c r="H515" s="87"/>
      <c r="I515" s="98" t="s">
        <v>280</v>
      </c>
      <c r="J515" s="80"/>
      <c r="L515" s="75" t="s">
        <v>687</v>
      </c>
    </row>
    <row r="516" spans="1:12" ht="14.1" customHeight="1">
      <c r="A516" s="75">
        <f t="shared" si="45"/>
        <v>510</v>
      </c>
      <c r="B516" s="90" t="s">
        <v>688</v>
      </c>
      <c r="C516" s="92">
        <v>684535.59000000008</v>
      </c>
      <c r="D516" s="87">
        <f t="shared" si="49"/>
        <v>15059.590000000084</v>
      </c>
      <c r="E516" s="87">
        <v>669476</v>
      </c>
      <c r="F516" s="87">
        <v>0</v>
      </c>
      <c r="G516" s="87">
        <f t="shared" si="48"/>
        <v>669476</v>
      </c>
      <c r="H516" s="87"/>
      <c r="I516" s="98" t="s">
        <v>685</v>
      </c>
      <c r="J516" s="87">
        <v>684535.59000000008</v>
      </c>
      <c r="K516" s="75" t="s">
        <v>689</v>
      </c>
      <c r="L516" s="75">
        <v>4310007</v>
      </c>
    </row>
    <row r="517" spans="1:12" ht="14.1" customHeight="1">
      <c r="A517" s="75">
        <f t="shared" si="45"/>
        <v>511</v>
      </c>
      <c r="B517" s="81" t="s">
        <v>690</v>
      </c>
      <c r="C517" s="110">
        <f>SUM(C509:C516)</f>
        <v>12288351.789999999</v>
      </c>
      <c r="D517" s="110">
        <f>SUM(D509:D516)</f>
        <v>5266555.17</v>
      </c>
      <c r="E517" s="110">
        <f>SUM(E509:E516)</f>
        <v>7021796.6200000001</v>
      </c>
      <c r="F517" s="110">
        <f>SUM(F509:F516)</f>
        <v>153068.90000000008</v>
      </c>
      <c r="G517" s="110">
        <f>SUM(G509:G516)</f>
        <v>7174865.5200000005</v>
      </c>
      <c r="H517" s="110"/>
      <c r="I517" s="354"/>
      <c r="J517" s="80"/>
      <c r="K517" s="80"/>
    </row>
    <row r="518" spans="1:12" ht="14.1" customHeight="1">
      <c r="A518" s="75">
        <f t="shared" si="45"/>
        <v>512</v>
      </c>
      <c r="C518" s="87"/>
      <c r="D518" s="94"/>
      <c r="E518" s="87"/>
      <c r="F518" s="87"/>
      <c r="G518" s="87"/>
      <c r="H518" s="87"/>
      <c r="I518" s="98"/>
      <c r="J518" s="80"/>
      <c r="K518" s="80"/>
    </row>
    <row r="519" spans="1:12" ht="14.1" customHeight="1">
      <c r="A519" s="75">
        <f t="shared" si="45"/>
        <v>513</v>
      </c>
      <c r="C519" s="87"/>
      <c r="D519" s="87"/>
      <c r="E519" s="87"/>
      <c r="F519" s="87"/>
      <c r="G519" s="87"/>
      <c r="H519" s="87"/>
      <c r="I519" s="98"/>
      <c r="J519" s="80"/>
      <c r="K519" s="80"/>
    </row>
    <row r="520" spans="1:12" ht="13.9" customHeight="1">
      <c r="A520" s="75">
        <f t="shared" si="45"/>
        <v>514</v>
      </c>
      <c r="B520" s="81" t="s">
        <v>691</v>
      </c>
      <c r="C520" s="87"/>
      <c r="D520" s="87"/>
      <c r="E520" s="87"/>
      <c r="F520" s="87"/>
      <c r="G520" s="87"/>
      <c r="H520" s="87"/>
      <c r="I520" s="98"/>
      <c r="J520" s="80"/>
      <c r="K520" s="80"/>
    </row>
    <row r="521" spans="1:12" ht="13.9" customHeight="1">
      <c r="A521" s="75">
        <f t="shared" si="45"/>
        <v>515</v>
      </c>
      <c r="B521" s="89" t="s">
        <v>692</v>
      </c>
      <c r="C521" s="87">
        <v>-2143873.2999999998</v>
      </c>
      <c r="D521" s="87">
        <f>C521-E521</f>
        <v>-886776.29999999981</v>
      </c>
      <c r="E521" s="390">
        <v>-1257097</v>
      </c>
      <c r="F521" s="87">
        <v>-140918.22003622132</v>
      </c>
      <c r="G521" s="87">
        <f>E521+F521</f>
        <v>-1398015.2200362212</v>
      </c>
      <c r="H521" s="87"/>
      <c r="I521" s="98" t="s">
        <v>280</v>
      </c>
      <c r="J521" s="80"/>
      <c r="K521" s="80"/>
      <c r="L521" s="310"/>
    </row>
    <row r="522" spans="1:12" ht="14.1" customHeight="1">
      <c r="A522" s="75">
        <f t="shared" si="45"/>
        <v>516</v>
      </c>
      <c r="B522" s="89" t="s">
        <v>693</v>
      </c>
      <c r="C522" s="87">
        <v>-4143717</v>
      </c>
      <c r="D522" s="87">
        <f>C522-E522</f>
        <v>-1877580</v>
      </c>
      <c r="E522" s="390">
        <v>-2266137</v>
      </c>
      <c r="F522" s="87">
        <v>-469374.66569704702</v>
      </c>
      <c r="G522" s="87">
        <f>E522+F522</f>
        <v>-2735511.665697047</v>
      </c>
      <c r="H522" s="87"/>
      <c r="I522" s="98" t="s">
        <v>280</v>
      </c>
      <c r="J522" s="80"/>
      <c r="K522" s="80"/>
      <c r="L522" s="310"/>
    </row>
    <row r="523" spans="1:12" ht="14.1" customHeight="1">
      <c r="A523" s="75">
        <f t="shared" ref="A523:A525" si="50">+A522+1</f>
        <v>517</v>
      </c>
      <c r="B523" s="89" t="s">
        <v>694</v>
      </c>
      <c r="C523" s="87">
        <v>8216488.4500000002</v>
      </c>
      <c r="D523" s="87">
        <f>C523-E523</f>
        <v>505682.45000000019</v>
      </c>
      <c r="E523" s="390">
        <v>7710806</v>
      </c>
      <c r="F523" s="87">
        <v>4873835</v>
      </c>
      <c r="G523" s="87">
        <f>E523+F523</f>
        <v>12584641</v>
      </c>
      <c r="H523" s="87"/>
      <c r="I523" s="98" t="s">
        <v>280</v>
      </c>
      <c r="J523" s="80"/>
      <c r="K523" s="80"/>
      <c r="L523" s="310"/>
    </row>
    <row r="524" spans="1:12" ht="14.1" customHeight="1">
      <c r="A524" s="75">
        <f t="shared" si="50"/>
        <v>518</v>
      </c>
      <c r="B524" s="89" t="s">
        <v>695</v>
      </c>
      <c r="C524" s="87">
        <v>0</v>
      </c>
      <c r="D524" s="87">
        <f>C524-E524</f>
        <v>0</v>
      </c>
      <c r="E524" s="390">
        <v>0</v>
      </c>
      <c r="F524" s="87">
        <v>0</v>
      </c>
      <c r="G524" s="87">
        <f>E524+F524</f>
        <v>0</v>
      </c>
      <c r="H524" s="87"/>
      <c r="I524" s="98" t="s">
        <v>280</v>
      </c>
      <c r="J524" s="80"/>
      <c r="K524" s="80"/>
      <c r="L524" s="391"/>
    </row>
    <row r="525" spans="1:12" ht="14.1" customHeight="1">
      <c r="A525" s="75">
        <f t="shared" si="50"/>
        <v>519</v>
      </c>
      <c r="B525" s="121" t="s">
        <v>696</v>
      </c>
      <c r="C525" s="87">
        <v>0</v>
      </c>
      <c r="D525" s="87">
        <f>C525-E525</f>
        <v>0</v>
      </c>
      <c r="E525" s="392">
        <v>0</v>
      </c>
      <c r="F525" s="87">
        <v>0</v>
      </c>
      <c r="G525" s="87">
        <f>E525+F525</f>
        <v>0</v>
      </c>
      <c r="H525" s="87"/>
      <c r="I525" s="98" t="s">
        <v>280</v>
      </c>
      <c r="J525" s="80"/>
      <c r="K525" s="80"/>
      <c r="L525" s="310"/>
    </row>
    <row r="526" spans="1:12" ht="25.5">
      <c r="A526" s="75">
        <f>+A525+1</f>
        <v>520</v>
      </c>
      <c r="B526" s="81" t="s">
        <v>697</v>
      </c>
      <c r="C526" s="110">
        <f>SUM(C520:C525)</f>
        <v>1928898.1500000004</v>
      </c>
      <c r="D526" s="110">
        <f>SUM(D520:D525)</f>
        <v>-2258673.8499999996</v>
      </c>
      <c r="E526" s="110">
        <f>SUM(E520:E525)</f>
        <v>4187572</v>
      </c>
      <c r="F526" s="110">
        <f>SUM(F520:F525)</f>
        <v>4263542.1142667318</v>
      </c>
      <c r="G526" s="110">
        <f>SUM(G520:G525)</f>
        <v>8451114.1142667308</v>
      </c>
      <c r="H526" s="110"/>
      <c r="I526" s="354"/>
      <c r="J526" s="80"/>
      <c r="K526" s="80"/>
      <c r="L526" s="311" t="s">
        <v>698</v>
      </c>
    </row>
    <row r="527" spans="1:12" ht="14.1" customHeight="1">
      <c r="C527" s="321"/>
      <c r="D527" s="321"/>
      <c r="E527" s="321"/>
      <c r="F527" s="321"/>
      <c r="G527" s="87"/>
      <c r="H527" s="87"/>
      <c r="I527" s="98"/>
      <c r="J527" s="80"/>
      <c r="K527" s="80"/>
    </row>
    <row r="528" spans="1:12" ht="14.1" customHeight="1">
      <c r="B528" s="81"/>
      <c r="C528" s="321"/>
      <c r="D528" s="393"/>
      <c r="E528" s="394"/>
      <c r="F528" s="394"/>
      <c r="G528" s="87"/>
      <c r="H528" s="87"/>
      <c r="I528" s="98"/>
      <c r="J528" s="80"/>
      <c r="K528" s="80"/>
    </row>
    <row r="529" spans="2:11" ht="14.1" customHeight="1">
      <c r="C529" s="395"/>
      <c r="D529" s="393"/>
      <c r="E529" s="394"/>
      <c r="F529" s="394"/>
      <c r="G529" s="87"/>
      <c r="H529" s="339"/>
      <c r="I529" s="98"/>
      <c r="J529" s="80"/>
      <c r="K529" s="80"/>
    </row>
    <row r="530" spans="2:11" ht="14.1" customHeight="1">
      <c r="C530" s="87"/>
      <c r="D530" s="394"/>
      <c r="E530" s="394"/>
      <c r="F530" s="394"/>
      <c r="G530" s="87"/>
      <c r="H530" s="339"/>
      <c r="I530" s="98"/>
      <c r="J530" s="80"/>
      <c r="K530" s="80"/>
    </row>
    <row r="531" spans="2:11" ht="14.1" customHeight="1">
      <c r="C531" s="87"/>
      <c r="D531" s="394"/>
      <c r="E531" s="394"/>
      <c r="F531" s="394"/>
      <c r="G531" s="87"/>
      <c r="H531" s="87"/>
      <c r="I531" s="98"/>
      <c r="J531" s="80"/>
      <c r="K531" s="80"/>
    </row>
    <row r="532" spans="2:11" ht="14.1" customHeight="1">
      <c r="C532" s="87"/>
      <c r="D532" s="394"/>
      <c r="E532" s="394"/>
      <c r="F532" s="394"/>
      <c r="G532" s="87"/>
      <c r="H532" s="87"/>
      <c r="I532" s="98"/>
      <c r="J532" s="80"/>
      <c r="K532" s="80"/>
    </row>
    <row r="533" spans="2:11" ht="14.1" customHeight="1">
      <c r="B533" s="81"/>
      <c r="D533" s="321"/>
      <c r="E533" s="321"/>
      <c r="F533" s="394"/>
      <c r="G533" s="87"/>
      <c r="H533" s="87"/>
      <c r="I533" s="98"/>
      <c r="J533" s="80"/>
      <c r="K533" s="80"/>
    </row>
    <row r="534" spans="2:11" ht="14.1" customHeight="1">
      <c r="C534" s="394"/>
      <c r="D534" s="393"/>
      <c r="E534" s="394"/>
      <c r="F534" s="394"/>
      <c r="G534" s="87"/>
      <c r="H534" s="87"/>
      <c r="I534" s="98"/>
      <c r="J534" s="80"/>
      <c r="K534" s="80"/>
    </row>
    <row r="535" spans="2:11" ht="14.1" customHeight="1">
      <c r="C535" s="87"/>
      <c r="D535" s="394"/>
      <c r="E535" s="394"/>
      <c r="F535" s="394"/>
      <c r="G535" s="87"/>
      <c r="H535" s="87"/>
      <c r="I535" s="98"/>
      <c r="J535" s="80"/>
      <c r="K535" s="80"/>
    </row>
    <row r="536" spans="2:11" ht="14.1" customHeight="1">
      <c r="C536" s="87"/>
      <c r="D536" s="394"/>
      <c r="E536" s="394"/>
      <c r="F536" s="394"/>
      <c r="G536" s="87"/>
      <c r="H536" s="87"/>
      <c r="I536" s="98"/>
      <c r="J536" s="80"/>
      <c r="K536" s="80"/>
    </row>
    <row r="537" spans="2:11" ht="14.1" customHeight="1">
      <c r="C537" s="87"/>
      <c r="D537" s="394"/>
      <c r="E537" s="394"/>
      <c r="F537" s="394"/>
      <c r="G537" s="87"/>
      <c r="H537" s="87"/>
      <c r="I537" s="98"/>
      <c r="J537" s="80"/>
      <c r="K537" s="80"/>
    </row>
    <row r="538" spans="2:11" ht="14.1" customHeight="1">
      <c r="C538" s="87"/>
      <c r="D538" s="394"/>
      <c r="E538" s="394"/>
      <c r="F538" s="394"/>
      <c r="G538" s="87"/>
      <c r="H538" s="87"/>
      <c r="I538" s="98"/>
      <c r="J538" s="396"/>
      <c r="K538" s="396"/>
    </row>
    <row r="539" spans="2:11" ht="14.1" customHeight="1">
      <c r="C539" s="87"/>
      <c r="D539" s="394"/>
      <c r="E539" s="394"/>
      <c r="F539" s="394"/>
      <c r="G539" s="87"/>
      <c r="H539" s="87"/>
      <c r="I539" s="98"/>
      <c r="J539" s="80"/>
      <c r="K539" s="80"/>
    </row>
    <row r="540" spans="2:11" ht="14.1" customHeight="1">
      <c r="B540" s="81"/>
      <c r="C540" s="394"/>
      <c r="D540" s="394"/>
      <c r="E540" s="394"/>
      <c r="F540" s="394"/>
      <c r="G540" s="87"/>
      <c r="H540" s="87"/>
      <c r="I540" s="397"/>
      <c r="J540" s="80"/>
      <c r="K540" s="80"/>
    </row>
    <row r="541" spans="2:11" ht="14.1" customHeight="1">
      <c r="C541" s="87"/>
      <c r="D541" s="394"/>
      <c r="E541" s="394"/>
      <c r="F541" s="394"/>
      <c r="G541" s="87"/>
      <c r="H541" s="87"/>
      <c r="I541" s="98"/>
      <c r="J541" s="398"/>
      <c r="K541" s="398"/>
    </row>
    <row r="542" spans="2:11" ht="14.1" customHeight="1">
      <c r="B542" s="81"/>
      <c r="C542" s="394"/>
      <c r="D542" s="394"/>
      <c r="E542" s="394"/>
      <c r="F542" s="394"/>
      <c r="G542" s="87"/>
      <c r="H542" s="87"/>
      <c r="I542" s="98"/>
      <c r="J542" s="394"/>
      <c r="K542" s="394"/>
    </row>
    <row r="543" spans="2:11" ht="14.1" customHeight="1">
      <c r="E543" s="399"/>
      <c r="F543" s="399"/>
      <c r="G543" s="87"/>
      <c r="H543" s="87"/>
      <c r="I543" s="98"/>
      <c r="J543" s="398"/>
      <c r="K543" s="398"/>
    </row>
    <row r="544" spans="2:11" ht="14.1" customHeight="1">
      <c r="B544" s="81"/>
      <c r="C544" s="400"/>
      <c r="D544" s="401"/>
      <c r="E544" s="401"/>
      <c r="F544" s="402"/>
      <c r="G544" s="87"/>
      <c r="H544" s="87"/>
      <c r="I544" s="98"/>
      <c r="J544" s="398"/>
      <c r="K544" s="398"/>
    </row>
    <row r="545" spans="2:11" ht="14.1" customHeight="1">
      <c r="D545" s="403"/>
      <c r="E545" s="403"/>
      <c r="F545" s="399"/>
      <c r="G545" s="87"/>
      <c r="H545" s="87"/>
      <c r="I545" s="98"/>
      <c r="J545" s="309"/>
      <c r="K545" s="309"/>
    </row>
    <row r="546" spans="2:11" ht="14.1" customHeight="1">
      <c r="B546" s="144"/>
      <c r="C546" s="80"/>
      <c r="D546" s="393"/>
      <c r="E546" s="399"/>
      <c r="F546" s="399"/>
      <c r="G546" s="87"/>
      <c r="H546" s="87"/>
      <c r="I546" s="98"/>
      <c r="J546" s="309"/>
      <c r="K546" s="309"/>
    </row>
    <row r="547" spans="2:11" ht="14.1" customHeight="1">
      <c r="E547" s="402"/>
      <c r="F547" s="402"/>
      <c r="G547" s="87"/>
      <c r="H547" s="87"/>
      <c r="I547" s="397"/>
      <c r="J547" s="309"/>
      <c r="K547" s="309"/>
    </row>
    <row r="548" spans="2:11" ht="14.1" customHeight="1">
      <c r="E548" s="399"/>
      <c r="F548" s="399"/>
      <c r="G548" s="87"/>
      <c r="H548" s="87"/>
      <c r="I548" s="397"/>
      <c r="J548" s="309"/>
      <c r="K548" s="309"/>
    </row>
    <row r="549" spans="2:11" ht="14.1" customHeight="1">
      <c r="E549" s="399"/>
      <c r="F549" s="399"/>
      <c r="G549" s="87"/>
      <c r="H549" s="87"/>
      <c r="I549" s="397"/>
      <c r="J549" s="309"/>
      <c r="K549" s="309"/>
    </row>
    <row r="550" spans="2:11" ht="14.1" customHeight="1">
      <c r="E550" s="404"/>
      <c r="F550" s="404"/>
      <c r="G550" s="87"/>
      <c r="H550" s="87"/>
      <c r="I550" s="397"/>
      <c r="J550" s="309"/>
      <c r="K550" s="309"/>
    </row>
    <row r="551" spans="2:11" ht="14.1" customHeight="1">
      <c r="E551" s="399"/>
      <c r="F551" s="399"/>
      <c r="G551" s="87"/>
      <c r="H551" s="87"/>
      <c r="I551" s="397"/>
      <c r="J551" s="309"/>
      <c r="K551" s="309"/>
    </row>
    <row r="552" spans="2:11" ht="14.1" customHeight="1">
      <c r="E552" s="399"/>
      <c r="F552" s="399"/>
      <c r="G552" s="87"/>
      <c r="H552" s="87"/>
      <c r="I552" s="397"/>
      <c r="J552" s="309"/>
      <c r="K552" s="309"/>
    </row>
    <row r="553" spans="2:11" ht="14.1" customHeight="1">
      <c r="E553" s="399"/>
      <c r="F553" s="399"/>
      <c r="G553" s="87"/>
      <c r="H553" s="87"/>
      <c r="I553" s="397"/>
      <c r="J553" s="309"/>
      <c r="K553" s="309"/>
    </row>
    <row r="554" spans="2:11" ht="14.1" customHeight="1">
      <c r="E554" s="399"/>
      <c r="F554" s="399"/>
      <c r="G554" s="87"/>
      <c r="H554" s="87"/>
      <c r="I554" s="397"/>
      <c r="J554" s="309"/>
      <c r="K554" s="309"/>
    </row>
    <row r="555" spans="2:11" ht="14.1" customHeight="1">
      <c r="E555" s="399"/>
      <c r="F555" s="399"/>
      <c r="G555" s="87"/>
      <c r="H555" s="87"/>
      <c r="I555" s="397"/>
      <c r="J555" s="309"/>
      <c r="K555" s="309"/>
    </row>
    <row r="556" spans="2:11" ht="14.1" customHeight="1">
      <c r="E556" s="399"/>
      <c r="F556" s="399"/>
      <c r="G556" s="87"/>
      <c r="H556" s="87"/>
      <c r="I556" s="397"/>
      <c r="J556" s="309"/>
      <c r="K556" s="309"/>
    </row>
    <row r="557" spans="2:11" ht="14.1" customHeight="1">
      <c r="E557" s="399"/>
      <c r="F557" s="399"/>
      <c r="G557" s="87"/>
      <c r="H557" s="87"/>
      <c r="I557" s="397"/>
      <c r="J557" s="309"/>
      <c r="K557" s="309"/>
    </row>
    <row r="558" spans="2:11" ht="14.1" customHeight="1">
      <c r="E558" s="399"/>
      <c r="F558" s="399"/>
      <c r="G558" s="87"/>
      <c r="H558" s="87"/>
      <c r="I558" s="397"/>
      <c r="J558" s="309"/>
      <c r="K558" s="309"/>
    </row>
    <row r="559" spans="2:11" ht="14.1" customHeight="1">
      <c r="E559" s="399"/>
      <c r="F559" s="399"/>
      <c r="G559" s="87"/>
      <c r="H559" s="87"/>
      <c r="I559" s="397"/>
      <c r="J559" s="309"/>
      <c r="K559" s="309"/>
    </row>
    <row r="560" spans="2:11" ht="14.1" customHeight="1">
      <c r="E560" s="399"/>
      <c r="F560" s="399"/>
      <c r="G560" s="87"/>
      <c r="H560" s="87"/>
      <c r="I560" s="397"/>
      <c r="J560" s="309"/>
      <c r="K560" s="309"/>
    </row>
    <row r="561" spans="5:11" ht="14.1" customHeight="1">
      <c r="E561" s="399"/>
      <c r="F561" s="399"/>
      <c r="G561" s="87"/>
      <c r="H561" s="87"/>
      <c r="I561" s="397"/>
      <c r="J561" s="309"/>
      <c r="K561" s="309"/>
    </row>
    <row r="562" spans="5:11" ht="14.1" customHeight="1">
      <c r="E562" s="399"/>
      <c r="F562" s="399"/>
      <c r="G562" s="87"/>
      <c r="H562" s="87"/>
      <c r="I562" s="397"/>
      <c r="J562" s="309"/>
      <c r="K562" s="309"/>
    </row>
    <row r="563" spans="5:11" ht="14.1" customHeight="1">
      <c r="E563" s="399"/>
      <c r="F563" s="399"/>
      <c r="G563" s="87"/>
      <c r="H563" s="87"/>
      <c r="I563" s="397"/>
      <c r="J563" s="309"/>
      <c r="K563" s="309"/>
    </row>
    <row r="564" spans="5:11" ht="14.1" customHeight="1">
      <c r="E564" s="399"/>
      <c r="F564" s="399"/>
      <c r="G564" s="87"/>
      <c r="H564" s="87"/>
      <c r="I564" s="397"/>
      <c r="J564" s="309"/>
      <c r="K564" s="309"/>
    </row>
    <row r="565" spans="5:11" ht="14.1" customHeight="1">
      <c r="E565" s="399"/>
      <c r="F565" s="399"/>
      <c r="G565" s="87"/>
      <c r="H565" s="87"/>
      <c r="I565" s="397"/>
      <c r="J565" s="309"/>
      <c r="K565" s="309"/>
    </row>
    <row r="566" spans="5:11" ht="14.1" customHeight="1">
      <c r="E566" s="399"/>
      <c r="F566" s="399"/>
      <c r="G566" s="87"/>
      <c r="H566" s="87"/>
      <c r="I566" s="397"/>
      <c r="J566" s="309"/>
      <c r="K566" s="309"/>
    </row>
    <row r="567" spans="5:11" ht="14.1" customHeight="1">
      <c r="E567" s="399"/>
      <c r="F567" s="399"/>
      <c r="G567" s="87"/>
      <c r="H567" s="87"/>
      <c r="I567" s="397"/>
      <c r="J567" s="309"/>
      <c r="K567" s="309"/>
    </row>
    <row r="568" spans="5:11" ht="14.1" customHeight="1">
      <c r="E568" s="399"/>
      <c r="F568" s="399"/>
      <c r="G568" s="87"/>
      <c r="H568" s="87"/>
      <c r="I568" s="397"/>
      <c r="J568" s="309"/>
      <c r="K568" s="309"/>
    </row>
    <row r="569" spans="5:11" ht="14.1" customHeight="1">
      <c r="E569" s="399"/>
      <c r="F569" s="399"/>
      <c r="G569" s="87"/>
      <c r="H569" s="87"/>
      <c r="I569" s="397"/>
      <c r="J569" s="309"/>
      <c r="K569" s="309"/>
    </row>
    <row r="570" spans="5:11" ht="14.1" customHeight="1">
      <c r="E570" s="399"/>
      <c r="F570" s="399"/>
      <c r="G570" s="87"/>
      <c r="H570" s="87"/>
      <c r="I570" s="397"/>
      <c r="J570" s="309"/>
      <c r="K570" s="309"/>
    </row>
    <row r="571" spans="5:11" ht="14.1" customHeight="1">
      <c r="E571" s="399"/>
      <c r="F571" s="399"/>
      <c r="G571" s="87"/>
      <c r="H571" s="87"/>
      <c r="I571" s="397"/>
      <c r="J571" s="309"/>
      <c r="K571" s="309"/>
    </row>
    <row r="572" spans="5:11" ht="14.1" customHeight="1">
      <c r="E572" s="399"/>
      <c r="F572" s="399"/>
      <c r="G572" s="87"/>
      <c r="H572" s="87"/>
      <c r="I572" s="397"/>
      <c r="J572" s="309"/>
      <c r="K572" s="309"/>
    </row>
    <row r="573" spans="5:11" ht="14.1" customHeight="1">
      <c r="E573" s="399"/>
      <c r="F573" s="399"/>
      <c r="G573" s="87"/>
      <c r="H573" s="87"/>
      <c r="I573" s="397"/>
      <c r="J573" s="309"/>
      <c r="K573" s="309"/>
    </row>
    <row r="574" spans="5:11" ht="14.1" customHeight="1">
      <c r="E574" s="399"/>
      <c r="F574" s="399"/>
      <c r="G574" s="87"/>
      <c r="H574" s="87"/>
      <c r="I574" s="397"/>
      <c r="J574" s="309"/>
      <c r="K574" s="309"/>
    </row>
    <row r="575" spans="5:11" ht="14.1" customHeight="1">
      <c r="E575" s="399"/>
      <c r="F575" s="399"/>
      <c r="G575" s="87"/>
      <c r="H575" s="87"/>
      <c r="I575" s="397"/>
      <c r="J575" s="309"/>
      <c r="K575" s="309"/>
    </row>
    <row r="576" spans="5:11" ht="14.1" customHeight="1">
      <c r="E576" s="399"/>
      <c r="F576" s="399"/>
      <c r="G576" s="87"/>
      <c r="H576" s="87"/>
      <c r="I576" s="397"/>
      <c r="J576" s="309"/>
      <c r="K576" s="309"/>
    </row>
    <row r="577" spans="5:11" ht="14.1" customHeight="1">
      <c r="E577" s="399"/>
      <c r="F577" s="399"/>
      <c r="G577" s="87"/>
      <c r="H577" s="87"/>
      <c r="I577" s="397"/>
      <c r="J577" s="309"/>
      <c r="K577" s="309"/>
    </row>
    <row r="578" spans="5:11" ht="14.1" customHeight="1">
      <c r="E578" s="399"/>
      <c r="F578" s="399"/>
      <c r="G578" s="87"/>
      <c r="H578" s="87"/>
      <c r="I578" s="397"/>
      <c r="J578" s="309"/>
      <c r="K578" s="309"/>
    </row>
    <row r="579" spans="5:11" ht="14.1" customHeight="1">
      <c r="E579" s="399"/>
      <c r="F579" s="399"/>
      <c r="G579" s="87"/>
      <c r="H579" s="87"/>
      <c r="I579" s="397"/>
      <c r="J579" s="309"/>
      <c r="K579" s="309"/>
    </row>
    <row r="580" spans="5:11" ht="14.1" customHeight="1">
      <c r="E580" s="399"/>
      <c r="F580" s="399"/>
      <c r="G580" s="87"/>
      <c r="H580" s="87"/>
      <c r="I580" s="397"/>
      <c r="J580" s="309"/>
      <c r="K580" s="309"/>
    </row>
    <row r="581" spans="5:11" ht="14.1" customHeight="1">
      <c r="E581" s="399"/>
      <c r="F581" s="399"/>
      <c r="G581" s="87"/>
      <c r="H581" s="87"/>
      <c r="I581" s="397"/>
      <c r="J581" s="309"/>
      <c r="K581" s="309"/>
    </row>
    <row r="582" spans="5:11" ht="14.1" customHeight="1">
      <c r="E582" s="399"/>
      <c r="F582" s="399"/>
      <c r="G582" s="87"/>
      <c r="H582" s="87"/>
      <c r="I582" s="397"/>
      <c r="J582" s="309"/>
      <c r="K582" s="309"/>
    </row>
    <row r="583" spans="5:11" ht="14.1" customHeight="1">
      <c r="E583" s="399"/>
      <c r="F583" s="399"/>
      <c r="G583" s="87"/>
      <c r="H583" s="87"/>
      <c r="I583" s="397"/>
      <c r="J583" s="309"/>
      <c r="K583" s="309"/>
    </row>
    <row r="584" spans="5:11" ht="14.1" customHeight="1">
      <c r="E584" s="399"/>
      <c r="F584" s="399"/>
      <c r="G584" s="87"/>
      <c r="H584" s="87"/>
      <c r="I584" s="397"/>
      <c r="J584" s="309"/>
      <c r="K584" s="309"/>
    </row>
    <row r="585" spans="5:11" ht="14.1" customHeight="1">
      <c r="E585" s="399"/>
      <c r="F585" s="399"/>
      <c r="G585" s="87"/>
      <c r="H585" s="87"/>
      <c r="I585" s="397"/>
      <c r="J585" s="309"/>
      <c r="K585" s="309"/>
    </row>
    <row r="586" spans="5:11" ht="14.1" customHeight="1">
      <c r="E586" s="399"/>
      <c r="F586" s="399"/>
      <c r="G586" s="87"/>
      <c r="H586" s="87"/>
      <c r="I586" s="397"/>
      <c r="J586" s="309"/>
      <c r="K586" s="309"/>
    </row>
    <row r="587" spans="5:11" ht="14.1" customHeight="1">
      <c r="E587" s="399"/>
      <c r="F587" s="399"/>
      <c r="G587" s="87"/>
      <c r="H587" s="87"/>
      <c r="I587" s="397"/>
      <c r="J587" s="309"/>
      <c r="K587" s="309"/>
    </row>
    <row r="588" spans="5:11" ht="14.1" customHeight="1">
      <c r="E588" s="399"/>
      <c r="F588" s="399"/>
      <c r="G588" s="87"/>
      <c r="H588" s="87"/>
      <c r="I588" s="397"/>
      <c r="J588" s="309"/>
      <c r="K588" s="309"/>
    </row>
    <row r="589" spans="5:11" ht="14.1" customHeight="1">
      <c r="E589" s="399"/>
      <c r="F589" s="399"/>
      <c r="G589" s="87"/>
      <c r="H589" s="87"/>
      <c r="I589" s="397"/>
      <c r="J589" s="309"/>
      <c r="K589" s="309"/>
    </row>
    <row r="590" spans="5:11" ht="14.1" customHeight="1">
      <c r="E590" s="399"/>
      <c r="F590" s="399"/>
      <c r="G590" s="87"/>
      <c r="H590" s="87"/>
      <c r="I590" s="397"/>
      <c r="J590" s="309"/>
      <c r="K590" s="309"/>
    </row>
    <row r="591" spans="5:11" ht="14.1" customHeight="1">
      <c r="E591" s="399"/>
      <c r="F591" s="399"/>
      <c r="G591" s="87"/>
      <c r="H591" s="87"/>
      <c r="I591" s="397"/>
      <c r="J591" s="309"/>
      <c r="K591" s="309"/>
    </row>
    <row r="592" spans="5:11" ht="14.1" customHeight="1">
      <c r="E592" s="399"/>
      <c r="F592" s="399"/>
      <c r="G592" s="87"/>
      <c r="H592" s="87"/>
      <c r="I592" s="397"/>
      <c r="J592" s="309"/>
      <c r="K592" s="309"/>
    </row>
    <row r="593" spans="5:11" ht="14.1" customHeight="1">
      <c r="E593" s="399"/>
      <c r="F593" s="399"/>
      <c r="G593" s="87"/>
      <c r="H593" s="87"/>
      <c r="I593" s="397"/>
      <c r="J593" s="309"/>
      <c r="K593" s="309"/>
    </row>
    <row r="594" spans="5:11" ht="14.1" customHeight="1">
      <c r="E594" s="399"/>
      <c r="F594" s="399"/>
      <c r="G594" s="87"/>
      <c r="H594" s="87"/>
      <c r="I594" s="397"/>
      <c r="J594" s="309"/>
      <c r="K594" s="309"/>
    </row>
    <row r="595" spans="5:11" ht="14.1" customHeight="1">
      <c r="E595" s="399"/>
      <c r="F595" s="399"/>
      <c r="G595" s="87"/>
      <c r="H595" s="87"/>
      <c r="I595" s="397"/>
      <c r="J595" s="309"/>
      <c r="K595" s="309"/>
    </row>
    <row r="596" spans="5:11" ht="14.1" customHeight="1">
      <c r="E596" s="399"/>
      <c r="F596" s="399"/>
      <c r="G596" s="87"/>
      <c r="H596" s="87"/>
      <c r="I596" s="397"/>
      <c r="J596" s="309"/>
      <c r="K596" s="309"/>
    </row>
    <row r="597" spans="5:11" ht="14.1" customHeight="1">
      <c r="E597" s="399"/>
      <c r="F597" s="399"/>
      <c r="G597" s="87"/>
      <c r="H597" s="87"/>
      <c r="I597" s="397"/>
      <c r="J597" s="309"/>
      <c r="K597" s="309"/>
    </row>
    <row r="598" spans="5:11" ht="14.1" customHeight="1">
      <c r="E598" s="399"/>
      <c r="F598" s="399"/>
      <c r="G598" s="87"/>
      <c r="H598" s="87"/>
      <c r="I598" s="397"/>
      <c r="J598" s="309"/>
      <c r="K598" s="309"/>
    </row>
    <row r="599" spans="5:11" ht="14.1" customHeight="1">
      <c r="E599" s="399"/>
      <c r="F599" s="399"/>
      <c r="G599" s="405"/>
      <c r="H599" s="405"/>
      <c r="I599" s="399"/>
      <c r="J599" s="397"/>
      <c r="K599" s="397"/>
    </row>
    <row r="600" spans="5:11" ht="14.1" customHeight="1">
      <c r="E600" s="399"/>
      <c r="F600" s="399"/>
      <c r="G600" s="405"/>
      <c r="H600" s="405"/>
      <c r="I600" s="399"/>
      <c r="J600" s="397"/>
      <c r="K600" s="397"/>
    </row>
    <row r="601" spans="5:11" ht="14.1" customHeight="1">
      <c r="E601" s="399"/>
      <c r="F601" s="399"/>
      <c r="G601" s="405"/>
      <c r="H601" s="405"/>
      <c r="I601" s="399"/>
      <c r="J601" s="397"/>
      <c r="K601" s="397"/>
    </row>
    <row r="602" spans="5:11" ht="14.1" customHeight="1">
      <c r="E602" s="399"/>
      <c r="F602" s="399"/>
      <c r="G602" s="405"/>
      <c r="H602" s="405"/>
      <c r="I602" s="399"/>
      <c r="J602" s="397"/>
      <c r="K602" s="397"/>
    </row>
    <row r="603" spans="5:11" ht="14.1" customHeight="1">
      <c r="E603" s="399"/>
      <c r="F603" s="399"/>
      <c r="G603" s="405"/>
      <c r="H603" s="405"/>
      <c r="I603" s="399"/>
      <c r="J603" s="397"/>
      <c r="K603" s="397"/>
    </row>
    <row r="604" spans="5:11" ht="14.1" customHeight="1">
      <c r="E604" s="399"/>
      <c r="F604" s="399"/>
      <c r="G604" s="405"/>
      <c r="H604" s="405"/>
      <c r="I604" s="399"/>
      <c r="J604" s="397"/>
      <c r="K604" s="397"/>
    </row>
    <row r="605" spans="5:11" ht="14.1" customHeight="1">
      <c r="E605" s="399"/>
      <c r="F605" s="399"/>
      <c r="G605" s="405"/>
      <c r="H605" s="405"/>
      <c r="I605" s="399"/>
      <c r="J605" s="397"/>
      <c r="K605" s="397"/>
    </row>
    <row r="606" spans="5:11" ht="14.1" customHeight="1">
      <c r="E606" s="399"/>
      <c r="F606" s="399"/>
      <c r="G606" s="405"/>
      <c r="H606" s="405"/>
      <c r="I606" s="399"/>
      <c r="J606" s="397"/>
      <c r="K606" s="397"/>
    </row>
    <row r="607" spans="5:11" ht="14.1" customHeight="1">
      <c r="E607" s="399"/>
      <c r="F607" s="399"/>
      <c r="G607" s="405"/>
      <c r="H607" s="405"/>
      <c r="I607" s="399"/>
      <c r="J607" s="397"/>
      <c r="K607" s="397"/>
    </row>
    <row r="608" spans="5:11" ht="14.1" customHeight="1">
      <c r="E608" s="399"/>
      <c r="F608" s="399"/>
      <c r="G608" s="405"/>
      <c r="H608" s="405"/>
      <c r="I608" s="399"/>
      <c r="J608" s="397"/>
      <c r="K608" s="397"/>
    </row>
    <row r="609" spans="5:11" ht="14.1" customHeight="1">
      <c r="E609" s="399"/>
      <c r="F609" s="399"/>
      <c r="G609" s="405"/>
      <c r="H609" s="405"/>
      <c r="I609" s="399"/>
      <c r="J609" s="397"/>
      <c r="K609" s="397"/>
    </row>
    <row r="610" spans="5:11" ht="14.1" customHeight="1">
      <c r="E610" s="399"/>
      <c r="F610" s="399"/>
      <c r="G610" s="405"/>
      <c r="H610" s="405"/>
      <c r="I610" s="399"/>
      <c r="J610" s="397"/>
      <c r="K610" s="397"/>
    </row>
    <row r="611" spans="5:11" ht="14.1" customHeight="1">
      <c r="E611" s="399"/>
      <c r="F611" s="399"/>
      <c r="G611" s="405"/>
      <c r="H611" s="405"/>
      <c r="I611" s="399"/>
      <c r="J611" s="397"/>
      <c r="K611" s="397"/>
    </row>
    <row r="612" spans="5:11" ht="14.1" customHeight="1">
      <c r="E612" s="399"/>
      <c r="F612" s="399"/>
      <c r="G612" s="405"/>
      <c r="H612" s="405"/>
      <c r="I612" s="399"/>
      <c r="J612" s="397"/>
      <c r="K612" s="397"/>
    </row>
    <row r="613" spans="5:11" ht="14.1" customHeight="1">
      <c r="E613" s="399"/>
      <c r="F613" s="399"/>
      <c r="G613" s="405"/>
      <c r="H613" s="405"/>
      <c r="I613" s="399"/>
      <c r="J613" s="397"/>
      <c r="K613" s="397"/>
    </row>
    <row r="614" spans="5:11" ht="14.1" customHeight="1">
      <c r="E614" s="399"/>
      <c r="F614" s="399"/>
      <c r="G614" s="405"/>
      <c r="H614" s="405"/>
      <c r="I614" s="399"/>
      <c r="J614" s="397"/>
      <c r="K614" s="397"/>
    </row>
    <row r="615" spans="5:11" ht="14.1" customHeight="1">
      <c r="E615" s="399"/>
      <c r="F615" s="399"/>
      <c r="G615" s="405"/>
      <c r="H615" s="405"/>
      <c r="I615" s="399"/>
      <c r="J615" s="397"/>
      <c r="K615" s="397"/>
    </row>
    <row r="616" spans="5:11" ht="14.1" customHeight="1">
      <c r="E616" s="399"/>
      <c r="F616" s="399"/>
      <c r="G616" s="405"/>
      <c r="H616" s="405"/>
      <c r="I616" s="399"/>
      <c r="J616" s="397"/>
      <c r="K616" s="397"/>
    </row>
    <row r="617" spans="5:11" ht="14.1" customHeight="1">
      <c r="E617" s="399"/>
      <c r="F617" s="399"/>
      <c r="G617" s="405"/>
      <c r="H617" s="405"/>
      <c r="I617" s="399"/>
      <c r="J617" s="397"/>
      <c r="K617" s="397"/>
    </row>
    <row r="618" spans="5:11" ht="14.1" customHeight="1">
      <c r="E618" s="399"/>
      <c r="F618" s="399"/>
      <c r="G618" s="405"/>
      <c r="H618" s="405"/>
      <c r="I618" s="399"/>
      <c r="J618" s="397"/>
      <c r="K618" s="397"/>
    </row>
    <row r="619" spans="5:11" ht="14.1" customHeight="1">
      <c r="E619" s="399"/>
      <c r="F619" s="399"/>
      <c r="G619" s="405"/>
      <c r="H619" s="405"/>
      <c r="I619" s="399"/>
      <c r="J619" s="397"/>
      <c r="K619" s="397"/>
    </row>
    <row r="620" spans="5:11" ht="14.1" customHeight="1">
      <c r="E620" s="399"/>
      <c r="F620" s="399"/>
      <c r="G620" s="405"/>
      <c r="H620" s="405"/>
      <c r="I620" s="399"/>
      <c r="J620" s="397"/>
      <c r="K620" s="397"/>
    </row>
    <row r="621" spans="5:11" ht="14.1" customHeight="1">
      <c r="E621" s="399"/>
      <c r="F621" s="399"/>
      <c r="G621" s="405"/>
      <c r="H621" s="405"/>
      <c r="I621" s="399"/>
      <c r="J621" s="397"/>
      <c r="K621" s="397"/>
    </row>
    <row r="622" spans="5:11" ht="14.1" customHeight="1">
      <c r="E622" s="399"/>
      <c r="F622" s="399"/>
      <c r="G622" s="405"/>
      <c r="H622" s="405"/>
      <c r="I622" s="399"/>
      <c r="J622" s="397"/>
      <c r="K622" s="397"/>
    </row>
    <row r="623" spans="5:11" ht="14.1" customHeight="1">
      <c r="E623" s="399"/>
      <c r="F623" s="399"/>
      <c r="G623" s="405"/>
      <c r="H623" s="405"/>
      <c r="I623" s="399"/>
      <c r="J623" s="397"/>
      <c r="K623" s="397"/>
    </row>
    <row r="624" spans="5:11" ht="14.1" customHeight="1">
      <c r="E624" s="399"/>
      <c r="F624" s="399"/>
      <c r="G624" s="405"/>
      <c r="H624" s="405"/>
      <c r="I624" s="399"/>
      <c r="J624" s="397"/>
      <c r="K624" s="397"/>
    </row>
    <row r="625" spans="5:11" ht="14.1" customHeight="1">
      <c r="E625" s="399"/>
      <c r="F625" s="399"/>
      <c r="G625" s="405"/>
      <c r="H625" s="405"/>
      <c r="I625" s="399"/>
      <c r="J625" s="397"/>
      <c r="K625" s="397"/>
    </row>
    <row r="626" spans="5:11" ht="14.1" customHeight="1">
      <c r="E626" s="399"/>
      <c r="F626" s="399"/>
      <c r="G626" s="405"/>
      <c r="H626" s="405"/>
      <c r="I626" s="399"/>
      <c r="J626" s="397"/>
      <c r="K626" s="397"/>
    </row>
    <row r="627" spans="5:11" ht="14.1" customHeight="1">
      <c r="E627" s="399"/>
      <c r="F627" s="399"/>
      <c r="G627" s="405"/>
      <c r="H627" s="405"/>
      <c r="I627" s="399"/>
      <c r="J627" s="397"/>
      <c r="K627" s="397"/>
    </row>
    <row r="628" spans="5:11" ht="14.1" customHeight="1">
      <c r="E628" s="399"/>
      <c r="F628" s="399"/>
      <c r="G628" s="405"/>
      <c r="H628" s="405"/>
      <c r="I628" s="399"/>
      <c r="J628" s="397"/>
      <c r="K628" s="397"/>
    </row>
    <row r="629" spans="5:11" ht="14.1" customHeight="1">
      <c r="E629" s="399"/>
      <c r="F629" s="399"/>
      <c r="G629" s="405"/>
      <c r="H629" s="405"/>
      <c r="I629" s="399"/>
      <c r="J629" s="397"/>
      <c r="K629" s="397"/>
    </row>
    <row r="630" spans="5:11" ht="14.1" customHeight="1">
      <c r="E630" s="399"/>
      <c r="F630" s="399"/>
      <c r="G630" s="405"/>
      <c r="H630" s="405"/>
      <c r="I630" s="399"/>
      <c r="J630" s="397"/>
      <c r="K630" s="397"/>
    </row>
    <row r="631" spans="5:11" ht="14.1" customHeight="1">
      <c r="E631" s="399"/>
      <c r="F631" s="399"/>
      <c r="G631" s="405"/>
      <c r="H631" s="405"/>
      <c r="I631" s="399"/>
      <c r="J631" s="397"/>
      <c r="K631" s="397"/>
    </row>
    <row r="632" spans="5:11" ht="14.1" customHeight="1">
      <c r="E632" s="399"/>
      <c r="F632" s="399"/>
      <c r="G632" s="405"/>
      <c r="H632" s="405"/>
      <c r="I632" s="399"/>
      <c r="J632" s="397"/>
      <c r="K632" s="397"/>
    </row>
    <row r="633" spans="5:11" ht="14.1" customHeight="1">
      <c r="E633" s="399"/>
      <c r="F633" s="399"/>
      <c r="G633" s="405"/>
      <c r="H633" s="405"/>
      <c r="I633" s="399"/>
      <c r="J633" s="397"/>
      <c r="K633" s="397"/>
    </row>
    <row r="634" spans="5:11" ht="14.1" customHeight="1">
      <c r="E634" s="399"/>
      <c r="F634" s="399"/>
      <c r="G634" s="405"/>
      <c r="H634" s="405"/>
      <c r="I634" s="399"/>
      <c r="J634" s="397"/>
      <c r="K634" s="397"/>
    </row>
    <row r="635" spans="5:11" ht="14.1" customHeight="1">
      <c r="E635" s="399"/>
      <c r="F635" s="399"/>
      <c r="G635" s="405"/>
      <c r="H635" s="405"/>
      <c r="I635" s="399"/>
      <c r="J635" s="397"/>
      <c r="K635" s="397"/>
    </row>
    <row r="636" spans="5:11" ht="14.1" customHeight="1">
      <c r="E636" s="399"/>
      <c r="F636" s="399"/>
      <c r="G636" s="405"/>
      <c r="H636" s="405"/>
      <c r="I636" s="399"/>
      <c r="J636" s="397"/>
      <c r="K636" s="397"/>
    </row>
    <row r="637" spans="5:11" ht="14.1" customHeight="1">
      <c r="E637" s="399"/>
      <c r="F637" s="399"/>
      <c r="G637" s="405"/>
      <c r="H637" s="405"/>
      <c r="I637" s="399"/>
      <c r="J637" s="397"/>
      <c r="K637" s="397"/>
    </row>
    <row r="638" spans="5:11" ht="14.1" customHeight="1">
      <c r="E638" s="399"/>
      <c r="F638" s="399"/>
      <c r="G638" s="405"/>
      <c r="H638" s="405"/>
      <c r="I638" s="399"/>
      <c r="J638" s="397"/>
      <c r="K638" s="397"/>
    </row>
    <row r="639" spans="5:11" ht="14.1" customHeight="1">
      <c r="E639" s="399"/>
      <c r="F639" s="399"/>
      <c r="G639" s="405"/>
      <c r="H639" s="405"/>
      <c r="I639" s="399"/>
      <c r="J639" s="397"/>
      <c r="K639" s="397"/>
    </row>
    <row r="640" spans="5:11" ht="14.1" customHeight="1">
      <c r="E640" s="399"/>
      <c r="F640" s="399"/>
      <c r="G640" s="405"/>
      <c r="H640" s="405"/>
      <c r="I640" s="399"/>
      <c r="J640" s="397"/>
      <c r="K640" s="397"/>
    </row>
    <row r="641" spans="5:11" ht="14.1" customHeight="1">
      <c r="E641" s="399"/>
      <c r="F641" s="399"/>
      <c r="G641" s="405"/>
      <c r="H641" s="405"/>
      <c r="I641" s="399"/>
      <c r="J641" s="397"/>
      <c r="K641" s="397"/>
    </row>
    <row r="642" spans="5:11" ht="14.1" customHeight="1">
      <c r="E642" s="399"/>
      <c r="F642" s="399"/>
      <c r="G642" s="405"/>
      <c r="H642" s="405"/>
      <c r="I642" s="399"/>
      <c r="J642" s="397"/>
      <c r="K642" s="397"/>
    </row>
    <row r="643" spans="5:11" ht="14.1" customHeight="1">
      <c r="E643" s="399"/>
      <c r="F643" s="399"/>
      <c r="G643" s="405"/>
      <c r="H643" s="405"/>
      <c r="I643" s="399"/>
      <c r="J643" s="397"/>
      <c r="K643" s="397"/>
    </row>
    <row r="644" spans="5:11" ht="14.1" customHeight="1">
      <c r="E644" s="399"/>
      <c r="F644" s="399"/>
      <c r="G644" s="405"/>
      <c r="H644" s="405"/>
      <c r="I644" s="399"/>
      <c r="J644" s="397"/>
      <c r="K644" s="397"/>
    </row>
    <row r="645" spans="5:11" ht="14.1" customHeight="1">
      <c r="E645" s="399"/>
      <c r="F645" s="399"/>
      <c r="G645" s="405"/>
      <c r="H645" s="405"/>
      <c r="I645" s="399"/>
      <c r="J645" s="397"/>
      <c r="K645" s="397"/>
    </row>
    <row r="646" spans="5:11" ht="14.1" customHeight="1">
      <c r="E646" s="399"/>
      <c r="F646" s="399"/>
      <c r="G646" s="405"/>
      <c r="H646" s="405"/>
      <c r="I646" s="399"/>
      <c r="J646" s="397"/>
      <c r="K646" s="397"/>
    </row>
    <row r="647" spans="5:11" ht="14.1" customHeight="1">
      <c r="E647" s="399"/>
      <c r="F647" s="399"/>
      <c r="G647" s="405"/>
      <c r="H647" s="405"/>
      <c r="I647" s="399"/>
      <c r="J647" s="397"/>
      <c r="K647" s="397"/>
    </row>
    <row r="648" spans="5:11" ht="14.1" customHeight="1">
      <c r="E648" s="399"/>
      <c r="F648" s="399"/>
      <c r="G648" s="405"/>
      <c r="H648" s="405"/>
      <c r="I648" s="399"/>
      <c r="J648" s="397"/>
      <c r="K648" s="397"/>
    </row>
    <row r="649" spans="5:11" ht="14.1" customHeight="1">
      <c r="E649" s="399"/>
      <c r="F649" s="399"/>
      <c r="G649" s="405"/>
      <c r="H649" s="405"/>
      <c r="I649" s="399"/>
      <c r="J649" s="397"/>
      <c r="K649" s="397"/>
    </row>
    <row r="650" spans="5:11" ht="14.1" customHeight="1">
      <c r="E650" s="399"/>
      <c r="F650" s="399"/>
      <c r="G650" s="405"/>
      <c r="H650" s="405"/>
      <c r="I650" s="399"/>
      <c r="J650" s="397"/>
      <c r="K650" s="397"/>
    </row>
    <row r="651" spans="5:11" ht="14.1" customHeight="1">
      <c r="E651" s="399"/>
      <c r="F651" s="399"/>
      <c r="G651" s="405"/>
      <c r="H651" s="405"/>
      <c r="I651" s="399"/>
      <c r="J651" s="397"/>
      <c r="K651" s="397"/>
    </row>
    <row r="652" spans="5:11" ht="14.1" customHeight="1">
      <c r="E652" s="399"/>
      <c r="F652" s="399"/>
      <c r="G652" s="405"/>
      <c r="H652" s="405"/>
      <c r="I652" s="399"/>
      <c r="J652" s="397"/>
      <c r="K652" s="397"/>
    </row>
    <row r="653" spans="5:11" ht="14.1" customHeight="1">
      <c r="E653" s="399"/>
      <c r="F653" s="399"/>
      <c r="G653" s="405"/>
      <c r="H653" s="405"/>
      <c r="I653" s="399"/>
      <c r="J653" s="397"/>
      <c r="K653" s="397"/>
    </row>
    <row r="654" spans="5:11" ht="14.1" customHeight="1">
      <c r="E654" s="399"/>
      <c r="F654" s="399"/>
      <c r="G654" s="405"/>
      <c r="H654" s="405"/>
      <c r="I654" s="399"/>
      <c r="J654" s="397"/>
      <c r="K654" s="397"/>
    </row>
    <row r="655" spans="5:11" ht="14.1" customHeight="1">
      <c r="E655" s="399"/>
      <c r="F655" s="399"/>
      <c r="G655" s="405"/>
      <c r="H655" s="405"/>
      <c r="I655" s="399"/>
      <c r="J655" s="397"/>
      <c r="K655" s="397"/>
    </row>
    <row r="656" spans="5:11" ht="14.1" customHeight="1">
      <c r="E656" s="399"/>
      <c r="F656" s="399"/>
      <c r="G656" s="405"/>
      <c r="H656" s="405"/>
      <c r="I656" s="399"/>
      <c r="J656" s="399"/>
      <c r="K656" s="399"/>
    </row>
    <row r="657" spans="5:11" ht="14.1" customHeight="1">
      <c r="E657" s="399"/>
      <c r="F657" s="399"/>
      <c r="G657" s="405"/>
      <c r="H657" s="405"/>
      <c r="I657" s="399"/>
      <c r="J657" s="399"/>
      <c r="K657" s="399"/>
    </row>
    <row r="658" spans="5:11" ht="14.1" customHeight="1">
      <c r="E658" s="399"/>
      <c r="F658" s="399"/>
      <c r="G658" s="405"/>
      <c r="H658" s="405"/>
      <c r="I658" s="399"/>
      <c r="J658" s="399"/>
      <c r="K658" s="399"/>
    </row>
    <row r="659" spans="5:11" ht="14.1" customHeight="1">
      <c r="E659" s="399"/>
      <c r="F659" s="399"/>
      <c r="G659" s="405"/>
      <c r="H659" s="405"/>
      <c r="I659" s="399"/>
      <c r="J659" s="399"/>
      <c r="K659" s="399"/>
    </row>
    <row r="660" spans="5:11" ht="14.1" customHeight="1">
      <c r="E660" s="399"/>
      <c r="F660" s="399"/>
      <c r="G660" s="405"/>
      <c r="H660" s="405"/>
      <c r="I660" s="399"/>
      <c r="J660" s="399"/>
      <c r="K660" s="399"/>
    </row>
    <row r="661" spans="5:11" ht="14.1" customHeight="1">
      <c r="E661" s="399"/>
      <c r="F661" s="399"/>
      <c r="G661" s="405"/>
      <c r="H661" s="405"/>
      <c r="I661" s="399"/>
      <c r="J661" s="399"/>
      <c r="K661" s="399"/>
    </row>
    <row r="662" spans="5:11" ht="14.1" customHeight="1">
      <c r="E662" s="399"/>
      <c r="F662" s="399"/>
      <c r="G662" s="405"/>
      <c r="H662" s="405"/>
      <c r="I662" s="399"/>
      <c r="J662" s="399"/>
      <c r="K662" s="399"/>
    </row>
    <row r="663" spans="5:11" ht="14.1" customHeight="1">
      <c r="E663" s="399"/>
      <c r="F663" s="399"/>
      <c r="G663" s="405"/>
      <c r="H663" s="405"/>
      <c r="I663" s="399"/>
      <c r="J663" s="399"/>
      <c r="K663" s="399"/>
    </row>
    <row r="664" spans="5:11" ht="14.1" customHeight="1">
      <c r="E664" s="399"/>
      <c r="F664" s="399"/>
      <c r="G664" s="405"/>
      <c r="H664" s="405"/>
      <c r="I664" s="399"/>
      <c r="J664" s="399"/>
      <c r="K664" s="399"/>
    </row>
    <row r="665" spans="5:11" ht="14.1" customHeight="1">
      <c r="E665" s="399"/>
      <c r="F665" s="399"/>
      <c r="G665" s="405"/>
      <c r="H665" s="405"/>
      <c r="I665" s="399"/>
      <c r="J665" s="399"/>
      <c r="K665" s="399"/>
    </row>
    <row r="666" spans="5:11" ht="14.1" customHeight="1">
      <c r="E666" s="399"/>
      <c r="F666" s="399"/>
      <c r="G666" s="405"/>
      <c r="H666" s="405"/>
      <c r="I666" s="399"/>
      <c r="J666" s="399"/>
      <c r="K666" s="399"/>
    </row>
    <row r="667" spans="5:11" ht="14.1" customHeight="1">
      <c r="E667" s="399"/>
      <c r="F667" s="399"/>
      <c r="G667" s="405"/>
      <c r="H667" s="405"/>
      <c r="I667" s="399"/>
      <c r="J667" s="399"/>
      <c r="K667" s="399"/>
    </row>
    <row r="668" spans="5:11" ht="14.1" customHeight="1">
      <c r="E668" s="399"/>
      <c r="F668" s="399"/>
      <c r="G668" s="405"/>
      <c r="H668" s="405"/>
      <c r="I668" s="399"/>
      <c r="J668" s="399"/>
      <c r="K668" s="399"/>
    </row>
    <row r="669" spans="5:11" ht="14.1" customHeight="1">
      <c r="E669" s="399"/>
      <c r="F669" s="399"/>
      <c r="G669" s="405"/>
      <c r="H669" s="405"/>
      <c r="I669" s="399"/>
      <c r="J669" s="399"/>
      <c r="K669" s="399"/>
    </row>
    <row r="670" spans="5:11" ht="14.1" customHeight="1">
      <c r="E670" s="399"/>
      <c r="F670" s="399"/>
      <c r="G670" s="405"/>
      <c r="H670" s="405"/>
      <c r="I670" s="399"/>
      <c r="J670" s="399"/>
      <c r="K670" s="399"/>
    </row>
    <row r="671" spans="5:11" ht="14.1" customHeight="1">
      <c r="E671" s="399"/>
      <c r="F671" s="399"/>
      <c r="G671" s="405"/>
      <c r="H671" s="405"/>
      <c r="I671" s="399"/>
      <c r="J671" s="399"/>
      <c r="K671" s="399"/>
    </row>
    <row r="672" spans="5:11" ht="14.1" customHeight="1">
      <c r="E672" s="399"/>
      <c r="F672" s="399"/>
      <c r="G672" s="405"/>
      <c r="H672" s="405"/>
      <c r="I672" s="399"/>
      <c r="J672" s="399"/>
      <c r="K672" s="399"/>
    </row>
    <row r="673" spans="5:11" ht="14.1" customHeight="1">
      <c r="E673" s="399"/>
      <c r="F673" s="399"/>
      <c r="G673" s="405"/>
      <c r="H673" s="405"/>
      <c r="I673" s="399"/>
      <c r="J673" s="399"/>
      <c r="K673" s="399"/>
    </row>
    <row r="674" spans="5:11" ht="14.1" customHeight="1">
      <c r="E674" s="399"/>
      <c r="F674" s="399"/>
      <c r="G674" s="405"/>
      <c r="H674" s="405"/>
      <c r="I674" s="399"/>
      <c r="J674" s="399"/>
      <c r="K674" s="399"/>
    </row>
    <row r="675" spans="5:11" ht="14.1" customHeight="1">
      <c r="E675" s="399"/>
      <c r="F675" s="399"/>
      <c r="G675" s="405"/>
      <c r="H675" s="405"/>
      <c r="I675" s="399"/>
      <c r="J675" s="399"/>
      <c r="K675" s="399"/>
    </row>
    <row r="676" spans="5:11" ht="14.1" customHeight="1">
      <c r="E676" s="399"/>
      <c r="F676" s="399"/>
      <c r="G676" s="405"/>
      <c r="H676" s="405"/>
      <c r="I676" s="399"/>
      <c r="J676" s="399"/>
      <c r="K676" s="399"/>
    </row>
    <row r="677" spans="5:11" ht="14.1" customHeight="1">
      <c r="E677" s="399"/>
      <c r="F677" s="399"/>
      <c r="G677" s="405"/>
      <c r="H677" s="405"/>
      <c r="I677" s="399"/>
      <c r="J677" s="399"/>
      <c r="K677" s="399"/>
    </row>
    <row r="678" spans="5:11" ht="14.1" customHeight="1">
      <c r="E678" s="399"/>
      <c r="F678" s="399"/>
      <c r="G678" s="405"/>
      <c r="H678" s="405"/>
      <c r="I678" s="399"/>
      <c r="J678" s="399"/>
      <c r="K678" s="399"/>
    </row>
    <row r="679" spans="5:11" ht="14.1" customHeight="1">
      <c r="E679" s="399"/>
      <c r="F679" s="399"/>
      <c r="G679" s="405"/>
      <c r="H679" s="405"/>
      <c r="I679" s="399"/>
      <c r="J679" s="399"/>
      <c r="K679" s="399"/>
    </row>
    <row r="680" spans="5:11" ht="14.1" customHeight="1">
      <c r="E680" s="399"/>
      <c r="F680" s="399"/>
      <c r="G680" s="405"/>
      <c r="H680" s="405"/>
      <c r="I680" s="399"/>
      <c r="J680" s="399"/>
      <c r="K680" s="399"/>
    </row>
    <row r="681" spans="5:11" ht="14.1" customHeight="1">
      <c r="E681" s="399"/>
      <c r="F681" s="399"/>
      <c r="G681" s="405"/>
      <c r="H681" s="405"/>
      <c r="I681" s="399"/>
      <c r="J681" s="399"/>
      <c r="K681" s="399"/>
    </row>
    <row r="682" spans="5:11" ht="14.1" customHeight="1">
      <c r="E682" s="399"/>
      <c r="F682" s="399"/>
      <c r="G682" s="405"/>
      <c r="H682" s="405"/>
      <c r="I682" s="399"/>
      <c r="J682" s="399"/>
      <c r="K682" s="399"/>
    </row>
    <row r="683" spans="5:11" ht="14.1" customHeight="1">
      <c r="E683" s="399"/>
      <c r="F683" s="399"/>
      <c r="G683" s="405"/>
      <c r="H683" s="405"/>
      <c r="I683" s="399"/>
      <c r="J683" s="399"/>
      <c r="K683" s="399"/>
    </row>
    <row r="684" spans="5:11" ht="14.1" customHeight="1">
      <c r="E684" s="399"/>
      <c r="F684" s="399"/>
      <c r="G684" s="405"/>
      <c r="H684" s="405"/>
      <c r="I684" s="399"/>
      <c r="J684" s="399"/>
      <c r="K684" s="399"/>
    </row>
    <row r="685" spans="5:11" ht="14.1" customHeight="1">
      <c r="E685" s="399"/>
      <c r="F685" s="399"/>
      <c r="G685" s="405"/>
      <c r="H685" s="405"/>
      <c r="I685" s="399"/>
      <c r="J685" s="399"/>
      <c r="K685" s="399"/>
    </row>
    <row r="686" spans="5:11" ht="14.1" customHeight="1">
      <c r="E686" s="399"/>
      <c r="F686" s="399"/>
      <c r="G686" s="405"/>
      <c r="H686" s="405"/>
      <c r="I686" s="399"/>
      <c r="J686" s="399"/>
      <c r="K686" s="399"/>
    </row>
    <row r="687" spans="5:11" ht="14.1" customHeight="1">
      <c r="E687" s="399"/>
      <c r="F687" s="399"/>
      <c r="G687" s="405"/>
      <c r="H687" s="405"/>
      <c r="I687" s="399"/>
      <c r="J687" s="399"/>
      <c r="K687" s="399"/>
    </row>
    <row r="688" spans="5:11" ht="14.1" customHeight="1">
      <c r="E688" s="399"/>
      <c r="F688" s="399"/>
      <c r="G688" s="405"/>
      <c r="H688" s="405"/>
      <c r="I688" s="399"/>
      <c r="J688" s="399"/>
      <c r="K688" s="399"/>
    </row>
    <row r="689" spans="1:20" s="309" customFormat="1" ht="14.1" customHeight="1">
      <c r="A689" s="75"/>
      <c r="B689" s="76"/>
      <c r="C689" s="76"/>
      <c r="D689" s="76"/>
      <c r="E689" s="399"/>
      <c r="F689" s="399"/>
      <c r="G689" s="405"/>
      <c r="H689" s="405"/>
      <c r="J689" s="76"/>
      <c r="K689" s="76"/>
      <c r="L689" s="75"/>
      <c r="M689" s="76"/>
      <c r="N689" s="76"/>
      <c r="O689" s="76"/>
      <c r="P689" s="76"/>
      <c r="Q689" s="76"/>
      <c r="R689" s="76"/>
      <c r="S689" s="76"/>
      <c r="T689" s="76"/>
    </row>
    <row r="690" spans="1:20" s="309" customFormat="1" ht="14.1" customHeight="1">
      <c r="A690" s="75"/>
      <c r="B690" s="76"/>
      <c r="C690" s="76"/>
      <c r="D690" s="76"/>
      <c r="E690" s="399"/>
      <c r="F690" s="399"/>
      <c r="G690" s="405"/>
      <c r="H690" s="405"/>
      <c r="J690" s="76"/>
      <c r="K690" s="76"/>
      <c r="L690" s="75"/>
      <c r="M690" s="76"/>
      <c r="N690" s="76"/>
      <c r="O690" s="76"/>
      <c r="P690" s="76"/>
      <c r="Q690" s="76"/>
      <c r="R690" s="76"/>
      <c r="S690" s="76"/>
      <c r="T690" s="76"/>
    </row>
    <row r="691" spans="1:20" s="309" customFormat="1" ht="14.1" customHeight="1">
      <c r="A691" s="75"/>
      <c r="B691" s="76"/>
      <c r="C691" s="76"/>
      <c r="D691" s="76"/>
      <c r="E691" s="399"/>
      <c r="F691" s="399"/>
      <c r="G691" s="405"/>
      <c r="H691" s="405"/>
      <c r="J691" s="76"/>
      <c r="K691" s="76"/>
      <c r="L691" s="75"/>
      <c r="M691" s="76"/>
      <c r="N691" s="76"/>
      <c r="O691" s="76"/>
      <c r="P691" s="76"/>
      <c r="Q691" s="76"/>
      <c r="R691" s="76"/>
      <c r="S691" s="76"/>
      <c r="T691" s="76"/>
    </row>
    <row r="692" spans="1:20" s="309" customFormat="1" ht="14.1" customHeight="1">
      <c r="A692" s="75"/>
      <c r="B692" s="76"/>
      <c r="C692" s="76"/>
      <c r="D692" s="76"/>
      <c r="E692" s="399"/>
      <c r="F692" s="399"/>
      <c r="G692" s="405"/>
      <c r="H692" s="405"/>
      <c r="J692" s="76"/>
      <c r="K692" s="76"/>
      <c r="L692" s="75"/>
      <c r="M692" s="76"/>
      <c r="N692" s="76"/>
      <c r="O692" s="76"/>
      <c r="P692" s="76"/>
      <c r="Q692" s="76"/>
      <c r="R692" s="76"/>
      <c r="S692" s="76"/>
      <c r="T692" s="76"/>
    </row>
    <row r="693" spans="1:20" s="309" customFormat="1" ht="14.1" customHeight="1">
      <c r="A693" s="75"/>
      <c r="B693" s="76"/>
      <c r="C693" s="76"/>
      <c r="D693" s="76"/>
      <c r="E693" s="399"/>
      <c r="F693" s="399"/>
      <c r="G693" s="405"/>
      <c r="H693" s="405"/>
      <c r="J693" s="76"/>
      <c r="K693" s="76"/>
      <c r="L693" s="75"/>
      <c r="M693" s="76"/>
      <c r="N693" s="76"/>
      <c r="O693" s="76"/>
      <c r="P693" s="76"/>
      <c r="Q693" s="76"/>
      <c r="R693" s="76"/>
      <c r="S693" s="76"/>
      <c r="T693" s="76"/>
    </row>
    <row r="694" spans="1:20" s="309" customFormat="1" ht="14.1" customHeight="1">
      <c r="A694" s="75"/>
      <c r="B694" s="76"/>
      <c r="C694" s="76"/>
      <c r="D694" s="76"/>
      <c r="E694" s="399"/>
      <c r="F694" s="399"/>
      <c r="G694" s="405"/>
      <c r="H694" s="405"/>
      <c r="J694" s="76"/>
      <c r="K694" s="76"/>
      <c r="L694" s="75"/>
      <c r="M694" s="76"/>
      <c r="N694" s="76"/>
      <c r="O694" s="76"/>
      <c r="P694" s="76"/>
      <c r="Q694" s="76"/>
      <c r="R694" s="76"/>
      <c r="S694" s="76"/>
      <c r="T694" s="76"/>
    </row>
    <row r="695" spans="1:20" s="309" customFormat="1" ht="14.1" customHeight="1">
      <c r="A695" s="75"/>
      <c r="B695" s="76"/>
      <c r="C695" s="76"/>
      <c r="D695" s="76"/>
      <c r="E695" s="399"/>
      <c r="F695" s="399"/>
      <c r="G695" s="405"/>
      <c r="H695" s="405"/>
      <c r="J695" s="76"/>
      <c r="K695" s="76"/>
      <c r="L695" s="75"/>
      <c r="M695" s="76"/>
      <c r="N695" s="76"/>
      <c r="O695" s="76"/>
      <c r="P695" s="76"/>
      <c r="Q695" s="76"/>
      <c r="R695" s="76"/>
      <c r="S695" s="76"/>
      <c r="T695" s="76"/>
    </row>
    <row r="696" spans="1:20" s="309" customFormat="1" ht="14.1" customHeight="1">
      <c r="A696" s="75"/>
      <c r="B696" s="76"/>
      <c r="C696" s="76"/>
      <c r="D696" s="76"/>
      <c r="E696" s="399"/>
      <c r="F696" s="399"/>
      <c r="G696" s="405"/>
      <c r="H696" s="405"/>
      <c r="J696" s="76"/>
      <c r="K696" s="76"/>
      <c r="L696" s="75"/>
      <c r="M696" s="76"/>
      <c r="N696" s="76"/>
      <c r="O696" s="76"/>
      <c r="P696" s="76"/>
      <c r="Q696" s="76"/>
      <c r="R696" s="76"/>
      <c r="S696" s="76"/>
      <c r="T696" s="76"/>
    </row>
    <row r="697" spans="1:20" s="309" customFormat="1" ht="14.1" customHeight="1">
      <c r="A697" s="75"/>
      <c r="B697" s="76"/>
      <c r="C697" s="76"/>
      <c r="D697" s="76"/>
      <c r="E697" s="399"/>
      <c r="F697" s="399"/>
      <c r="G697" s="405"/>
      <c r="H697" s="405"/>
      <c r="J697" s="76"/>
      <c r="K697" s="76"/>
      <c r="L697" s="75"/>
      <c r="M697" s="76"/>
      <c r="N697" s="76"/>
      <c r="O697" s="76"/>
      <c r="P697" s="76"/>
      <c r="Q697" s="76"/>
      <c r="R697" s="76"/>
      <c r="S697" s="76"/>
      <c r="T697" s="76"/>
    </row>
    <row r="698" spans="1:20" s="309" customFormat="1" ht="14.1" customHeight="1">
      <c r="A698" s="75"/>
      <c r="B698" s="76"/>
      <c r="C698" s="76"/>
      <c r="D698" s="76"/>
      <c r="E698" s="399"/>
      <c r="F698" s="399"/>
      <c r="G698" s="405"/>
      <c r="H698" s="405"/>
      <c r="J698" s="76"/>
      <c r="K698" s="76"/>
      <c r="L698" s="75"/>
      <c r="M698" s="76"/>
      <c r="N698" s="76"/>
      <c r="O698" s="76"/>
      <c r="P698" s="76"/>
      <c r="Q698" s="76"/>
      <c r="R698" s="76"/>
      <c r="S698" s="76"/>
      <c r="T698" s="76"/>
    </row>
    <row r="699" spans="1:20" s="309" customFormat="1" ht="14.1" customHeight="1">
      <c r="A699" s="75"/>
      <c r="B699" s="76"/>
      <c r="C699" s="76"/>
      <c r="D699" s="76"/>
      <c r="E699" s="399"/>
      <c r="F699" s="399"/>
      <c r="G699" s="405"/>
      <c r="H699" s="405"/>
      <c r="J699" s="76"/>
      <c r="K699" s="76"/>
      <c r="L699" s="75"/>
      <c r="M699" s="76"/>
      <c r="N699" s="76"/>
      <c r="O699" s="76"/>
      <c r="P699" s="76"/>
      <c r="Q699" s="76"/>
      <c r="R699" s="76"/>
      <c r="S699" s="76"/>
      <c r="T699" s="76"/>
    </row>
    <row r="700" spans="1:20" s="309" customFormat="1" ht="14.1" customHeight="1">
      <c r="A700" s="75"/>
      <c r="B700" s="76"/>
      <c r="C700" s="76"/>
      <c r="D700" s="76"/>
      <c r="E700" s="399"/>
      <c r="F700" s="399"/>
      <c r="G700" s="405"/>
      <c r="H700" s="405"/>
      <c r="J700" s="76"/>
      <c r="K700" s="76"/>
      <c r="L700" s="75"/>
      <c r="M700" s="76"/>
      <c r="N700" s="76"/>
      <c r="O700" s="76"/>
      <c r="P700" s="76"/>
      <c r="Q700" s="76"/>
      <c r="R700" s="76"/>
      <c r="S700" s="76"/>
      <c r="T700" s="76"/>
    </row>
    <row r="701" spans="1:20" s="309" customFormat="1" ht="14.1" customHeight="1">
      <c r="A701" s="75"/>
      <c r="B701" s="76"/>
      <c r="C701" s="76"/>
      <c r="D701" s="76"/>
      <c r="E701" s="399"/>
      <c r="F701" s="399"/>
      <c r="G701" s="405"/>
      <c r="H701" s="405"/>
      <c r="J701" s="76"/>
      <c r="K701" s="76"/>
      <c r="L701" s="75"/>
      <c r="M701" s="76"/>
      <c r="N701" s="76"/>
      <c r="O701" s="76"/>
      <c r="P701" s="76"/>
      <c r="Q701" s="76"/>
      <c r="R701" s="76"/>
      <c r="S701" s="76"/>
      <c r="T701" s="76"/>
    </row>
    <row r="702" spans="1:20" s="309" customFormat="1" ht="14.1" customHeight="1">
      <c r="A702" s="75"/>
      <c r="B702" s="76"/>
      <c r="C702" s="76"/>
      <c r="D702" s="76"/>
      <c r="E702" s="399"/>
      <c r="F702" s="399"/>
      <c r="G702" s="405"/>
      <c r="H702" s="405"/>
      <c r="J702" s="76"/>
      <c r="K702" s="76"/>
      <c r="L702" s="75"/>
      <c r="M702" s="76"/>
      <c r="N702" s="76"/>
      <c r="O702" s="76"/>
      <c r="P702" s="76"/>
      <c r="Q702" s="76"/>
      <c r="R702" s="76"/>
      <c r="S702" s="76"/>
      <c r="T702" s="76"/>
    </row>
    <row r="703" spans="1:20" s="309" customFormat="1" ht="14.1" customHeight="1">
      <c r="A703" s="75"/>
      <c r="B703" s="76"/>
      <c r="C703" s="76"/>
      <c r="D703" s="76"/>
      <c r="E703" s="399"/>
      <c r="F703" s="399"/>
      <c r="G703" s="405"/>
      <c r="H703" s="405"/>
      <c r="J703" s="76"/>
      <c r="K703" s="76"/>
      <c r="L703" s="75"/>
      <c r="M703" s="76"/>
      <c r="N703" s="76"/>
      <c r="O703" s="76"/>
      <c r="P703" s="76"/>
      <c r="Q703" s="76"/>
      <c r="R703" s="76"/>
      <c r="S703" s="76"/>
      <c r="T703" s="76"/>
    </row>
    <row r="704" spans="1:20" s="309" customFormat="1" ht="14.1" customHeight="1">
      <c r="A704" s="75"/>
      <c r="B704" s="76"/>
      <c r="C704" s="76"/>
      <c r="D704" s="76"/>
      <c r="E704" s="399"/>
      <c r="F704" s="399"/>
      <c r="G704" s="405"/>
      <c r="H704" s="405"/>
      <c r="J704" s="76"/>
      <c r="K704" s="76"/>
      <c r="L704" s="75"/>
      <c r="M704" s="76"/>
      <c r="N704" s="76"/>
      <c r="O704" s="76"/>
      <c r="P704" s="76"/>
      <c r="Q704" s="76"/>
      <c r="R704" s="76"/>
      <c r="S704" s="76"/>
      <c r="T704" s="76"/>
    </row>
    <row r="705" spans="1:20" s="309" customFormat="1" ht="14.1" customHeight="1">
      <c r="A705" s="75"/>
      <c r="B705" s="76"/>
      <c r="C705" s="76"/>
      <c r="D705" s="76"/>
      <c r="E705" s="399"/>
      <c r="F705" s="399"/>
      <c r="G705" s="405"/>
      <c r="H705" s="405"/>
      <c r="J705" s="76"/>
      <c r="K705" s="76"/>
      <c r="L705" s="75"/>
      <c r="M705" s="76"/>
      <c r="N705" s="76"/>
      <c r="O705" s="76"/>
      <c r="P705" s="76"/>
      <c r="Q705" s="76"/>
      <c r="R705" s="76"/>
      <c r="S705" s="76"/>
      <c r="T705" s="76"/>
    </row>
    <row r="706" spans="1:20" s="309" customFormat="1" ht="14.1" customHeight="1">
      <c r="A706" s="75"/>
      <c r="B706" s="76"/>
      <c r="C706" s="76"/>
      <c r="D706" s="76"/>
      <c r="E706" s="399"/>
      <c r="F706" s="399"/>
      <c r="G706" s="405"/>
      <c r="H706" s="405"/>
      <c r="J706" s="76"/>
      <c r="K706" s="76"/>
      <c r="L706" s="75"/>
      <c r="M706" s="76"/>
      <c r="N706" s="76"/>
      <c r="O706" s="76"/>
      <c r="P706" s="76"/>
      <c r="Q706" s="76"/>
      <c r="R706" s="76"/>
      <c r="S706" s="76"/>
      <c r="T706" s="76"/>
    </row>
    <row r="707" spans="1:20" s="309" customFormat="1" ht="14.1" customHeight="1">
      <c r="A707" s="75"/>
      <c r="B707" s="76"/>
      <c r="C707" s="76"/>
      <c r="D707" s="76"/>
      <c r="E707" s="399"/>
      <c r="F707" s="399"/>
      <c r="G707" s="405"/>
      <c r="H707" s="405"/>
      <c r="J707" s="76"/>
      <c r="K707" s="76"/>
      <c r="L707" s="75"/>
      <c r="M707" s="76"/>
      <c r="N707" s="76"/>
      <c r="O707" s="76"/>
      <c r="P707" s="76"/>
      <c r="Q707" s="76"/>
      <c r="R707" s="76"/>
      <c r="S707" s="76"/>
      <c r="T707" s="76"/>
    </row>
    <row r="708" spans="1:20" s="309" customFormat="1" ht="14.1" customHeight="1">
      <c r="A708" s="75"/>
      <c r="B708" s="76"/>
      <c r="C708" s="76"/>
      <c r="D708" s="76"/>
      <c r="E708" s="399"/>
      <c r="F708" s="399"/>
      <c r="G708" s="405"/>
      <c r="H708" s="405"/>
      <c r="J708" s="76"/>
      <c r="K708" s="76"/>
      <c r="L708" s="75"/>
      <c r="M708" s="76"/>
      <c r="N708" s="76"/>
      <c r="O708" s="76"/>
      <c r="P708" s="76"/>
      <c r="Q708" s="76"/>
      <c r="R708" s="76"/>
      <c r="S708" s="76"/>
      <c r="T708" s="76"/>
    </row>
    <row r="709" spans="1:20" s="309" customFormat="1" ht="14.1" customHeight="1">
      <c r="A709" s="75"/>
      <c r="B709" s="76"/>
      <c r="C709" s="76"/>
      <c r="D709" s="76"/>
      <c r="E709" s="399"/>
      <c r="F709" s="399"/>
      <c r="G709" s="405"/>
      <c r="H709" s="405"/>
      <c r="J709" s="76"/>
      <c r="K709" s="76"/>
      <c r="L709" s="75"/>
      <c r="M709" s="76"/>
      <c r="N709" s="76"/>
      <c r="O709" s="76"/>
      <c r="P709" s="76"/>
      <c r="Q709" s="76"/>
      <c r="R709" s="76"/>
      <c r="S709" s="76"/>
      <c r="T709" s="76"/>
    </row>
    <row r="710" spans="1:20" s="309" customFormat="1" ht="14.1" customHeight="1">
      <c r="A710" s="75"/>
      <c r="B710" s="76"/>
      <c r="C710" s="76"/>
      <c r="D710" s="76"/>
      <c r="E710" s="399"/>
      <c r="F710" s="399"/>
      <c r="G710" s="405"/>
      <c r="H710" s="405"/>
      <c r="J710" s="76"/>
      <c r="K710" s="76"/>
      <c r="L710" s="75"/>
      <c r="M710" s="76"/>
      <c r="N710" s="76"/>
      <c r="O710" s="76"/>
      <c r="P710" s="76"/>
      <c r="Q710" s="76"/>
      <c r="R710" s="76"/>
      <c r="S710" s="76"/>
      <c r="T710" s="76"/>
    </row>
    <row r="711" spans="1:20" s="309" customFormat="1" ht="14.1" customHeight="1">
      <c r="A711" s="75"/>
      <c r="B711" s="76"/>
      <c r="C711" s="76"/>
      <c r="D711" s="76"/>
      <c r="E711" s="399"/>
      <c r="F711" s="399"/>
      <c r="G711" s="405"/>
      <c r="H711" s="405"/>
      <c r="J711" s="76"/>
      <c r="K711" s="76"/>
      <c r="L711" s="75"/>
      <c r="M711" s="76"/>
      <c r="N711" s="76"/>
      <c r="O711" s="76"/>
      <c r="P711" s="76"/>
      <c r="Q711" s="76"/>
      <c r="R711" s="76"/>
      <c r="S711" s="76"/>
      <c r="T711" s="76"/>
    </row>
    <row r="712" spans="1:20" s="309" customFormat="1" ht="14.1" customHeight="1">
      <c r="A712" s="75"/>
      <c r="B712" s="76"/>
      <c r="C712" s="76"/>
      <c r="D712" s="76"/>
      <c r="E712" s="399"/>
      <c r="F712" s="399"/>
      <c r="G712" s="405"/>
      <c r="H712" s="405"/>
      <c r="J712" s="76"/>
      <c r="K712" s="76"/>
      <c r="L712" s="75"/>
      <c r="M712" s="76"/>
      <c r="N712" s="76"/>
      <c r="O712" s="76"/>
      <c r="P712" s="76"/>
      <c r="Q712" s="76"/>
      <c r="R712" s="76"/>
      <c r="S712" s="76"/>
      <c r="T712" s="76"/>
    </row>
    <row r="713" spans="1:20" s="309" customFormat="1" ht="14.1" customHeight="1">
      <c r="A713" s="75"/>
      <c r="B713" s="76"/>
      <c r="C713" s="76"/>
      <c r="D713" s="76"/>
      <c r="E713" s="399"/>
      <c r="F713" s="399"/>
      <c r="G713" s="405"/>
      <c r="H713" s="405"/>
      <c r="J713" s="76"/>
      <c r="K713" s="76"/>
      <c r="L713" s="75"/>
      <c r="M713" s="76"/>
      <c r="N713" s="76"/>
      <c r="O713" s="76"/>
      <c r="P713" s="76"/>
      <c r="Q713" s="76"/>
      <c r="R713" s="76"/>
      <c r="S713" s="76"/>
      <c r="T713" s="76"/>
    </row>
    <row r="714" spans="1:20" s="309" customFormat="1" ht="14.1" customHeight="1">
      <c r="A714" s="75"/>
      <c r="B714" s="76"/>
      <c r="C714" s="76"/>
      <c r="D714" s="76"/>
      <c r="E714" s="399"/>
      <c r="F714" s="399"/>
      <c r="G714" s="405"/>
      <c r="H714" s="405"/>
      <c r="J714" s="76"/>
      <c r="K714" s="76"/>
      <c r="L714" s="75"/>
      <c r="M714" s="76"/>
      <c r="N714" s="76"/>
      <c r="O714" s="76"/>
      <c r="P714" s="76"/>
      <c r="Q714" s="76"/>
      <c r="R714" s="76"/>
      <c r="S714" s="76"/>
      <c r="T714" s="76"/>
    </row>
    <row r="715" spans="1:20" s="309" customFormat="1" ht="14.1" customHeight="1">
      <c r="A715" s="75"/>
      <c r="B715" s="76"/>
      <c r="C715" s="76"/>
      <c r="D715" s="76"/>
      <c r="E715" s="399"/>
      <c r="F715" s="399"/>
      <c r="G715" s="405"/>
      <c r="H715" s="405"/>
      <c r="J715" s="76"/>
      <c r="K715" s="76"/>
      <c r="L715" s="75"/>
      <c r="M715" s="76"/>
      <c r="N715" s="76"/>
      <c r="O715" s="76"/>
      <c r="P715" s="76"/>
      <c r="Q715" s="76"/>
      <c r="R715" s="76"/>
      <c r="S715" s="76"/>
      <c r="T715" s="76"/>
    </row>
    <row r="716" spans="1:20" s="309" customFormat="1" ht="14.1" customHeight="1">
      <c r="A716" s="75"/>
      <c r="B716" s="76"/>
      <c r="C716" s="76"/>
      <c r="D716" s="76"/>
      <c r="E716" s="399"/>
      <c r="F716" s="399"/>
      <c r="G716" s="405"/>
      <c r="H716" s="405"/>
      <c r="J716" s="76"/>
      <c r="K716" s="76"/>
      <c r="L716" s="75"/>
      <c r="M716" s="76"/>
      <c r="N716" s="76"/>
      <c r="O716" s="76"/>
      <c r="P716" s="76"/>
      <c r="Q716" s="76"/>
      <c r="R716" s="76"/>
      <c r="S716" s="76"/>
      <c r="T716" s="76"/>
    </row>
    <row r="717" spans="1:20" s="309" customFormat="1" ht="14.1" customHeight="1">
      <c r="A717" s="75"/>
      <c r="B717" s="76"/>
      <c r="C717" s="76"/>
      <c r="D717" s="76"/>
      <c r="E717" s="399"/>
      <c r="F717" s="399"/>
      <c r="G717" s="405"/>
      <c r="H717" s="405"/>
      <c r="J717" s="76"/>
      <c r="K717" s="76"/>
      <c r="L717" s="75"/>
      <c r="M717" s="76"/>
      <c r="N717" s="76"/>
      <c r="O717" s="76"/>
      <c r="P717" s="76"/>
      <c r="Q717" s="76"/>
      <c r="R717" s="76"/>
      <c r="S717" s="76"/>
      <c r="T717" s="76"/>
    </row>
    <row r="718" spans="1:20" s="309" customFormat="1" ht="14.1" customHeight="1">
      <c r="A718" s="75"/>
      <c r="B718" s="76"/>
      <c r="C718" s="76"/>
      <c r="D718" s="76"/>
      <c r="E718" s="399"/>
      <c r="F718" s="399"/>
      <c r="G718" s="405"/>
      <c r="H718" s="405"/>
      <c r="J718" s="76"/>
      <c r="K718" s="76"/>
      <c r="L718" s="75"/>
      <c r="M718" s="76"/>
      <c r="N718" s="76"/>
      <c r="O718" s="76"/>
      <c r="P718" s="76"/>
      <c r="Q718" s="76"/>
      <c r="R718" s="76"/>
      <c r="S718" s="76"/>
      <c r="T718" s="76"/>
    </row>
    <row r="719" spans="1:20" s="309" customFormat="1" ht="14.1" customHeight="1">
      <c r="A719" s="75"/>
      <c r="B719" s="76"/>
      <c r="C719" s="76"/>
      <c r="D719" s="76"/>
      <c r="E719" s="399"/>
      <c r="F719" s="399"/>
      <c r="G719" s="405"/>
      <c r="H719" s="405"/>
      <c r="J719" s="76"/>
      <c r="K719" s="76"/>
      <c r="L719" s="75"/>
      <c r="M719" s="76"/>
      <c r="N719" s="76"/>
      <c r="O719" s="76"/>
      <c r="P719" s="76"/>
      <c r="Q719" s="76"/>
      <c r="R719" s="76"/>
      <c r="S719" s="76"/>
      <c r="T719" s="76"/>
    </row>
    <row r="720" spans="1:20" s="309" customFormat="1" ht="14.1" customHeight="1">
      <c r="A720" s="75"/>
      <c r="B720" s="76"/>
      <c r="C720" s="76"/>
      <c r="D720" s="76"/>
      <c r="E720" s="399"/>
      <c r="F720" s="399"/>
      <c r="G720" s="405"/>
      <c r="H720" s="405"/>
      <c r="J720" s="76"/>
      <c r="K720" s="76"/>
      <c r="L720" s="75"/>
      <c r="M720" s="76"/>
      <c r="N720" s="76"/>
      <c r="O720" s="76"/>
      <c r="P720" s="76"/>
      <c r="Q720" s="76"/>
      <c r="R720" s="76"/>
      <c r="S720" s="76"/>
      <c r="T720" s="76"/>
    </row>
    <row r="721" spans="1:20" s="309" customFormat="1" ht="14.1" customHeight="1">
      <c r="A721" s="75"/>
      <c r="B721" s="76"/>
      <c r="C721" s="76"/>
      <c r="D721" s="76"/>
      <c r="E721" s="399"/>
      <c r="F721" s="399"/>
      <c r="G721" s="405"/>
      <c r="H721" s="405"/>
      <c r="J721" s="76"/>
      <c r="K721" s="76"/>
      <c r="L721" s="75"/>
      <c r="M721" s="76"/>
      <c r="N721" s="76"/>
      <c r="O721" s="76"/>
      <c r="P721" s="76"/>
      <c r="Q721" s="76"/>
      <c r="R721" s="76"/>
      <c r="S721" s="76"/>
      <c r="T721" s="76"/>
    </row>
    <row r="722" spans="1:20" s="309" customFormat="1" ht="14.1" customHeight="1">
      <c r="A722" s="75"/>
      <c r="B722" s="76"/>
      <c r="C722" s="76"/>
      <c r="D722" s="76"/>
      <c r="E722" s="399"/>
      <c r="F722" s="399"/>
      <c r="G722" s="405"/>
      <c r="H722" s="405"/>
      <c r="J722" s="76"/>
      <c r="K722" s="76"/>
      <c r="L722" s="75"/>
      <c r="M722" s="76"/>
      <c r="N722" s="76"/>
      <c r="O722" s="76"/>
      <c r="P722" s="76"/>
      <c r="Q722" s="76"/>
      <c r="R722" s="76"/>
      <c r="S722" s="76"/>
      <c r="T722" s="76"/>
    </row>
    <row r="723" spans="1:20" s="309" customFormat="1" ht="14.1" customHeight="1">
      <c r="A723" s="75"/>
      <c r="B723" s="76"/>
      <c r="C723" s="76"/>
      <c r="D723" s="76"/>
      <c r="E723" s="399"/>
      <c r="F723" s="399"/>
      <c r="G723" s="405"/>
      <c r="H723" s="405"/>
      <c r="J723" s="76"/>
      <c r="K723" s="76"/>
      <c r="L723" s="75"/>
      <c r="M723" s="76"/>
      <c r="N723" s="76"/>
      <c r="O723" s="76"/>
      <c r="P723" s="76"/>
      <c r="Q723" s="76"/>
      <c r="R723" s="76"/>
      <c r="S723" s="76"/>
      <c r="T723" s="76"/>
    </row>
    <row r="724" spans="1:20" s="309" customFormat="1" ht="14.1" customHeight="1">
      <c r="A724" s="75"/>
      <c r="B724" s="76"/>
      <c r="C724" s="76"/>
      <c r="D724" s="76"/>
      <c r="E724" s="399"/>
      <c r="F724" s="399"/>
      <c r="G724" s="405"/>
      <c r="H724" s="405"/>
      <c r="J724" s="76"/>
      <c r="K724" s="76"/>
      <c r="L724" s="75"/>
      <c r="M724" s="76"/>
      <c r="N724" s="76"/>
      <c r="O724" s="76"/>
      <c r="P724" s="76"/>
      <c r="Q724" s="76"/>
      <c r="R724" s="76"/>
      <c r="S724" s="76"/>
      <c r="T724" s="76"/>
    </row>
    <row r="725" spans="1:20" s="309" customFormat="1" ht="14.1" customHeight="1">
      <c r="A725" s="75"/>
      <c r="B725" s="76"/>
      <c r="C725" s="76"/>
      <c r="D725" s="76"/>
      <c r="E725" s="399"/>
      <c r="F725" s="399"/>
      <c r="G725" s="405"/>
      <c r="H725" s="405"/>
      <c r="J725" s="76"/>
      <c r="K725" s="76"/>
      <c r="L725" s="75"/>
      <c r="M725" s="76"/>
      <c r="N725" s="76"/>
      <c r="O725" s="76"/>
      <c r="P725" s="76"/>
      <c r="Q725" s="76"/>
      <c r="R725" s="76"/>
      <c r="S725" s="76"/>
      <c r="T725" s="76"/>
    </row>
    <row r="726" spans="1:20" s="309" customFormat="1" ht="14.1" customHeight="1">
      <c r="A726" s="75"/>
      <c r="B726" s="76"/>
      <c r="C726" s="76"/>
      <c r="D726" s="76"/>
      <c r="E726" s="399"/>
      <c r="F726" s="399"/>
      <c r="G726" s="405"/>
      <c r="H726" s="405"/>
      <c r="J726" s="76"/>
      <c r="K726" s="76"/>
      <c r="L726" s="75"/>
      <c r="M726" s="76"/>
      <c r="N726" s="76"/>
      <c r="O726" s="76"/>
      <c r="P726" s="76"/>
      <c r="Q726" s="76"/>
      <c r="R726" s="76"/>
      <c r="S726" s="76"/>
      <c r="T726" s="76"/>
    </row>
    <row r="727" spans="1:20" s="309" customFormat="1" ht="14.1" customHeight="1">
      <c r="A727" s="75"/>
      <c r="B727" s="76"/>
      <c r="C727" s="76"/>
      <c r="D727" s="76"/>
      <c r="E727" s="399"/>
      <c r="F727" s="399"/>
      <c r="G727" s="405"/>
      <c r="H727" s="405"/>
      <c r="J727" s="76"/>
      <c r="K727" s="76"/>
      <c r="L727" s="75"/>
      <c r="M727" s="76"/>
      <c r="N727" s="76"/>
      <c r="O727" s="76"/>
      <c r="P727" s="76"/>
      <c r="Q727" s="76"/>
      <c r="R727" s="76"/>
      <c r="S727" s="76"/>
      <c r="T727" s="76"/>
    </row>
    <row r="728" spans="1:20" s="309" customFormat="1" ht="14.1" customHeight="1">
      <c r="A728" s="75"/>
      <c r="B728" s="76"/>
      <c r="C728" s="76"/>
      <c r="D728" s="76"/>
      <c r="E728" s="399"/>
      <c r="F728" s="399"/>
      <c r="G728" s="405"/>
      <c r="H728" s="405"/>
      <c r="J728" s="76"/>
      <c r="K728" s="76"/>
      <c r="L728" s="75"/>
      <c r="M728" s="76"/>
      <c r="N728" s="76"/>
      <c r="O728" s="76"/>
      <c r="P728" s="76"/>
      <c r="Q728" s="76"/>
      <c r="R728" s="76"/>
      <c r="S728" s="76"/>
      <c r="T728" s="76"/>
    </row>
    <row r="729" spans="1:20" s="309" customFormat="1" ht="14.1" customHeight="1">
      <c r="A729" s="75"/>
      <c r="B729" s="76"/>
      <c r="C729" s="76"/>
      <c r="D729" s="76"/>
      <c r="E729" s="399"/>
      <c r="F729" s="399"/>
      <c r="G729" s="405"/>
      <c r="H729" s="405"/>
      <c r="J729" s="76"/>
      <c r="K729" s="76"/>
      <c r="L729" s="75"/>
      <c r="M729" s="76"/>
      <c r="N729" s="76"/>
      <c r="O729" s="76"/>
      <c r="P729" s="76"/>
      <c r="Q729" s="76"/>
      <c r="R729" s="76"/>
      <c r="S729" s="76"/>
      <c r="T729" s="76"/>
    </row>
    <row r="730" spans="1:20" s="309" customFormat="1" ht="14.1" customHeight="1">
      <c r="A730" s="75"/>
      <c r="B730" s="76"/>
      <c r="C730" s="76"/>
      <c r="D730" s="76"/>
      <c r="E730" s="399"/>
      <c r="F730" s="399"/>
      <c r="G730" s="405"/>
      <c r="H730" s="405"/>
      <c r="J730" s="76"/>
      <c r="K730" s="76"/>
      <c r="L730" s="75"/>
      <c r="M730" s="76"/>
      <c r="N730" s="76"/>
      <c r="O730" s="76"/>
      <c r="P730" s="76"/>
      <c r="Q730" s="76"/>
      <c r="R730" s="76"/>
      <c r="S730" s="76"/>
      <c r="T730" s="76"/>
    </row>
    <row r="731" spans="1:20" s="309" customFormat="1" ht="14.1" customHeight="1">
      <c r="A731" s="75"/>
      <c r="B731" s="76"/>
      <c r="C731" s="76"/>
      <c r="D731" s="76"/>
      <c r="E731" s="399"/>
      <c r="F731" s="399"/>
      <c r="G731" s="405"/>
      <c r="H731" s="405"/>
      <c r="J731" s="76"/>
      <c r="K731" s="76"/>
      <c r="L731" s="75"/>
      <c r="M731" s="76"/>
      <c r="N731" s="76"/>
      <c r="O731" s="76"/>
      <c r="P731" s="76"/>
      <c r="Q731" s="76"/>
      <c r="R731" s="76"/>
      <c r="S731" s="76"/>
      <c r="T731" s="76"/>
    </row>
    <row r="732" spans="1:20" s="309" customFormat="1" ht="14.1" customHeight="1">
      <c r="A732" s="75"/>
      <c r="B732" s="76"/>
      <c r="C732" s="76"/>
      <c r="D732" s="76"/>
      <c r="E732" s="399"/>
      <c r="F732" s="399"/>
      <c r="G732" s="405"/>
      <c r="H732" s="405"/>
      <c r="J732" s="76"/>
      <c r="K732" s="76"/>
      <c r="L732" s="75"/>
      <c r="M732" s="76"/>
      <c r="N732" s="76"/>
      <c r="O732" s="76"/>
      <c r="P732" s="76"/>
      <c r="Q732" s="76"/>
      <c r="R732" s="76"/>
      <c r="S732" s="76"/>
      <c r="T732" s="76"/>
    </row>
    <row r="733" spans="1:20" s="309" customFormat="1" ht="14.1" customHeight="1">
      <c r="A733" s="75"/>
      <c r="B733" s="76"/>
      <c r="C733" s="76"/>
      <c r="D733" s="76"/>
      <c r="E733" s="399"/>
      <c r="F733" s="399"/>
      <c r="G733" s="405"/>
      <c r="H733" s="405"/>
      <c r="J733" s="76"/>
      <c r="K733" s="76"/>
      <c r="L733" s="75"/>
      <c r="M733" s="76"/>
      <c r="N733" s="76"/>
      <c r="O733" s="76"/>
      <c r="P733" s="76"/>
      <c r="Q733" s="76"/>
      <c r="R733" s="76"/>
      <c r="S733" s="76"/>
      <c r="T733" s="76"/>
    </row>
    <row r="734" spans="1:20" s="309" customFormat="1" ht="14.1" customHeight="1">
      <c r="A734" s="75"/>
      <c r="B734" s="76"/>
      <c r="C734" s="76"/>
      <c r="D734" s="76"/>
      <c r="E734" s="399"/>
      <c r="F734" s="399"/>
      <c r="G734" s="405"/>
      <c r="H734" s="405"/>
      <c r="J734" s="76"/>
      <c r="K734" s="76"/>
      <c r="L734" s="75"/>
      <c r="M734" s="76"/>
      <c r="N734" s="76"/>
      <c r="O734" s="76"/>
      <c r="P734" s="76"/>
      <c r="Q734" s="76"/>
      <c r="R734" s="76"/>
      <c r="S734" s="76"/>
      <c r="T734" s="76"/>
    </row>
    <row r="735" spans="1:20" s="309" customFormat="1" ht="14.1" customHeight="1">
      <c r="A735" s="75"/>
      <c r="B735" s="76"/>
      <c r="C735" s="76"/>
      <c r="D735" s="76"/>
      <c r="E735" s="399"/>
      <c r="F735" s="399"/>
      <c r="G735" s="405"/>
      <c r="H735" s="405"/>
      <c r="J735" s="76"/>
      <c r="K735" s="76"/>
      <c r="L735" s="75"/>
      <c r="M735" s="76"/>
      <c r="N735" s="76"/>
      <c r="O735" s="76"/>
      <c r="P735" s="76"/>
      <c r="Q735" s="76"/>
      <c r="R735" s="76"/>
      <c r="S735" s="76"/>
      <c r="T735" s="76"/>
    </row>
    <row r="736" spans="1:20" s="309" customFormat="1" ht="14.1" customHeight="1">
      <c r="A736" s="75"/>
      <c r="B736" s="76"/>
      <c r="C736" s="76"/>
      <c r="D736" s="76"/>
      <c r="E736" s="399"/>
      <c r="F736" s="399"/>
      <c r="G736" s="405"/>
      <c r="H736" s="405"/>
      <c r="J736" s="76"/>
      <c r="K736" s="76"/>
      <c r="L736" s="75"/>
      <c r="M736" s="76"/>
      <c r="N736" s="76"/>
      <c r="O736" s="76"/>
      <c r="P736" s="76"/>
      <c r="Q736" s="76"/>
      <c r="R736" s="76"/>
      <c r="S736" s="76"/>
      <c r="T736" s="76"/>
    </row>
    <row r="737" spans="1:20" s="309" customFormat="1" ht="14.1" customHeight="1">
      <c r="A737" s="75"/>
      <c r="B737" s="76"/>
      <c r="C737" s="76"/>
      <c r="D737" s="76"/>
      <c r="E737" s="399"/>
      <c r="F737" s="399"/>
      <c r="G737" s="405"/>
      <c r="H737" s="405"/>
      <c r="J737" s="76"/>
      <c r="K737" s="76"/>
      <c r="L737" s="75"/>
      <c r="M737" s="76"/>
      <c r="N737" s="76"/>
      <c r="O737" s="76"/>
      <c r="P737" s="76"/>
      <c r="Q737" s="76"/>
      <c r="R737" s="76"/>
      <c r="S737" s="76"/>
      <c r="T737" s="76"/>
    </row>
    <row r="738" spans="1:20" s="309" customFormat="1" ht="14.1" customHeight="1">
      <c r="A738" s="75"/>
      <c r="B738" s="76"/>
      <c r="C738" s="76"/>
      <c r="D738" s="76"/>
      <c r="E738" s="399"/>
      <c r="F738" s="399"/>
      <c r="G738" s="405"/>
      <c r="H738" s="405"/>
      <c r="J738" s="76"/>
      <c r="K738" s="76"/>
      <c r="L738" s="75"/>
      <c r="M738" s="76"/>
      <c r="N738" s="76"/>
      <c r="O738" s="76"/>
      <c r="P738" s="76"/>
      <c r="Q738" s="76"/>
      <c r="R738" s="76"/>
      <c r="S738" s="76"/>
      <c r="T738" s="76"/>
    </row>
    <row r="739" spans="1:20" s="309" customFormat="1" ht="14.1" customHeight="1">
      <c r="A739" s="75"/>
      <c r="B739" s="76"/>
      <c r="C739" s="76"/>
      <c r="D739" s="76"/>
      <c r="E739" s="399"/>
      <c r="F739" s="399"/>
      <c r="G739" s="405"/>
      <c r="H739" s="405"/>
      <c r="J739" s="76"/>
      <c r="K739" s="76"/>
      <c r="L739" s="75"/>
      <c r="M739" s="76"/>
      <c r="N739" s="76"/>
      <c r="O739" s="76"/>
      <c r="P739" s="76"/>
      <c r="Q739" s="76"/>
      <c r="R739" s="76"/>
      <c r="S739" s="76"/>
      <c r="T739" s="76"/>
    </row>
    <row r="740" spans="1:20" s="309" customFormat="1" ht="14.1" customHeight="1">
      <c r="A740" s="75"/>
      <c r="B740" s="76"/>
      <c r="C740" s="76"/>
      <c r="D740" s="76"/>
      <c r="E740" s="399"/>
      <c r="F740" s="399"/>
      <c r="G740" s="405"/>
      <c r="H740" s="405"/>
      <c r="J740" s="76"/>
      <c r="K740" s="76"/>
      <c r="L740" s="75"/>
      <c r="M740" s="76"/>
      <c r="N740" s="76"/>
      <c r="O740" s="76"/>
      <c r="P740" s="76"/>
      <c r="Q740" s="76"/>
      <c r="R740" s="76"/>
      <c r="S740" s="76"/>
      <c r="T740" s="76"/>
    </row>
    <row r="741" spans="1:20" s="309" customFormat="1" ht="14.1" customHeight="1">
      <c r="A741" s="75"/>
      <c r="B741" s="76"/>
      <c r="C741" s="76"/>
      <c r="D741" s="76"/>
      <c r="E741" s="399"/>
      <c r="F741" s="399"/>
      <c r="G741" s="405"/>
      <c r="H741" s="405"/>
      <c r="J741" s="76"/>
      <c r="K741" s="76"/>
      <c r="L741" s="75"/>
      <c r="M741" s="76"/>
      <c r="N741" s="76"/>
      <c r="O741" s="76"/>
      <c r="P741" s="76"/>
      <c r="Q741" s="76"/>
      <c r="R741" s="76"/>
      <c r="S741" s="76"/>
      <c r="T741" s="76"/>
    </row>
    <row r="742" spans="1:20" s="309" customFormat="1" ht="14.1" customHeight="1">
      <c r="A742" s="75"/>
      <c r="B742" s="76"/>
      <c r="C742" s="76"/>
      <c r="D742" s="76"/>
      <c r="E742" s="399"/>
      <c r="F742" s="399"/>
      <c r="G742" s="405"/>
      <c r="H742" s="405"/>
      <c r="J742" s="76"/>
      <c r="K742" s="76"/>
      <c r="L742" s="75"/>
      <c r="M742" s="76"/>
      <c r="N742" s="76"/>
      <c r="O742" s="76"/>
      <c r="P742" s="76"/>
      <c r="Q742" s="76"/>
      <c r="R742" s="76"/>
      <c r="S742" s="76"/>
      <c r="T742" s="76"/>
    </row>
    <row r="743" spans="1:20" s="309" customFormat="1" ht="14.1" customHeight="1">
      <c r="A743" s="75"/>
      <c r="B743" s="76"/>
      <c r="C743" s="76"/>
      <c r="D743" s="76"/>
      <c r="E743" s="399"/>
      <c r="F743" s="399"/>
      <c r="G743" s="405"/>
      <c r="H743" s="405"/>
      <c r="J743" s="76"/>
      <c r="K743" s="76"/>
      <c r="L743" s="75"/>
      <c r="M743" s="76"/>
      <c r="N743" s="76"/>
      <c r="O743" s="76"/>
      <c r="P743" s="76"/>
      <c r="Q743" s="76"/>
      <c r="R743" s="76"/>
      <c r="S743" s="76"/>
      <c r="T743" s="76"/>
    </row>
    <row r="744" spans="1:20" s="309" customFormat="1" ht="14.1" customHeight="1">
      <c r="A744" s="75"/>
      <c r="B744" s="76"/>
      <c r="C744" s="76"/>
      <c r="D744" s="76"/>
      <c r="E744" s="399"/>
      <c r="F744" s="399"/>
      <c r="G744" s="405"/>
      <c r="H744" s="405"/>
      <c r="J744" s="76"/>
      <c r="K744" s="76"/>
      <c r="L744" s="75"/>
      <c r="M744" s="76"/>
      <c r="N744" s="76"/>
      <c r="O744" s="76"/>
      <c r="P744" s="76"/>
      <c r="Q744" s="76"/>
      <c r="R744" s="76"/>
      <c r="S744" s="76"/>
      <c r="T744" s="76"/>
    </row>
    <row r="745" spans="1:20" s="309" customFormat="1" ht="14.1" customHeight="1">
      <c r="A745" s="75"/>
      <c r="B745" s="76"/>
      <c r="C745" s="76"/>
      <c r="D745" s="76"/>
      <c r="E745" s="399"/>
      <c r="F745" s="399"/>
      <c r="G745" s="405"/>
      <c r="H745" s="405"/>
      <c r="J745" s="76"/>
      <c r="K745" s="76"/>
      <c r="L745" s="75"/>
      <c r="M745" s="76"/>
      <c r="N745" s="76"/>
      <c r="O745" s="76"/>
      <c r="P745" s="76"/>
      <c r="Q745" s="76"/>
      <c r="R745" s="76"/>
      <c r="S745" s="76"/>
      <c r="T745" s="76"/>
    </row>
    <row r="746" spans="1:20" s="309" customFormat="1" ht="14.1" customHeight="1">
      <c r="A746" s="75"/>
      <c r="B746" s="76"/>
      <c r="C746" s="76"/>
      <c r="D746" s="76"/>
      <c r="E746" s="399"/>
      <c r="F746" s="399"/>
      <c r="G746" s="405"/>
      <c r="H746" s="405"/>
      <c r="J746" s="76"/>
      <c r="K746" s="76"/>
      <c r="L746" s="75"/>
      <c r="M746" s="76"/>
      <c r="N746" s="76"/>
      <c r="O746" s="76"/>
      <c r="P746" s="76"/>
      <c r="Q746" s="76"/>
      <c r="R746" s="76"/>
      <c r="S746" s="76"/>
      <c r="T746" s="76"/>
    </row>
    <row r="747" spans="1:20" s="309" customFormat="1" ht="14.1" customHeight="1">
      <c r="A747" s="75"/>
      <c r="B747" s="76"/>
      <c r="C747" s="76"/>
      <c r="D747" s="76"/>
      <c r="E747" s="399"/>
      <c r="F747" s="399"/>
      <c r="G747" s="405"/>
      <c r="H747" s="405"/>
      <c r="J747" s="76"/>
      <c r="K747" s="76"/>
      <c r="L747" s="75"/>
      <c r="M747" s="76"/>
      <c r="N747" s="76"/>
      <c r="O747" s="76"/>
      <c r="P747" s="76"/>
      <c r="Q747" s="76"/>
      <c r="R747" s="76"/>
      <c r="S747" s="76"/>
      <c r="T747" s="76"/>
    </row>
    <row r="748" spans="1:20" s="309" customFormat="1" ht="14.1" customHeight="1">
      <c r="A748" s="75"/>
      <c r="B748" s="76"/>
      <c r="C748" s="76"/>
      <c r="D748" s="76"/>
      <c r="E748" s="399"/>
      <c r="F748" s="399"/>
      <c r="G748" s="405"/>
      <c r="H748" s="405"/>
      <c r="J748" s="76"/>
      <c r="K748" s="76"/>
      <c r="L748" s="75"/>
      <c r="M748" s="76"/>
      <c r="N748" s="76"/>
      <c r="O748" s="76"/>
      <c r="P748" s="76"/>
      <c r="Q748" s="76"/>
      <c r="R748" s="76"/>
      <c r="S748" s="76"/>
      <c r="T748" s="76"/>
    </row>
    <row r="749" spans="1:20" s="309" customFormat="1" ht="14.1" customHeight="1">
      <c r="A749" s="75"/>
      <c r="B749" s="76"/>
      <c r="C749" s="76"/>
      <c r="D749" s="76"/>
      <c r="E749" s="399"/>
      <c r="F749" s="399"/>
      <c r="G749" s="405"/>
      <c r="H749" s="405"/>
      <c r="J749" s="76"/>
      <c r="K749" s="76"/>
      <c r="L749" s="75"/>
      <c r="M749" s="76"/>
      <c r="N749" s="76"/>
      <c r="O749" s="76"/>
      <c r="P749" s="76"/>
      <c r="Q749" s="76"/>
      <c r="R749" s="76"/>
      <c r="S749" s="76"/>
      <c r="T749" s="76"/>
    </row>
    <row r="750" spans="1:20" s="309" customFormat="1" ht="14.1" customHeight="1">
      <c r="A750" s="75"/>
      <c r="B750" s="76"/>
      <c r="C750" s="76"/>
      <c r="D750" s="76"/>
      <c r="E750" s="399"/>
      <c r="F750" s="399"/>
      <c r="G750" s="405"/>
      <c r="H750" s="405"/>
      <c r="J750" s="76"/>
      <c r="K750" s="76"/>
      <c r="L750" s="75"/>
      <c r="M750" s="76"/>
      <c r="N750" s="76"/>
      <c r="O750" s="76"/>
      <c r="P750" s="76"/>
      <c r="Q750" s="76"/>
      <c r="R750" s="76"/>
      <c r="S750" s="76"/>
      <c r="T750" s="76"/>
    </row>
    <row r="751" spans="1:20" s="309" customFormat="1" ht="14.1" customHeight="1">
      <c r="A751" s="75"/>
      <c r="B751" s="76"/>
      <c r="C751" s="76"/>
      <c r="D751" s="76"/>
      <c r="E751" s="399"/>
      <c r="F751" s="399"/>
      <c r="G751" s="405"/>
      <c r="H751" s="405"/>
      <c r="J751" s="76"/>
      <c r="K751" s="76"/>
      <c r="L751" s="75"/>
      <c r="M751" s="76"/>
      <c r="N751" s="76"/>
      <c r="O751" s="76"/>
      <c r="P751" s="76"/>
      <c r="Q751" s="76"/>
      <c r="R751" s="76"/>
      <c r="S751" s="76"/>
      <c r="T751" s="76"/>
    </row>
    <row r="752" spans="1:20" s="309" customFormat="1" ht="14.1" customHeight="1">
      <c r="A752" s="75"/>
      <c r="B752" s="76"/>
      <c r="C752" s="76"/>
      <c r="D752" s="76"/>
      <c r="E752" s="399"/>
      <c r="F752" s="399"/>
      <c r="G752" s="405"/>
      <c r="H752" s="399"/>
      <c r="J752" s="76"/>
      <c r="K752" s="76"/>
      <c r="L752" s="75"/>
      <c r="M752" s="76"/>
      <c r="N752" s="76"/>
      <c r="O752" s="76"/>
      <c r="P752" s="76"/>
      <c r="Q752" s="76"/>
      <c r="R752" s="76"/>
      <c r="S752" s="76"/>
      <c r="T752" s="76"/>
    </row>
    <row r="753" spans="1:20" s="309" customFormat="1" ht="14.1" customHeight="1">
      <c r="A753" s="75"/>
      <c r="B753" s="76"/>
      <c r="C753" s="76"/>
      <c r="D753" s="76"/>
      <c r="E753" s="399"/>
      <c r="F753" s="399"/>
      <c r="G753" s="405"/>
      <c r="H753" s="399"/>
      <c r="J753" s="76"/>
      <c r="K753" s="76"/>
      <c r="L753" s="75"/>
      <c r="M753" s="76"/>
      <c r="N753" s="76"/>
      <c r="O753" s="76"/>
      <c r="P753" s="76"/>
      <c r="Q753" s="76"/>
      <c r="R753" s="76"/>
      <c r="S753" s="76"/>
      <c r="T753" s="76"/>
    </row>
    <row r="754" spans="1:20" s="309" customFormat="1" ht="14.1" customHeight="1">
      <c r="A754" s="75"/>
      <c r="B754" s="76"/>
      <c r="C754" s="76"/>
      <c r="D754" s="76"/>
      <c r="E754" s="399"/>
      <c r="F754" s="399"/>
      <c r="G754" s="405"/>
      <c r="H754" s="399"/>
      <c r="J754" s="76"/>
      <c r="K754" s="76"/>
      <c r="L754" s="75"/>
      <c r="M754" s="76"/>
      <c r="N754" s="76"/>
      <c r="O754" s="76"/>
      <c r="P754" s="76"/>
      <c r="Q754" s="76"/>
      <c r="R754" s="76"/>
      <c r="S754" s="76"/>
      <c r="T754" s="76"/>
    </row>
    <row r="755" spans="1:20" s="309" customFormat="1" ht="14.1" customHeight="1">
      <c r="A755" s="75"/>
      <c r="B755" s="76"/>
      <c r="C755" s="76"/>
      <c r="D755" s="76"/>
      <c r="E755" s="399"/>
      <c r="F755" s="399"/>
      <c r="G755" s="405"/>
      <c r="H755" s="399"/>
      <c r="J755" s="76"/>
      <c r="K755" s="76"/>
      <c r="L755" s="75"/>
      <c r="M755" s="76"/>
      <c r="N755" s="76"/>
      <c r="O755" s="76"/>
      <c r="P755" s="76"/>
      <c r="Q755" s="76"/>
      <c r="R755" s="76"/>
      <c r="S755" s="76"/>
      <c r="T755" s="76"/>
    </row>
    <row r="756" spans="1:20" s="309" customFormat="1" ht="14.1" customHeight="1">
      <c r="A756" s="75"/>
      <c r="B756" s="76"/>
      <c r="C756" s="76"/>
      <c r="D756" s="76"/>
      <c r="E756" s="399"/>
      <c r="F756" s="399"/>
      <c r="G756" s="405"/>
      <c r="H756" s="399"/>
      <c r="J756" s="76"/>
      <c r="K756" s="76"/>
      <c r="L756" s="75"/>
      <c r="M756" s="76"/>
      <c r="N756" s="76"/>
      <c r="O756" s="76"/>
      <c r="P756" s="76"/>
      <c r="Q756" s="76"/>
      <c r="R756" s="76"/>
      <c r="S756" s="76"/>
      <c r="T756" s="76"/>
    </row>
    <row r="757" spans="1:20" s="309" customFormat="1" ht="14.1" customHeight="1">
      <c r="A757" s="75"/>
      <c r="B757" s="76"/>
      <c r="C757" s="76"/>
      <c r="D757" s="76"/>
      <c r="E757" s="399"/>
      <c r="F757" s="399"/>
      <c r="G757" s="405"/>
      <c r="H757" s="399"/>
      <c r="J757" s="76"/>
      <c r="K757" s="76"/>
      <c r="L757" s="75"/>
      <c r="M757" s="76"/>
      <c r="N757" s="76"/>
      <c r="O757" s="76"/>
      <c r="P757" s="76"/>
      <c r="Q757" s="76"/>
      <c r="R757" s="76"/>
      <c r="S757" s="76"/>
      <c r="T757" s="76"/>
    </row>
    <row r="758" spans="1:20" s="309" customFormat="1" ht="14.1" customHeight="1">
      <c r="A758" s="75"/>
      <c r="B758" s="76"/>
      <c r="C758" s="76"/>
      <c r="D758" s="76"/>
      <c r="E758" s="399"/>
      <c r="F758" s="399"/>
      <c r="G758" s="405"/>
      <c r="H758" s="399"/>
      <c r="J758" s="76"/>
      <c r="K758" s="76"/>
      <c r="L758" s="75"/>
      <c r="M758" s="76"/>
      <c r="N758" s="76"/>
      <c r="O758" s="76"/>
      <c r="P758" s="76"/>
      <c r="Q758" s="76"/>
      <c r="R758" s="76"/>
      <c r="S758" s="76"/>
      <c r="T758" s="76"/>
    </row>
    <row r="759" spans="1:20" s="309" customFormat="1" ht="14.1" customHeight="1">
      <c r="A759" s="75"/>
      <c r="B759" s="76"/>
      <c r="C759" s="76"/>
      <c r="D759" s="76"/>
      <c r="E759" s="399"/>
      <c r="F759" s="399"/>
      <c r="G759" s="405"/>
      <c r="H759" s="399"/>
      <c r="J759" s="76"/>
      <c r="K759" s="76"/>
      <c r="L759" s="75"/>
      <c r="M759" s="76"/>
      <c r="N759" s="76"/>
      <c r="O759" s="76"/>
      <c r="P759" s="76"/>
      <c r="Q759" s="76"/>
      <c r="R759" s="76"/>
      <c r="S759" s="76"/>
      <c r="T759" s="76"/>
    </row>
    <row r="760" spans="1:20" s="309" customFormat="1" ht="14.1" customHeight="1">
      <c r="A760" s="75"/>
      <c r="B760" s="76"/>
      <c r="C760" s="76"/>
      <c r="D760" s="76"/>
      <c r="E760" s="399"/>
      <c r="F760" s="399"/>
      <c r="G760" s="405"/>
      <c r="H760" s="399"/>
      <c r="J760" s="76"/>
      <c r="K760" s="76"/>
      <c r="L760" s="75"/>
      <c r="M760" s="76"/>
      <c r="N760" s="76"/>
      <c r="O760" s="76"/>
      <c r="P760" s="76"/>
      <c r="Q760" s="76"/>
      <c r="R760" s="76"/>
      <c r="S760" s="76"/>
      <c r="T760" s="76"/>
    </row>
    <row r="761" spans="1:20" s="309" customFormat="1" ht="14.1" customHeight="1">
      <c r="A761" s="75"/>
      <c r="B761" s="76"/>
      <c r="C761" s="76"/>
      <c r="D761" s="76"/>
      <c r="E761" s="399"/>
      <c r="F761" s="399"/>
      <c r="G761" s="405"/>
      <c r="H761" s="399"/>
      <c r="J761" s="76"/>
      <c r="K761" s="76"/>
      <c r="L761" s="75"/>
      <c r="M761" s="76"/>
      <c r="N761" s="76"/>
      <c r="O761" s="76"/>
      <c r="P761" s="76"/>
      <c r="Q761" s="76"/>
      <c r="R761" s="76"/>
      <c r="S761" s="76"/>
      <c r="T761" s="76"/>
    </row>
    <row r="762" spans="1:20" s="309" customFormat="1" ht="14.1" customHeight="1">
      <c r="A762" s="75"/>
      <c r="B762" s="76"/>
      <c r="C762" s="76"/>
      <c r="D762" s="76"/>
      <c r="E762" s="399"/>
      <c r="F762" s="399"/>
      <c r="G762" s="405"/>
      <c r="H762" s="399"/>
      <c r="J762" s="76"/>
      <c r="K762" s="76"/>
      <c r="L762" s="75"/>
      <c r="M762" s="76"/>
      <c r="N762" s="76"/>
      <c r="O762" s="76"/>
      <c r="P762" s="76"/>
      <c r="Q762" s="76"/>
      <c r="R762" s="76"/>
      <c r="S762" s="76"/>
      <c r="T762" s="76"/>
    </row>
    <row r="763" spans="1:20" s="309" customFormat="1" ht="14.1" customHeight="1">
      <c r="A763" s="75"/>
      <c r="B763" s="76"/>
      <c r="C763" s="76"/>
      <c r="D763" s="76"/>
      <c r="E763" s="399"/>
      <c r="F763" s="399"/>
      <c r="G763" s="405"/>
      <c r="H763" s="399"/>
      <c r="J763" s="76"/>
      <c r="K763" s="76"/>
      <c r="L763" s="75"/>
      <c r="M763" s="76"/>
      <c r="N763" s="76"/>
      <c r="O763" s="76"/>
      <c r="P763" s="76"/>
      <c r="Q763" s="76"/>
      <c r="R763" s="76"/>
      <c r="S763" s="76"/>
      <c r="T763" s="76"/>
    </row>
    <row r="764" spans="1:20" s="309" customFormat="1" ht="14.1" customHeight="1">
      <c r="A764" s="75"/>
      <c r="B764" s="76"/>
      <c r="C764" s="76"/>
      <c r="D764" s="76"/>
      <c r="E764" s="399"/>
      <c r="F764" s="399"/>
      <c r="G764" s="405"/>
      <c r="H764" s="399"/>
      <c r="J764" s="76"/>
      <c r="K764" s="76"/>
      <c r="L764" s="75"/>
      <c r="M764" s="76"/>
      <c r="N764" s="76"/>
      <c r="O764" s="76"/>
      <c r="P764" s="76"/>
      <c r="Q764" s="76"/>
      <c r="R764" s="76"/>
      <c r="S764" s="76"/>
      <c r="T764" s="76"/>
    </row>
    <row r="765" spans="1:20" s="309" customFormat="1" ht="14.1" customHeight="1">
      <c r="A765" s="75"/>
      <c r="B765" s="76"/>
      <c r="C765" s="76"/>
      <c r="D765" s="76"/>
      <c r="E765" s="399"/>
      <c r="F765" s="399"/>
      <c r="G765" s="405"/>
      <c r="H765" s="399"/>
      <c r="J765" s="76"/>
      <c r="K765" s="76"/>
      <c r="L765" s="75"/>
      <c r="M765" s="76"/>
      <c r="N765" s="76"/>
      <c r="O765" s="76"/>
      <c r="P765" s="76"/>
      <c r="Q765" s="76"/>
      <c r="R765" s="76"/>
      <c r="S765" s="76"/>
      <c r="T765" s="76"/>
    </row>
    <row r="766" spans="1:20" s="309" customFormat="1" ht="14.1" customHeight="1">
      <c r="A766" s="75"/>
      <c r="B766" s="76"/>
      <c r="C766" s="76"/>
      <c r="D766" s="76"/>
      <c r="E766" s="399"/>
      <c r="F766" s="399"/>
      <c r="G766" s="405"/>
      <c r="H766" s="399"/>
      <c r="J766" s="76"/>
      <c r="K766" s="76"/>
      <c r="L766" s="75"/>
      <c r="M766" s="76"/>
      <c r="N766" s="76"/>
      <c r="O766" s="76"/>
      <c r="P766" s="76"/>
      <c r="Q766" s="76"/>
      <c r="R766" s="76"/>
      <c r="S766" s="76"/>
      <c r="T766" s="76"/>
    </row>
    <row r="767" spans="1:20" s="309" customFormat="1" ht="14.1" customHeight="1">
      <c r="A767" s="75"/>
      <c r="B767" s="76"/>
      <c r="C767" s="76"/>
      <c r="D767" s="76"/>
      <c r="E767" s="399"/>
      <c r="F767" s="399"/>
      <c r="G767" s="405"/>
      <c r="H767" s="399"/>
      <c r="J767" s="76"/>
      <c r="K767" s="76"/>
      <c r="L767" s="75"/>
      <c r="M767" s="76"/>
      <c r="N767" s="76"/>
      <c r="O767" s="76"/>
      <c r="P767" s="76"/>
      <c r="Q767" s="76"/>
      <c r="R767" s="76"/>
      <c r="S767" s="76"/>
      <c r="T767" s="76"/>
    </row>
    <row r="768" spans="1:20" s="309" customFormat="1" ht="14.1" customHeight="1">
      <c r="A768" s="75"/>
      <c r="B768" s="76"/>
      <c r="C768" s="76"/>
      <c r="D768" s="76"/>
      <c r="E768" s="399"/>
      <c r="F768" s="399"/>
      <c r="G768" s="405"/>
      <c r="H768" s="399"/>
      <c r="J768" s="76"/>
      <c r="K768" s="76"/>
      <c r="L768" s="75"/>
      <c r="M768" s="76"/>
      <c r="N768" s="76"/>
      <c r="O768" s="76"/>
      <c r="P768" s="76"/>
      <c r="Q768" s="76"/>
      <c r="R768" s="76"/>
      <c r="S768" s="76"/>
      <c r="T768" s="76"/>
    </row>
    <row r="769" spans="1:20" s="309" customFormat="1" ht="14.1" customHeight="1">
      <c r="A769" s="75"/>
      <c r="B769" s="76"/>
      <c r="C769" s="76"/>
      <c r="D769" s="76"/>
      <c r="E769" s="399"/>
      <c r="F769" s="399"/>
      <c r="G769" s="405"/>
      <c r="H769" s="399"/>
      <c r="J769" s="76"/>
      <c r="K769" s="76"/>
      <c r="L769" s="75"/>
      <c r="M769" s="76"/>
      <c r="N769" s="76"/>
      <c r="O769" s="76"/>
      <c r="P769" s="76"/>
      <c r="Q769" s="76"/>
      <c r="R769" s="76"/>
      <c r="S769" s="76"/>
      <c r="T769" s="76"/>
    </row>
    <row r="770" spans="1:20" s="309" customFormat="1" ht="14.1" customHeight="1">
      <c r="A770" s="75"/>
      <c r="B770" s="76"/>
      <c r="C770" s="76"/>
      <c r="D770" s="76"/>
      <c r="E770" s="399"/>
      <c r="F770" s="399"/>
      <c r="G770" s="405"/>
      <c r="H770" s="399"/>
      <c r="J770" s="76"/>
      <c r="K770" s="76"/>
      <c r="L770" s="75"/>
      <c r="M770" s="76"/>
      <c r="N770" s="76"/>
      <c r="O770" s="76"/>
      <c r="P770" s="76"/>
      <c r="Q770" s="76"/>
      <c r="R770" s="76"/>
      <c r="S770" s="76"/>
      <c r="T770" s="76"/>
    </row>
    <row r="771" spans="1:20" s="309" customFormat="1" ht="14.1" customHeight="1">
      <c r="A771" s="75"/>
      <c r="B771" s="76"/>
      <c r="C771" s="76"/>
      <c r="D771" s="76"/>
      <c r="E771" s="399"/>
      <c r="F771" s="399"/>
      <c r="G771" s="405"/>
      <c r="H771" s="399"/>
      <c r="J771" s="76"/>
      <c r="K771" s="76"/>
      <c r="L771" s="75"/>
      <c r="M771" s="76"/>
      <c r="N771" s="76"/>
      <c r="O771" s="76"/>
      <c r="P771" s="76"/>
      <c r="Q771" s="76"/>
      <c r="R771" s="76"/>
      <c r="S771" s="76"/>
      <c r="T771" s="76"/>
    </row>
    <row r="772" spans="1:20" s="309" customFormat="1" ht="14.1" customHeight="1">
      <c r="A772" s="75"/>
      <c r="B772" s="76"/>
      <c r="C772" s="76"/>
      <c r="D772" s="76"/>
      <c r="E772" s="399"/>
      <c r="F772" s="399"/>
      <c r="G772" s="405"/>
      <c r="H772" s="399"/>
      <c r="J772" s="76"/>
      <c r="K772" s="76"/>
      <c r="L772" s="75"/>
      <c r="M772" s="76"/>
      <c r="N772" s="76"/>
      <c r="O772" s="76"/>
      <c r="P772" s="76"/>
      <c r="Q772" s="76"/>
      <c r="R772" s="76"/>
      <c r="S772" s="76"/>
      <c r="T772" s="76"/>
    </row>
    <row r="773" spans="1:20" s="309" customFormat="1" ht="14.1" customHeight="1">
      <c r="A773" s="75"/>
      <c r="B773" s="76"/>
      <c r="C773" s="76"/>
      <c r="D773" s="76"/>
      <c r="E773" s="399"/>
      <c r="F773" s="399"/>
      <c r="G773" s="405"/>
      <c r="H773" s="399"/>
      <c r="J773" s="76"/>
      <c r="K773" s="76"/>
      <c r="L773" s="75"/>
      <c r="M773" s="76"/>
      <c r="N773" s="76"/>
      <c r="O773" s="76"/>
      <c r="P773" s="76"/>
      <c r="Q773" s="76"/>
      <c r="R773" s="76"/>
      <c r="S773" s="76"/>
      <c r="T773" s="76"/>
    </row>
    <row r="774" spans="1:20" s="309" customFormat="1" ht="14.1" customHeight="1">
      <c r="A774" s="75"/>
      <c r="B774" s="76"/>
      <c r="C774" s="76"/>
      <c r="D774" s="76"/>
      <c r="E774" s="399"/>
      <c r="F774" s="399"/>
      <c r="G774" s="405"/>
      <c r="H774" s="399"/>
      <c r="J774" s="76"/>
      <c r="K774" s="76"/>
      <c r="L774" s="75"/>
      <c r="M774" s="76"/>
      <c r="N774" s="76"/>
      <c r="O774" s="76"/>
      <c r="P774" s="76"/>
      <c r="Q774" s="76"/>
      <c r="R774" s="76"/>
      <c r="S774" s="76"/>
      <c r="T774" s="76"/>
    </row>
    <row r="775" spans="1:20" s="309" customFormat="1" ht="14.1" customHeight="1">
      <c r="A775" s="75"/>
      <c r="B775" s="76"/>
      <c r="C775" s="76"/>
      <c r="D775" s="76"/>
      <c r="E775" s="399"/>
      <c r="F775" s="399"/>
      <c r="G775" s="405"/>
      <c r="H775" s="399"/>
      <c r="J775" s="76"/>
      <c r="K775" s="76"/>
      <c r="L775" s="75"/>
      <c r="M775" s="76"/>
      <c r="N775" s="76"/>
      <c r="O775" s="76"/>
      <c r="P775" s="76"/>
      <c r="Q775" s="76"/>
      <c r="R775" s="76"/>
      <c r="S775" s="76"/>
      <c r="T775" s="76"/>
    </row>
    <row r="776" spans="1:20" s="309" customFormat="1" ht="14.1" customHeight="1">
      <c r="A776" s="75"/>
      <c r="B776" s="76"/>
      <c r="C776" s="76"/>
      <c r="D776" s="76"/>
      <c r="E776" s="399"/>
      <c r="F776" s="399"/>
      <c r="G776" s="405"/>
      <c r="H776" s="399"/>
      <c r="J776" s="76"/>
      <c r="K776" s="76"/>
      <c r="L776" s="75"/>
      <c r="M776" s="76"/>
      <c r="N776" s="76"/>
      <c r="O776" s="76"/>
      <c r="P776" s="76"/>
      <c r="Q776" s="76"/>
      <c r="R776" s="76"/>
      <c r="S776" s="76"/>
      <c r="T776" s="76"/>
    </row>
    <row r="777" spans="1:20" s="309" customFormat="1" ht="14.1" customHeight="1">
      <c r="A777" s="75"/>
      <c r="B777" s="76"/>
      <c r="C777" s="76"/>
      <c r="D777" s="76"/>
      <c r="E777" s="399"/>
      <c r="F777" s="399"/>
      <c r="G777" s="405"/>
      <c r="H777" s="399"/>
      <c r="J777" s="76"/>
      <c r="K777" s="76"/>
      <c r="L777" s="75"/>
      <c r="M777" s="76"/>
      <c r="N777" s="76"/>
      <c r="O777" s="76"/>
      <c r="P777" s="76"/>
      <c r="Q777" s="76"/>
      <c r="R777" s="76"/>
      <c r="S777" s="76"/>
      <c r="T777" s="76"/>
    </row>
    <row r="778" spans="1:20" s="309" customFormat="1" ht="14.1" customHeight="1">
      <c r="A778" s="75"/>
      <c r="B778" s="76"/>
      <c r="C778" s="76"/>
      <c r="D778" s="76"/>
      <c r="E778" s="399"/>
      <c r="F778" s="399"/>
      <c r="G778" s="405"/>
      <c r="H778" s="399"/>
      <c r="J778" s="76"/>
      <c r="K778" s="76"/>
      <c r="L778" s="75"/>
      <c r="M778" s="76"/>
      <c r="N778" s="76"/>
      <c r="O778" s="76"/>
      <c r="P778" s="76"/>
      <c r="Q778" s="76"/>
      <c r="R778" s="76"/>
      <c r="S778" s="76"/>
      <c r="T778" s="76"/>
    </row>
    <row r="779" spans="1:20" s="309" customFormat="1" ht="14.1" customHeight="1">
      <c r="A779" s="75"/>
      <c r="B779" s="76"/>
      <c r="C779" s="76"/>
      <c r="D779" s="76"/>
      <c r="E779" s="399"/>
      <c r="F779" s="399"/>
      <c r="G779" s="405"/>
      <c r="H779" s="399"/>
      <c r="J779" s="76"/>
      <c r="K779" s="76"/>
      <c r="L779" s="75"/>
      <c r="M779" s="76"/>
      <c r="N779" s="76"/>
      <c r="O779" s="76"/>
      <c r="P779" s="76"/>
      <c r="Q779" s="76"/>
      <c r="R779" s="76"/>
      <c r="S779" s="76"/>
      <c r="T779" s="76"/>
    </row>
    <row r="780" spans="1:20" s="309" customFormat="1" ht="14.1" customHeight="1">
      <c r="A780" s="75"/>
      <c r="B780" s="76"/>
      <c r="C780" s="76"/>
      <c r="D780" s="76"/>
      <c r="E780" s="399"/>
      <c r="F780" s="399"/>
      <c r="G780" s="405"/>
      <c r="H780" s="399"/>
      <c r="J780" s="76"/>
      <c r="K780" s="76"/>
      <c r="L780" s="75"/>
      <c r="M780" s="76"/>
      <c r="N780" s="76"/>
      <c r="O780" s="76"/>
      <c r="P780" s="76"/>
      <c r="Q780" s="76"/>
      <c r="R780" s="76"/>
      <c r="S780" s="76"/>
      <c r="T780" s="76"/>
    </row>
    <row r="781" spans="1:20" s="309" customFormat="1" ht="14.1" customHeight="1">
      <c r="A781" s="75"/>
      <c r="B781" s="76"/>
      <c r="C781" s="76"/>
      <c r="D781" s="76"/>
      <c r="E781" s="399"/>
      <c r="F781" s="399"/>
      <c r="G781" s="405"/>
      <c r="H781" s="399"/>
      <c r="J781" s="76"/>
      <c r="K781" s="76"/>
      <c r="L781" s="75"/>
      <c r="M781" s="76"/>
      <c r="N781" s="76"/>
      <c r="O781" s="76"/>
      <c r="P781" s="76"/>
      <c r="Q781" s="76"/>
      <c r="R781" s="76"/>
      <c r="S781" s="76"/>
      <c r="T781" s="76"/>
    </row>
    <row r="782" spans="1:20" s="309" customFormat="1" ht="14.1" customHeight="1">
      <c r="A782" s="75"/>
      <c r="B782" s="76"/>
      <c r="C782" s="76"/>
      <c r="D782" s="76"/>
      <c r="E782" s="399"/>
      <c r="F782" s="399"/>
      <c r="G782" s="399"/>
      <c r="H782" s="399"/>
      <c r="J782" s="76"/>
      <c r="K782" s="76"/>
      <c r="L782" s="75"/>
      <c r="M782" s="76"/>
      <c r="N782" s="76"/>
      <c r="O782" s="76"/>
      <c r="P782" s="76"/>
      <c r="Q782" s="76"/>
      <c r="R782" s="76"/>
      <c r="S782" s="76"/>
      <c r="T782" s="76"/>
    </row>
    <row r="783" spans="1:20" s="309" customFormat="1" ht="14.1" customHeight="1">
      <c r="A783" s="75"/>
      <c r="B783" s="76"/>
      <c r="C783" s="76"/>
      <c r="D783" s="76"/>
      <c r="E783" s="399"/>
      <c r="F783" s="399"/>
      <c r="G783" s="399"/>
      <c r="H783" s="399"/>
      <c r="J783" s="76"/>
      <c r="K783" s="76"/>
      <c r="L783" s="75"/>
      <c r="M783" s="76"/>
      <c r="N783" s="76"/>
      <c r="O783" s="76"/>
      <c r="P783" s="76"/>
      <c r="Q783" s="76"/>
      <c r="R783" s="76"/>
      <c r="S783" s="76"/>
      <c r="T783" s="76"/>
    </row>
    <row r="784" spans="1:20" s="309" customFormat="1" ht="14.1" customHeight="1">
      <c r="A784" s="75"/>
      <c r="B784" s="76"/>
      <c r="C784" s="76"/>
      <c r="D784" s="76"/>
      <c r="E784" s="399"/>
      <c r="F784" s="399"/>
      <c r="G784" s="399"/>
      <c r="H784" s="399"/>
      <c r="J784" s="76"/>
      <c r="K784" s="76"/>
      <c r="L784" s="75"/>
      <c r="M784" s="76"/>
      <c r="N784" s="76"/>
      <c r="O784" s="76"/>
      <c r="P784" s="76"/>
      <c r="Q784" s="76"/>
      <c r="R784" s="76"/>
      <c r="S784" s="76"/>
      <c r="T784" s="76"/>
    </row>
    <row r="785" spans="1:20" s="309" customFormat="1" ht="14.1" customHeight="1">
      <c r="A785" s="75"/>
      <c r="B785" s="76"/>
      <c r="C785" s="76"/>
      <c r="D785" s="76"/>
      <c r="E785" s="399"/>
      <c r="F785" s="399"/>
      <c r="G785" s="399"/>
      <c r="H785" s="399"/>
      <c r="J785" s="76"/>
      <c r="K785" s="76"/>
      <c r="L785" s="75"/>
      <c r="M785" s="76"/>
      <c r="N785" s="76"/>
      <c r="O785" s="76"/>
      <c r="P785" s="76"/>
      <c r="Q785" s="76"/>
      <c r="R785" s="76"/>
      <c r="S785" s="76"/>
      <c r="T785" s="76"/>
    </row>
    <row r="786" spans="1:20" s="309" customFormat="1" ht="14.1" customHeight="1">
      <c r="A786" s="75"/>
      <c r="B786" s="76"/>
      <c r="C786" s="76"/>
      <c r="D786" s="76"/>
      <c r="E786" s="399"/>
      <c r="F786" s="399"/>
      <c r="G786" s="399"/>
      <c r="H786" s="399"/>
      <c r="J786" s="76"/>
      <c r="K786" s="76"/>
      <c r="L786" s="75"/>
      <c r="M786" s="76"/>
      <c r="N786" s="76"/>
      <c r="O786" s="76"/>
      <c r="P786" s="76"/>
      <c r="Q786" s="76"/>
      <c r="R786" s="76"/>
      <c r="S786" s="76"/>
      <c r="T786" s="76"/>
    </row>
    <row r="787" spans="1:20" s="309" customFormat="1" ht="14.1" customHeight="1">
      <c r="A787" s="75"/>
      <c r="B787" s="76"/>
      <c r="C787" s="76"/>
      <c r="D787" s="76"/>
      <c r="E787" s="399"/>
      <c r="F787" s="399"/>
      <c r="G787" s="399"/>
      <c r="H787" s="399"/>
      <c r="J787" s="76"/>
      <c r="K787" s="76"/>
      <c r="L787" s="75"/>
      <c r="M787" s="76"/>
      <c r="N787" s="76"/>
      <c r="O787" s="76"/>
      <c r="P787" s="76"/>
      <c r="Q787" s="76"/>
      <c r="R787" s="76"/>
      <c r="S787" s="76"/>
      <c r="T787" s="76"/>
    </row>
    <row r="788" spans="1:20" s="309" customFormat="1" ht="14.1" customHeight="1">
      <c r="A788" s="75"/>
      <c r="B788" s="76"/>
      <c r="C788" s="76"/>
      <c r="D788" s="76"/>
      <c r="E788" s="399"/>
      <c r="F788" s="399"/>
      <c r="G788" s="399"/>
      <c r="H788" s="399"/>
      <c r="J788" s="76"/>
      <c r="K788" s="76"/>
      <c r="L788" s="75"/>
      <c r="M788" s="76"/>
      <c r="N788" s="76"/>
      <c r="O788" s="76"/>
      <c r="P788" s="76"/>
      <c r="Q788" s="76"/>
      <c r="R788" s="76"/>
      <c r="S788" s="76"/>
      <c r="T788" s="76"/>
    </row>
    <row r="789" spans="1:20" s="309" customFormat="1" ht="14.1" customHeight="1">
      <c r="A789" s="75"/>
      <c r="B789" s="76"/>
      <c r="C789" s="76"/>
      <c r="D789" s="76"/>
      <c r="E789" s="399"/>
      <c r="F789" s="399"/>
      <c r="G789" s="399"/>
      <c r="H789" s="399"/>
      <c r="J789" s="76"/>
      <c r="K789" s="76"/>
      <c r="L789" s="75"/>
      <c r="M789" s="76"/>
      <c r="N789" s="76"/>
      <c r="O789" s="76"/>
      <c r="P789" s="76"/>
      <c r="Q789" s="76"/>
      <c r="R789" s="76"/>
      <c r="S789" s="76"/>
      <c r="T789" s="76"/>
    </row>
    <row r="790" spans="1:20" s="309" customFormat="1" ht="14.1" customHeight="1">
      <c r="A790" s="75"/>
      <c r="B790" s="76"/>
      <c r="C790" s="76"/>
      <c r="D790" s="76"/>
      <c r="E790" s="399"/>
      <c r="F790" s="399"/>
      <c r="G790" s="399"/>
      <c r="H790" s="399"/>
      <c r="J790" s="76"/>
      <c r="K790" s="76"/>
      <c r="L790" s="75"/>
      <c r="M790" s="76"/>
      <c r="N790" s="76"/>
      <c r="O790" s="76"/>
      <c r="P790" s="76"/>
      <c r="Q790" s="76"/>
      <c r="R790" s="76"/>
      <c r="S790" s="76"/>
      <c r="T790" s="76"/>
    </row>
    <row r="791" spans="1:20" s="309" customFormat="1" ht="14.1" customHeight="1">
      <c r="A791" s="75"/>
      <c r="B791" s="76"/>
      <c r="C791" s="76"/>
      <c r="D791" s="76"/>
      <c r="E791" s="399"/>
      <c r="F791" s="399"/>
      <c r="G791" s="399"/>
      <c r="H791" s="399"/>
      <c r="J791" s="76"/>
      <c r="K791" s="76"/>
      <c r="L791" s="75"/>
      <c r="M791" s="76"/>
      <c r="N791" s="76"/>
      <c r="O791" s="76"/>
      <c r="P791" s="76"/>
      <c r="Q791" s="76"/>
      <c r="R791" s="76"/>
      <c r="S791" s="76"/>
      <c r="T791" s="76"/>
    </row>
    <row r="792" spans="1:20" s="309" customFormat="1" ht="14.1" customHeight="1">
      <c r="A792" s="75"/>
      <c r="B792" s="76"/>
      <c r="C792" s="76"/>
      <c r="D792" s="76"/>
      <c r="E792" s="399"/>
      <c r="F792" s="399"/>
      <c r="G792" s="399"/>
      <c r="H792" s="399"/>
      <c r="J792" s="76"/>
      <c r="K792" s="76"/>
      <c r="L792" s="75"/>
      <c r="M792" s="76"/>
      <c r="N792" s="76"/>
      <c r="O792" s="76"/>
      <c r="P792" s="76"/>
      <c r="Q792" s="76"/>
      <c r="R792" s="76"/>
      <c r="S792" s="76"/>
      <c r="T792" s="76"/>
    </row>
    <row r="793" spans="1:20" s="309" customFormat="1" ht="14.1" customHeight="1">
      <c r="A793" s="75"/>
      <c r="B793" s="76"/>
      <c r="C793" s="76"/>
      <c r="D793" s="76"/>
      <c r="E793" s="399"/>
      <c r="F793" s="399"/>
      <c r="G793" s="399"/>
      <c r="H793" s="399"/>
      <c r="J793" s="76"/>
      <c r="K793" s="76"/>
      <c r="L793" s="75"/>
      <c r="M793" s="76"/>
      <c r="N793" s="76"/>
      <c r="O793" s="76"/>
      <c r="P793" s="76"/>
      <c r="Q793" s="76"/>
      <c r="R793" s="76"/>
      <c r="S793" s="76"/>
      <c r="T793" s="76"/>
    </row>
    <row r="794" spans="1:20" s="309" customFormat="1" ht="14.1" customHeight="1">
      <c r="A794" s="75"/>
      <c r="B794" s="76"/>
      <c r="C794" s="76"/>
      <c r="D794" s="76"/>
      <c r="E794" s="399"/>
      <c r="F794" s="399"/>
      <c r="G794" s="399"/>
      <c r="H794" s="399"/>
      <c r="J794" s="76"/>
      <c r="K794" s="76"/>
      <c r="L794" s="75"/>
      <c r="M794" s="76"/>
      <c r="N794" s="76"/>
      <c r="O794" s="76"/>
      <c r="P794" s="76"/>
      <c r="Q794" s="76"/>
      <c r="R794" s="76"/>
      <c r="S794" s="76"/>
      <c r="T794" s="76"/>
    </row>
    <row r="795" spans="1:20" s="309" customFormat="1" ht="14.1" customHeight="1">
      <c r="A795" s="75"/>
      <c r="B795" s="76"/>
      <c r="C795" s="76"/>
      <c r="D795" s="76"/>
      <c r="E795" s="399"/>
      <c r="F795" s="399"/>
      <c r="G795" s="399"/>
      <c r="H795" s="399"/>
      <c r="J795" s="76"/>
      <c r="K795" s="76"/>
      <c r="L795" s="75"/>
      <c r="M795" s="76"/>
      <c r="N795" s="76"/>
      <c r="O795" s="76"/>
      <c r="P795" s="76"/>
      <c r="Q795" s="76"/>
      <c r="R795" s="76"/>
      <c r="S795" s="76"/>
      <c r="T795" s="76"/>
    </row>
    <row r="796" spans="1:20" s="309" customFormat="1" ht="14.1" customHeight="1">
      <c r="A796" s="75"/>
      <c r="B796" s="76"/>
      <c r="C796" s="76"/>
      <c r="D796" s="76"/>
      <c r="E796" s="399"/>
      <c r="F796" s="399"/>
      <c r="G796" s="399"/>
      <c r="H796" s="399"/>
      <c r="J796" s="76"/>
      <c r="K796" s="76"/>
      <c r="L796" s="75"/>
      <c r="M796" s="76"/>
      <c r="N796" s="76"/>
      <c r="O796" s="76"/>
      <c r="P796" s="76"/>
      <c r="Q796" s="76"/>
      <c r="R796" s="76"/>
      <c r="S796" s="76"/>
      <c r="T796" s="76"/>
    </row>
    <row r="797" spans="1:20" s="309" customFormat="1" ht="14.1" customHeight="1">
      <c r="A797" s="75"/>
      <c r="B797" s="76"/>
      <c r="C797" s="76"/>
      <c r="D797" s="76"/>
      <c r="E797" s="399"/>
      <c r="F797" s="399"/>
      <c r="G797" s="399"/>
      <c r="H797" s="399"/>
      <c r="J797" s="76"/>
      <c r="K797" s="76"/>
      <c r="L797" s="75"/>
      <c r="M797" s="76"/>
      <c r="N797" s="76"/>
      <c r="O797" s="76"/>
      <c r="P797" s="76"/>
      <c r="Q797" s="76"/>
      <c r="R797" s="76"/>
      <c r="S797" s="76"/>
      <c r="T797" s="76"/>
    </row>
    <row r="798" spans="1:20" s="309" customFormat="1" ht="14.1" customHeight="1">
      <c r="A798" s="75"/>
      <c r="B798" s="76"/>
      <c r="C798" s="76"/>
      <c r="D798" s="76"/>
      <c r="E798" s="399"/>
      <c r="F798" s="399"/>
      <c r="G798" s="399"/>
      <c r="H798" s="399"/>
      <c r="J798" s="76"/>
      <c r="K798" s="76"/>
      <c r="L798" s="75"/>
      <c r="M798" s="76"/>
      <c r="N798" s="76"/>
      <c r="O798" s="76"/>
      <c r="P798" s="76"/>
      <c r="Q798" s="76"/>
      <c r="R798" s="76"/>
      <c r="S798" s="76"/>
      <c r="T798" s="76"/>
    </row>
    <row r="799" spans="1:20" s="309" customFormat="1" ht="14.1" customHeight="1">
      <c r="A799" s="75"/>
      <c r="B799" s="76"/>
      <c r="C799" s="76"/>
      <c r="D799" s="76"/>
      <c r="E799" s="399"/>
      <c r="F799" s="399"/>
      <c r="G799" s="399"/>
      <c r="H799" s="399"/>
      <c r="J799" s="76"/>
      <c r="K799" s="76"/>
      <c r="L799" s="75"/>
      <c r="M799" s="76"/>
      <c r="N799" s="76"/>
      <c r="O799" s="76"/>
      <c r="P799" s="76"/>
      <c r="Q799" s="76"/>
      <c r="R799" s="76"/>
      <c r="S799" s="76"/>
      <c r="T799" s="76"/>
    </row>
    <row r="800" spans="1:20" s="309" customFormat="1" ht="14.1" customHeight="1">
      <c r="A800" s="75"/>
      <c r="B800" s="76"/>
      <c r="C800" s="76"/>
      <c r="D800" s="76"/>
      <c r="E800" s="399"/>
      <c r="F800" s="399"/>
      <c r="G800" s="399"/>
      <c r="H800" s="399"/>
      <c r="J800" s="76"/>
      <c r="K800" s="76"/>
      <c r="L800" s="75"/>
      <c r="M800" s="76"/>
      <c r="N800" s="76"/>
      <c r="O800" s="76"/>
      <c r="P800" s="76"/>
      <c r="Q800" s="76"/>
      <c r="R800" s="76"/>
      <c r="S800" s="76"/>
      <c r="T800" s="76"/>
    </row>
    <row r="801" spans="1:20" s="309" customFormat="1" ht="14.1" customHeight="1">
      <c r="A801" s="75"/>
      <c r="B801" s="76"/>
      <c r="C801" s="76"/>
      <c r="D801" s="76"/>
      <c r="E801" s="399"/>
      <c r="F801" s="399"/>
      <c r="G801" s="399"/>
      <c r="H801" s="399"/>
      <c r="J801" s="76"/>
      <c r="K801" s="76"/>
      <c r="L801" s="75"/>
      <c r="M801" s="76"/>
      <c r="N801" s="76"/>
      <c r="O801" s="76"/>
      <c r="P801" s="76"/>
      <c r="Q801" s="76"/>
      <c r="R801" s="76"/>
      <c r="S801" s="76"/>
      <c r="T801" s="76"/>
    </row>
    <row r="802" spans="1:20" s="309" customFormat="1" ht="14.1" customHeight="1">
      <c r="A802" s="75"/>
      <c r="B802" s="76"/>
      <c r="C802" s="76"/>
      <c r="D802" s="76"/>
      <c r="E802" s="399"/>
      <c r="F802" s="399"/>
      <c r="G802" s="399"/>
      <c r="H802" s="399"/>
      <c r="J802" s="76"/>
      <c r="K802" s="76"/>
      <c r="L802" s="75"/>
      <c r="M802" s="76"/>
      <c r="N802" s="76"/>
      <c r="O802" s="76"/>
      <c r="P802" s="76"/>
      <c r="Q802" s="76"/>
      <c r="R802" s="76"/>
      <c r="S802" s="76"/>
      <c r="T802" s="76"/>
    </row>
    <row r="803" spans="1:20" s="309" customFormat="1" ht="14.1" customHeight="1">
      <c r="A803" s="75"/>
      <c r="B803" s="76"/>
      <c r="C803" s="76"/>
      <c r="D803" s="76"/>
      <c r="E803" s="399"/>
      <c r="F803" s="399"/>
      <c r="G803" s="399"/>
      <c r="H803" s="399"/>
      <c r="J803" s="76"/>
      <c r="K803" s="76"/>
      <c r="L803" s="75"/>
      <c r="M803" s="76"/>
      <c r="N803" s="76"/>
      <c r="O803" s="76"/>
      <c r="P803" s="76"/>
      <c r="Q803" s="76"/>
      <c r="R803" s="76"/>
      <c r="S803" s="76"/>
      <c r="T803" s="76"/>
    </row>
    <row r="804" spans="1:20" s="309" customFormat="1" ht="14.1" customHeight="1">
      <c r="A804" s="75"/>
      <c r="B804" s="76"/>
      <c r="C804" s="76"/>
      <c r="D804" s="76"/>
      <c r="E804" s="399"/>
      <c r="F804" s="399"/>
      <c r="G804" s="399"/>
      <c r="H804" s="399"/>
      <c r="J804" s="76"/>
      <c r="K804" s="76"/>
      <c r="L804" s="75"/>
      <c r="M804" s="76"/>
      <c r="N804" s="76"/>
      <c r="O804" s="76"/>
      <c r="P804" s="76"/>
      <c r="Q804" s="76"/>
      <c r="R804" s="76"/>
      <c r="S804" s="76"/>
      <c r="T804" s="76"/>
    </row>
    <row r="805" spans="1:20" s="309" customFormat="1" ht="14.1" customHeight="1">
      <c r="A805" s="75"/>
      <c r="B805" s="76"/>
      <c r="C805" s="76"/>
      <c r="D805" s="76"/>
      <c r="E805" s="399"/>
      <c r="F805" s="399"/>
      <c r="G805" s="399"/>
      <c r="H805" s="399"/>
      <c r="J805" s="76"/>
      <c r="K805" s="76"/>
      <c r="L805" s="75"/>
      <c r="M805" s="76"/>
      <c r="N805" s="76"/>
      <c r="O805" s="76"/>
      <c r="P805" s="76"/>
      <c r="Q805" s="76"/>
      <c r="R805" s="76"/>
      <c r="S805" s="76"/>
      <c r="T805" s="76"/>
    </row>
    <row r="806" spans="1:20" s="309" customFormat="1" ht="14.1" customHeight="1">
      <c r="A806" s="75"/>
      <c r="B806" s="76"/>
      <c r="C806" s="76"/>
      <c r="D806" s="76"/>
      <c r="E806" s="399"/>
      <c r="F806" s="399"/>
      <c r="G806" s="399"/>
      <c r="H806" s="399"/>
      <c r="J806" s="76"/>
      <c r="K806" s="76"/>
      <c r="L806" s="75"/>
      <c r="M806" s="76"/>
      <c r="N806" s="76"/>
      <c r="O806" s="76"/>
      <c r="P806" s="76"/>
      <c r="Q806" s="76"/>
      <c r="R806" s="76"/>
      <c r="S806" s="76"/>
      <c r="T806" s="76"/>
    </row>
    <row r="807" spans="1:20" s="309" customFormat="1" ht="14.1" customHeight="1">
      <c r="A807" s="75"/>
      <c r="B807" s="76"/>
      <c r="C807" s="76"/>
      <c r="D807" s="76"/>
      <c r="E807" s="399"/>
      <c r="F807" s="399"/>
      <c r="G807" s="399"/>
      <c r="H807" s="399"/>
      <c r="J807" s="76"/>
      <c r="K807" s="76"/>
      <c r="L807" s="75"/>
      <c r="M807" s="76"/>
      <c r="N807" s="76"/>
      <c r="O807" s="76"/>
      <c r="P807" s="76"/>
      <c r="Q807" s="76"/>
      <c r="R807" s="76"/>
      <c r="S807" s="76"/>
      <c r="T807" s="76"/>
    </row>
    <row r="808" spans="1:20" s="309" customFormat="1" ht="14.1" customHeight="1">
      <c r="A808" s="75"/>
      <c r="B808" s="76"/>
      <c r="C808" s="76"/>
      <c r="D808" s="76"/>
      <c r="E808" s="399"/>
      <c r="F808" s="399"/>
      <c r="G808" s="399"/>
      <c r="H808" s="399"/>
      <c r="J808" s="76"/>
      <c r="K808" s="76"/>
      <c r="L808" s="75"/>
      <c r="M808" s="76"/>
      <c r="N808" s="76"/>
      <c r="O808" s="76"/>
      <c r="P808" s="76"/>
      <c r="Q808" s="76"/>
      <c r="R808" s="76"/>
      <c r="S808" s="76"/>
      <c r="T808" s="76"/>
    </row>
    <row r="809" spans="1:20" s="309" customFormat="1" ht="14.1" customHeight="1">
      <c r="A809" s="75"/>
      <c r="B809" s="76"/>
      <c r="C809" s="76"/>
      <c r="D809" s="76"/>
      <c r="E809" s="399"/>
      <c r="F809" s="399"/>
      <c r="G809" s="399"/>
      <c r="H809" s="399"/>
      <c r="J809" s="76"/>
      <c r="K809" s="76"/>
      <c r="L809" s="75"/>
      <c r="M809" s="76"/>
      <c r="N809" s="76"/>
      <c r="O809" s="76"/>
      <c r="P809" s="76"/>
      <c r="Q809" s="76"/>
      <c r="R809" s="76"/>
      <c r="S809" s="76"/>
      <c r="T809" s="76"/>
    </row>
    <row r="810" spans="1:20" s="309" customFormat="1" ht="14.1" customHeight="1">
      <c r="A810" s="75"/>
      <c r="B810" s="76"/>
      <c r="C810" s="76"/>
      <c r="D810" s="76"/>
      <c r="E810" s="399"/>
      <c r="F810" s="399"/>
      <c r="G810" s="399"/>
      <c r="H810" s="399"/>
      <c r="J810" s="76"/>
      <c r="K810" s="76"/>
      <c r="L810" s="75"/>
      <c r="M810" s="76"/>
      <c r="N810" s="76"/>
      <c r="O810" s="76"/>
      <c r="P810" s="76"/>
      <c r="Q810" s="76"/>
      <c r="R810" s="76"/>
      <c r="S810" s="76"/>
      <c r="T810" s="76"/>
    </row>
    <row r="811" spans="1:20" s="309" customFormat="1" ht="14.1" customHeight="1">
      <c r="A811" s="75"/>
      <c r="B811" s="76"/>
      <c r="C811" s="76"/>
      <c r="D811" s="76"/>
      <c r="E811" s="399"/>
      <c r="F811" s="399"/>
      <c r="G811" s="399"/>
      <c r="H811" s="399"/>
      <c r="J811" s="76"/>
      <c r="K811" s="76"/>
      <c r="L811" s="75"/>
      <c r="M811" s="76"/>
      <c r="N811" s="76"/>
      <c r="O811" s="76"/>
      <c r="P811" s="76"/>
      <c r="Q811" s="76"/>
      <c r="R811" s="76"/>
      <c r="S811" s="76"/>
      <c r="T811" s="76"/>
    </row>
    <row r="812" spans="1:20" s="309" customFormat="1" ht="14.1" customHeight="1">
      <c r="A812" s="75"/>
      <c r="B812" s="76"/>
      <c r="C812" s="76"/>
      <c r="D812" s="76"/>
      <c r="E812" s="399"/>
      <c r="F812" s="399"/>
      <c r="G812" s="399"/>
      <c r="H812" s="399"/>
      <c r="J812" s="76"/>
      <c r="K812" s="76"/>
      <c r="L812" s="75"/>
      <c r="M812" s="76"/>
      <c r="N812" s="76"/>
      <c r="O812" s="76"/>
      <c r="P812" s="76"/>
      <c r="Q812" s="76"/>
      <c r="R812" s="76"/>
      <c r="S812" s="76"/>
      <c r="T812" s="76"/>
    </row>
    <row r="813" spans="1:20" s="309" customFormat="1" ht="14.1" customHeight="1">
      <c r="A813" s="75"/>
      <c r="B813" s="76"/>
      <c r="C813" s="76"/>
      <c r="D813" s="76"/>
      <c r="E813" s="399"/>
      <c r="F813" s="399"/>
      <c r="G813" s="399"/>
      <c r="H813" s="399"/>
      <c r="J813" s="76"/>
      <c r="K813" s="76"/>
      <c r="L813" s="75"/>
      <c r="M813" s="76"/>
      <c r="N813" s="76"/>
      <c r="O813" s="76"/>
      <c r="P813" s="76"/>
      <c r="Q813" s="76"/>
      <c r="R813" s="76"/>
      <c r="S813" s="76"/>
      <c r="T813" s="76"/>
    </row>
    <row r="814" spans="1:20" s="309" customFormat="1" ht="14.1" customHeight="1">
      <c r="A814" s="75"/>
      <c r="B814" s="76"/>
      <c r="C814" s="76"/>
      <c r="D814" s="76"/>
      <c r="E814" s="399"/>
      <c r="F814" s="399"/>
      <c r="G814" s="399"/>
      <c r="H814" s="399"/>
      <c r="J814" s="76"/>
      <c r="K814" s="76"/>
      <c r="L814" s="75"/>
      <c r="M814" s="76"/>
      <c r="N814" s="76"/>
      <c r="O814" s="76"/>
      <c r="P814" s="76"/>
      <c r="Q814" s="76"/>
      <c r="R814" s="76"/>
      <c r="S814" s="76"/>
      <c r="T814" s="76"/>
    </row>
    <row r="815" spans="1:20" s="309" customFormat="1" ht="14.1" customHeight="1">
      <c r="A815" s="75"/>
      <c r="B815" s="76"/>
      <c r="C815" s="76"/>
      <c r="D815" s="76"/>
      <c r="E815" s="399"/>
      <c r="F815" s="399"/>
      <c r="G815" s="399"/>
      <c r="H815" s="399"/>
      <c r="J815" s="76"/>
      <c r="K815" s="76"/>
      <c r="L815" s="75"/>
      <c r="M815" s="76"/>
      <c r="N815" s="76"/>
      <c r="O815" s="76"/>
      <c r="P815" s="76"/>
      <c r="Q815" s="76"/>
      <c r="R815" s="76"/>
      <c r="S815" s="76"/>
      <c r="T815" s="76"/>
    </row>
    <row r="816" spans="1:20" s="309" customFormat="1" ht="14.1" customHeight="1">
      <c r="A816" s="75"/>
      <c r="B816" s="76"/>
      <c r="C816" s="76"/>
      <c r="D816" s="76"/>
      <c r="E816" s="399"/>
      <c r="F816" s="399"/>
      <c r="G816" s="399"/>
      <c r="H816" s="399"/>
      <c r="J816" s="76"/>
      <c r="K816" s="76"/>
      <c r="L816" s="75"/>
      <c r="M816" s="76"/>
      <c r="N816" s="76"/>
      <c r="O816" s="76"/>
      <c r="P816" s="76"/>
      <c r="Q816" s="76"/>
      <c r="R816" s="76"/>
      <c r="S816" s="76"/>
      <c r="T816" s="76"/>
    </row>
    <row r="817" spans="1:20" s="309" customFormat="1" ht="14.1" customHeight="1">
      <c r="A817" s="75"/>
      <c r="B817" s="76"/>
      <c r="C817" s="76"/>
      <c r="D817" s="76"/>
      <c r="E817" s="399"/>
      <c r="F817" s="399"/>
      <c r="G817" s="399"/>
      <c r="H817" s="399"/>
      <c r="J817" s="76"/>
      <c r="K817" s="76"/>
      <c r="L817" s="75"/>
      <c r="M817" s="76"/>
      <c r="N817" s="76"/>
      <c r="O817" s="76"/>
      <c r="P817" s="76"/>
      <c r="Q817" s="76"/>
      <c r="R817" s="76"/>
      <c r="S817" s="76"/>
      <c r="T817" s="76"/>
    </row>
    <row r="818" spans="1:20" s="309" customFormat="1" ht="14.1" customHeight="1">
      <c r="A818" s="75"/>
      <c r="B818" s="76"/>
      <c r="C818" s="76"/>
      <c r="D818" s="76"/>
      <c r="E818" s="399"/>
      <c r="F818" s="399"/>
      <c r="G818" s="399"/>
      <c r="H818" s="399"/>
      <c r="J818" s="76"/>
      <c r="K818" s="76"/>
      <c r="L818" s="75"/>
      <c r="M818" s="76"/>
      <c r="N818" s="76"/>
      <c r="O818" s="76"/>
      <c r="P818" s="76"/>
      <c r="Q818" s="76"/>
      <c r="R818" s="76"/>
      <c r="S818" s="76"/>
      <c r="T818" s="76"/>
    </row>
    <row r="819" spans="1:20" s="309" customFormat="1" ht="14.1" customHeight="1">
      <c r="A819" s="75"/>
      <c r="B819" s="76"/>
      <c r="C819" s="76"/>
      <c r="D819" s="76"/>
      <c r="E819" s="399"/>
      <c r="F819" s="399"/>
      <c r="G819" s="399"/>
      <c r="H819" s="399"/>
      <c r="J819" s="76"/>
      <c r="K819" s="76"/>
      <c r="L819" s="75"/>
      <c r="M819" s="76"/>
      <c r="N819" s="76"/>
      <c r="O819" s="76"/>
      <c r="P819" s="76"/>
      <c r="Q819" s="76"/>
      <c r="R819" s="76"/>
      <c r="S819" s="76"/>
      <c r="T819" s="76"/>
    </row>
    <row r="820" spans="1:20" s="309" customFormat="1" ht="14.1" customHeight="1">
      <c r="A820" s="75"/>
      <c r="B820" s="76"/>
      <c r="C820" s="76"/>
      <c r="D820" s="76"/>
      <c r="E820" s="399"/>
      <c r="F820" s="399"/>
      <c r="G820" s="399"/>
      <c r="H820" s="399"/>
      <c r="J820" s="76"/>
      <c r="K820" s="76"/>
      <c r="L820" s="75"/>
      <c r="M820" s="76"/>
      <c r="N820" s="76"/>
      <c r="O820" s="76"/>
      <c r="P820" s="76"/>
      <c r="Q820" s="76"/>
      <c r="R820" s="76"/>
      <c r="S820" s="76"/>
      <c r="T820" s="76"/>
    </row>
    <row r="821" spans="1:20" s="309" customFormat="1" ht="14.1" customHeight="1">
      <c r="A821" s="75"/>
      <c r="B821" s="76"/>
      <c r="C821" s="76"/>
      <c r="D821" s="76"/>
      <c r="E821" s="399"/>
      <c r="F821" s="399"/>
      <c r="G821" s="399"/>
      <c r="H821" s="399"/>
      <c r="J821" s="76"/>
      <c r="K821" s="76"/>
      <c r="L821" s="75"/>
      <c r="M821" s="76"/>
      <c r="N821" s="76"/>
      <c r="O821" s="76"/>
      <c r="P821" s="76"/>
      <c r="Q821" s="76"/>
      <c r="R821" s="76"/>
      <c r="S821" s="76"/>
      <c r="T821" s="76"/>
    </row>
    <row r="822" spans="1:20" s="309" customFormat="1" ht="14.1" customHeight="1">
      <c r="A822" s="75"/>
      <c r="B822" s="76"/>
      <c r="C822" s="76"/>
      <c r="D822" s="76"/>
      <c r="E822" s="399"/>
      <c r="F822" s="399"/>
      <c r="G822" s="399"/>
      <c r="H822" s="399"/>
      <c r="J822" s="76"/>
      <c r="K822" s="76"/>
      <c r="L822" s="75"/>
      <c r="M822" s="76"/>
      <c r="N822" s="76"/>
      <c r="O822" s="76"/>
      <c r="P822" s="76"/>
      <c r="Q822" s="76"/>
      <c r="R822" s="76"/>
      <c r="S822" s="76"/>
      <c r="T822" s="76"/>
    </row>
    <row r="823" spans="1:20" s="309" customFormat="1" ht="14.1" customHeight="1">
      <c r="A823" s="75"/>
      <c r="B823" s="76"/>
      <c r="C823" s="76"/>
      <c r="D823" s="76"/>
      <c r="E823" s="399"/>
      <c r="F823" s="399"/>
      <c r="G823" s="399"/>
      <c r="H823" s="399"/>
      <c r="J823" s="76"/>
      <c r="K823" s="76"/>
      <c r="L823" s="75"/>
      <c r="M823" s="76"/>
      <c r="N823" s="76"/>
      <c r="O823" s="76"/>
      <c r="P823" s="76"/>
      <c r="Q823" s="76"/>
      <c r="R823" s="76"/>
      <c r="S823" s="76"/>
      <c r="T823" s="76"/>
    </row>
    <row r="824" spans="1:20" s="309" customFormat="1" ht="14.1" customHeight="1">
      <c r="A824" s="75"/>
      <c r="B824" s="76"/>
      <c r="C824" s="76"/>
      <c r="D824" s="76"/>
      <c r="E824" s="399"/>
      <c r="F824" s="399"/>
      <c r="G824" s="399"/>
      <c r="H824" s="399"/>
      <c r="J824" s="76"/>
      <c r="K824" s="76"/>
      <c r="L824" s="75"/>
      <c r="M824" s="76"/>
      <c r="N824" s="76"/>
      <c r="O824" s="76"/>
      <c r="P824" s="76"/>
      <c r="Q824" s="76"/>
      <c r="R824" s="76"/>
      <c r="S824" s="76"/>
      <c r="T824" s="76"/>
    </row>
    <row r="825" spans="1:20" s="309" customFormat="1" ht="14.1" customHeight="1">
      <c r="A825" s="75"/>
      <c r="B825" s="76"/>
      <c r="C825" s="76"/>
      <c r="D825" s="76"/>
      <c r="E825" s="399"/>
      <c r="F825" s="399"/>
      <c r="G825" s="399"/>
      <c r="H825" s="399"/>
      <c r="J825" s="76"/>
      <c r="K825" s="76"/>
      <c r="L825" s="75"/>
      <c r="M825" s="76"/>
      <c r="N825" s="76"/>
      <c r="O825" s="76"/>
      <c r="P825" s="76"/>
      <c r="Q825" s="76"/>
      <c r="R825" s="76"/>
      <c r="S825" s="76"/>
      <c r="T825" s="76"/>
    </row>
    <row r="826" spans="1:20" s="309" customFormat="1" ht="14.1" customHeight="1">
      <c r="A826" s="75"/>
      <c r="B826" s="76"/>
      <c r="C826" s="76"/>
      <c r="D826" s="76"/>
      <c r="E826" s="399"/>
      <c r="F826" s="399"/>
      <c r="G826" s="399"/>
      <c r="H826" s="399"/>
      <c r="J826" s="76"/>
      <c r="K826" s="76"/>
      <c r="L826" s="75"/>
      <c r="M826" s="76"/>
      <c r="N826" s="76"/>
      <c r="O826" s="76"/>
      <c r="P826" s="76"/>
      <c r="Q826" s="76"/>
      <c r="R826" s="76"/>
      <c r="S826" s="76"/>
      <c r="T826" s="76"/>
    </row>
    <row r="827" spans="1:20" s="309" customFormat="1" ht="14.1" customHeight="1">
      <c r="A827" s="75"/>
      <c r="B827" s="76"/>
      <c r="C827" s="76"/>
      <c r="D827" s="76"/>
      <c r="E827" s="399"/>
      <c r="F827" s="399"/>
      <c r="G827" s="399"/>
      <c r="H827" s="399"/>
      <c r="J827" s="76"/>
      <c r="K827" s="76"/>
      <c r="L827" s="75"/>
      <c r="M827" s="76"/>
      <c r="N827" s="76"/>
      <c r="O827" s="76"/>
      <c r="P827" s="76"/>
      <c r="Q827" s="76"/>
      <c r="R827" s="76"/>
      <c r="S827" s="76"/>
      <c r="T827" s="76"/>
    </row>
    <row r="828" spans="1:20" s="309" customFormat="1" ht="14.1" customHeight="1">
      <c r="A828" s="75"/>
      <c r="B828" s="76"/>
      <c r="C828" s="76"/>
      <c r="D828" s="76"/>
      <c r="E828" s="399"/>
      <c r="F828" s="399"/>
      <c r="G828" s="399"/>
      <c r="H828" s="399"/>
      <c r="J828" s="76"/>
      <c r="K828" s="76"/>
      <c r="L828" s="75"/>
      <c r="M828" s="76"/>
      <c r="N828" s="76"/>
      <c r="O828" s="76"/>
      <c r="P828" s="76"/>
      <c r="Q828" s="76"/>
      <c r="R828" s="76"/>
      <c r="S828" s="76"/>
      <c r="T828" s="76"/>
    </row>
    <row r="829" spans="1:20" s="309" customFormat="1" ht="14.1" customHeight="1">
      <c r="A829" s="75"/>
      <c r="B829" s="76"/>
      <c r="C829" s="76"/>
      <c r="D829" s="76"/>
      <c r="E829" s="399"/>
      <c r="F829" s="399"/>
      <c r="G829" s="399"/>
      <c r="H829" s="399"/>
      <c r="J829" s="76"/>
      <c r="K829" s="76"/>
      <c r="L829" s="75"/>
      <c r="M829" s="76"/>
      <c r="N829" s="76"/>
      <c r="O829" s="76"/>
      <c r="P829" s="76"/>
      <c r="Q829" s="76"/>
      <c r="R829" s="76"/>
      <c r="S829" s="76"/>
      <c r="T829" s="76"/>
    </row>
    <row r="830" spans="1:20" s="309" customFormat="1" ht="14.1" customHeight="1">
      <c r="A830" s="75"/>
      <c r="B830" s="76"/>
      <c r="C830" s="76"/>
      <c r="D830" s="76"/>
      <c r="E830" s="399"/>
      <c r="F830" s="399"/>
      <c r="G830" s="399"/>
      <c r="H830" s="399"/>
      <c r="J830" s="76"/>
      <c r="K830" s="76"/>
      <c r="L830" s="75"/>
      <c r="M830" s="76"/>
      <c r="N830" s="76"/>
      <c r="O830" s="76"/>
      <c r="P830" s="76"/>
      <c r="Q830" s="76"/>
      <c r="R830" s="76"/>
      <c r="S830" s="76"/>
      <c r="T830" s="76"/>
    </row>
    <row r="831" spans="1:20" s="309" customFormat="1" ht="14.1" customHeight="1">
      <c r="A831" s="75"/>
      <c r="B831" s="76"/>
      <c r="C831" s="76"/>
      <c r="D831" s="76"/>
      <c r="E831" s="399"/>
      <c r="F831" s="399"/>
      <c r="G831" s="399"/>
      <c r="H831" s="399"/>
      <c r="J831" s="76"/>
      <c r="K831" s="76"/>
      <c r="L831" s="75"/>
      <c r="M831" s="76"/>
      <c r="N831" s="76"/>
      <c r="O831" s="76"/>
      <c r="P831" s="76"/>
      <c r="Q831" s="76"/>
      <c r="R831" s="76"/>
      <c r="S831" s="76"/>
      <c r="T831" s="76"/>
    </row>
    <row r="832" spans="1:20" s="309" customFormat="1" ht="14.1" customHeight="1">
      <c r="A832" s="75"/>
      <c r="B832" s="76"/>
      <c r="C832" s="76"/>
      <c r="D832" s="76"/>
      <c r="E832" s="399"/>
      <c r="F832" s="399"/>
      <c r="G832" s="399"/>
      <c r="H832" s="399"/>
      <c r="J832" s="76"/>
      <c r="K832" s="76"/>
      <c r="L832" s="75"/>
      <c r="M832" s="76"/>
      <c r="N832" s="76"/>
      <c r="O832" s="76"/>
      <c r="P832" s="76"/>
      <c r="Q832" s="76"/>
      <c r="R832" s="76"/>
      <c r="S832" s="76"/>
      <c r="T832" s="76"/>
    </row>
    <row r="833" spans="1:20" s="309" customFormat="1" ht="14.1" customHeight="1">
      <c r="A833" s="75"/>
      <c r="B833" s="76"/>
      <c r="C833" s="76"/>
      <c r="D833" s="76"/>
      <c r="E833" s="399"/>
      <c r="F833" s="399"/>
      <c r="G833" s="399"/>
      <c r="H833" s="399"/>
      <c r="J833" s="76"/>
      <c r="K833" s="76"/>
      <c r="L833" s="75"/>
      <c r="M833" s="76"/>
      <c r="N833" s="76"/>
      <c r="O833" s="76"/>
      <c r="P833" s="76"/>
      <c r="Q833" s="76"/>
      <c r="R833" s="76"/>
      <c r="S833" s="76"/>
      <c r="T833" s="76"/>
    </row>
    <row r="834" spans="1:20" s="309" customFormat="1" ht="14.1" customHeight="1">
      <c r="A834" s="75"/>
      <c r="B834" s="76"/>
      <c r="C834" s="76"/>
      <c r="D834" s="76"/>
      <c r="E834" s="399"/>
      <c r="F834" s="399"/>
      <c r="G834" s="399"/>
      <c r="H834" s="399"/>
      <c r="J834" s="76"/>
      <c r="K834" s="76"/>
      <c r="L834" s="75"/>
      <c r="M834" s="76"/>
      <c r="N834" s="76"/>
      <c r="O834" s="76"/>
      <c r="P834" s="76"/>
      <c r="Q834" s="76"/>
      <c r="R834" s="76"/>
      <c r="S834" s="76"/>
      <c r="T834" s="76"/>
    </row>
    <row r="835" spans="1:20" s="309" customFormat="1" ht="14.1" customHeight="1">
      <c r="A835" s="75"/>
      <c r="B835" s="76"/>
      <c r="C835" s="76"/>
      <c r="D835" s="76"/>
      <c r="E835" s="399"/>
      <c r="F835" s="399"/>
      <c r="G835" s="399"/>
      <c r="H835" s="399"/>
      <c r="J835" s="76"/>
      <c r="K835" s="76"/>
      <c r="L835" s="75"/>
      <c r="M835" s="76"/>
      <c r="N835" s="76"/>
      <c r="O835" s="76"/>
      <c r="P835" s="76"/>
      <c r="Q835" s="76"/>
      <c r="R835" s="76"/>
      <c r="S835" s="76"/>
      <c r="T835" s="76"/>
    </row>
    <row r="836" spans="1:20" s="309" customFormat="1" ht="14.1" customHeight="1">
      <c r="A836" s="75"/>
      <c r="B836" s="76"/>
      <c r="C836" s="76"/>
      <c r="D836" s="76"/>
      <c r="E836" s="399"/>
      <c r="F836" s="399"/>
      <c r="G836" s="399"/>
      <c r="H836" s="399"/>
      <c r="J836" s="76"/>
      <c r="K836" s="76"/>
      <c r="L836" s="75"/>
      <c r="M836" s="76"/>
      <c r="N836" s="76"/>
      <c r="O836" s="76"/>
      <c r="P836" s="76"/>
      <c r="Q836" s="76"/>
      <c r="R836" s="76"/>
      <c r="S836" s="76"/>
      <c r="T836" s="76"/>
    </row>
    <row r="837" spans="1:20" s="309" customFormat="1" ht="14.1" customHeight="1">
      <c r="A837" s="75"/>
      <c r="B837" s="76"/>
      <c r="C837" s="76"/>
      <c r="D837" s="76"/>
      <c r="E837" s="399"/>
      <c r="F837" s="399"/>
      <c r="G837" s="399"/>
      <c r="H837" s="399"/>
      <c r="J837" s="76"/>
      <c r="K837" s="76"/>
      <c r="L837" s="75"/>
      <c r="M837" s="76"/>
      <c r="N837" s="76"/>
      <c r="O837" s="76"/>
      <c r="P837" s="76"/>
      <c r="Q837" s="76"/>
      <c r="R837" s="76"/>
      <c r="S837" s="76"/>
      <c r="T837" s="76"/>
    </row>
    <row r="838" spans="1:20" s="309" customFormat="1" ht="14.1" customHeight="1">
      <c r="A838" s="75"/>
      <c r="B838" s="76"/>
      <c r="C838" s="76"/>
      <c r="D838" s="76"/>
      <c r="E838" s="399"/>
      <c r="F838" s="399"/>
      <c r="G838" s="399"/>
      <c r="H838" s="399"/>
      <c r="J838" s="76"/>
      <c r="K838" s="76"/>
      <c r="L838" s="75"/>
      <c r="M838" s="76"/>
      <c r="N838" s="76"/>
      <c r="O838" s="76"/>
      <c r="P838" s="76"/>
      <c r="Q838" s="76"/>
      <c r="R838" s="76"/>
      <c r="S838" s="76"/>
      <c r="T838" s="76"/>
    </row>
    <row r="839" spans="1:20" s="309" customFormat="1" ht="14.1" customHeight="1">
      <c r="A839" s="75"/>
      <c r="B839" s="76"/>
      <c r="C839" s="76"/>
      <c r="D839" s="76"/>
      <c r="E839" s="399"/>
      <c r="F839" s="399"/>
      <c r="G839" s="399"/>
      <c r="H839" s="399"/>
      <c r="J839" s="76"/>
      <c r="K839" s="76"/>
      <c r="L839" s="75"/>
      <c r="M839" s="76"/>
      <c r="N839" s="76"/>
      <c r="O839" s="76"/>
      <c r="P839" s="76"/>
      <c r="Q839" s="76"/>
      <c r="R839" s="76"/>
      <c r="S839" s="76"/>
      <c r="T839" s="76"/>
    </row>
    <row r="840" spans="1:20" s="309" customFormat="1" ht="14.1" customHeight="1">
      <c r="A840" s="75"/>
      <c r="B840" s="76"/>
      <c r="C840" s="76"/>
      <c r="D840" s="76"/>
      <c r="E840" s="399"/>
      <c r="F840" s="399"/>
      <c r="G840" s="399"/>
      <c r="H840" s="399"/>
      <c r="J840" s="76"/>
      <c r="K840" s="76"/>
      <c r="L840" s="75"/>
      <c r="M840" s="76"/>
      <c r="N840" s="76"/>
      <c r="O840" s="76"/>
      <c r="P840" s="76"/>
      <c r="Q840" s="76"/>
      <c r="R840" s="76"/>
      <c r="S840" s="76"/>
      <c r="T840" s="76"/>
    </row>
    <row r="841" spans="1:20" s="309" customFormat="1" ht="14.1" customHeight="1">
      <c r="A841" s="75"/>
      <c r="B841" s="76"/>
      <c r="C841" s="76"/>
      <c r="D841" s="76"/>
      <c r="E841" s="399"/>
      <c r="F841" s="399"/>
      <c r="G841" s="399"/>
      <c r="H841" s="399"/>
      <c r="J841" s="76"/>
      <c r="K841" s="76"/>
      <c r="L841" s="75"/>
      <c r="M841" s="76"/>
      <c r="N841" s="76"/>
      <c r="O841" s="76"/>
      <c r="P841" s="76"/>
      <c r="Q841" s="76"/>
      <c r="R841" s="76"/>
      <c r="S841" s="76"/>
      <c r="T841" s="76"/>
    </row>
    <row r="842" spans="1:20" s="309" customFormat="1" ht="14.1" customHeight="1">
      <c r="A842" s="75"/>
      <c r="B842" s="76"/>
      <c r="C842" s="76"/>
      <c r="D842" s="76"/>
      <c r="E842" s="399"/>
      <c r="F842" s="399"/>
      <c r="G842" s="399"/>
      <c r="H842" s="399"/>
      <c r="J842" s="76"/>
      <c r="K842" s="76"/>
      <c r="L842" s="75"/>
      <c r="M842" s="76"/>
      <c r="N842" s="76"/>
      <c r="O842" s="76"/>
      <c r="P842" s="76"/>
      <c r="Q842" s="76"/>
      <c r="R842" s="76"/>
      <c r="S842" s="76"/>
      <c r="T842" s="76"/>
    </row>
    <row r="843" spans="1:20" s="309" customFormat="1" ht="14.1" customHeight="1">
      <c r="A843" s="75"/>
      <c r="B843" s="76"/>
      <c r="C843" s="76"/>
      <c r="D843" s="76"/>
      <c r="E843" s="399"/>
      <c r="F843" s="399"/>
      <c r="G843" s="399"/>
      <c r="H843" s="399"/>
      <c r="J843" s="76"/>
      <c r="K843" s="76"/>
      <c r="L843" s="75"/>
      <c r="M843" s="76"/>
      <c r="N843" s="76"/>
      <c r="O843" s="76"/>
      <c r="P843" s="76"/>
      <c r="Q843" s="76"/>
      <c r="R843" s="76"/>
      <c r="S843" s="76"/>
      <c r="T843" s="76"/>
    </row>
    <row r="844" spans="1:20" s="309" customFormat="1" ht="14.1" customHeight="1">
      <c r="A844" s="75"/>
      <c r="B844" s="76"/>
      <c r="C844" s="76"/>
      <c r="D844" s="76"/>
      <c r="E844" s="399"/>
      <c r="F844" s="399"/>
      <c r="G844" s="399"/>
      <c r="H844" s="399"/>
      <c r="J844" s="76"/>
      <c r="K844" s="76"/>
      <c r="L844" s="75"/>
      <c r="M844" s="76"/>
      <c r="N844" s="76"/>
      <c r="O844" s="76"/>
      <c r="P844" s="76"/>
      <c r="Q844" s="76"/>
      <c r="R844" s="76"/>
      <c r="S844" s="76"/>
      <c r="T844" s="76"/>
    </row>
    <row r="845" spans="1:20" s="309" customFormat="1" ht="14.1" customHeight="1">
      <c r="A845" s="75"/>
      <c r="B845" s="76"/>
      <c r="C845" s="76"/>
      <c r="D845" s="76"/>
      <c r="E845" s="399"/>
      <c r="F845" s="399"/>
      <c r="G845" s="399"/>
      <c r="H845" s="399"/>
      <c r="J845" s="76"/>
      <c r="K845" s="76"/>
      <c r="L845" s="75"/>
      <c r="M845" s="76"/>
      <c r="N845" s="76"/>
      <c r="O845" s="76"/>
      <c r="P845" s="76"/>
      <c r="Q845" s="76"/>
      <c r="R845" s="76"/>
      <c r="S845" s="76"/>
      <c r="T845" s="76"/>
    </row>
    <row r="846" spans="1:20" s="309" customFormat="1" ht="14.1" customHeight="1">
      <c r="A846" s="75"/>
      <c r="B846" s="76"/>
      <c r="C846" s="76"/>
      <c r="D846" s="76"/>
      <c r="E846" s="399"/>
      <c r="F846" s="399"/>
      <c r="G846" s="399"/>
      <c r="H846" s="399"/>
      <c r="J846" s="76"/>
      <c r="K846" s="76"/>
      <c r="L846" s="75"/>
      <c r="M846" s="76"/>
      <c r="N846" s="76"/>
      <c r="O846" s="76"/>
      <c r="P846" s="76"/>
      <c r="Q846" s="76"/>
      <c r="R846" s="76"/>
      <c r="S846" s="76"/>
      <c r="T846" s="76"/>
    </row>
    <row r="847" spans="1:20" s="309" customFormat="1" ht="14.1" customHeight="1">
      <c r="A847" s="75"/>
      <c r="B847" s="76"/>
      <c r="C847" s="76"/>
      <c r="D847" s="76"/>
      <c r="E847" s="399"/>
      <c r="F847" s="399"/>
      <c r="G847" s="399"/>
      <c r="H847" s="399"/>
      <c r="J847" s="76"/>
      <c r="K847" s="76"/>
      <c r="L847" s="75"/>
      <c r="M847" s="76"/>
      <c r="N847" s="76"/>
      <c r="O847" s="76"/>
      <c r="P847" s="76"/>
      <c r="Q847" s="76"/>
      <c r="R847" s="76"/>
      <c r="S847" s="76"/>
      <c r="T847" s="76"/>
    </row>
    <row r="848" spans="1:20" s="309" customFormat="1" ht="14.1" customHeight="1">
      <c r="A848" s="75"/>
      <c r="B848" s="76"/>
      <c r="C848" s="76"/>
      <c r="D848" s="76"/>
      <c r="E848" s="399"/>
      <c r="F848" s="399"/>
      <c r="G848" s="399"/>
      <c r="H848" s="399"/>
      <c r="J848" s="76"/>
      <c r="K848" s="76"/>
      <c r="L848" s="75"/>
      <c r="M848" s="76"/>
      <c r="N848" s="76"/>
      <c r="O848" s="76"/>
      <c r="P848" s="76"/>
      <c r="Q848" s="76"/>
      <c r="R848" s="76"/>
      <c r="S848" s="76"/>
      <c r="T848" s="76"/>
    </row>
    <row r="849" spans="1:20" s="309" customFormat="1" ht="14.1" customHeight="1">
      <c r="A849" s="75"/>
      <c r="B849" s="76"/>
      <c r="C849" s="76"/>
      <c r="D849" s="76"/>
      <c r="E849" s="399"/>
      <c r="F849" s="399"/>
      <c r="G849" s="399"/>
      <c r="H849" s="399"/>
      <c r="J849" s="76"/>
      <c r="K849" s="76"/>
      <c r="L849" s="75"/>
      <c r="M849" s="76"/>
      <c r="N849" s="76"/>
      <c r="O849" s="76"/>
      <c r="P849" s="76"/>
      <c r="Q849" s="76"/>
      <c r="R849" s="76"/>
      <c r="S849" s="76"/>
      <c r="T849" s="76"/>
    </row>
    <row r="850" spans="1:20" s="309" customFormat="1" ht="14.1" customHeight="1">
      <c r="A850" s="75"/>
      <c r="B850" s="76"/>
      <c r="C850" s="76"/>
      <c r="D850" s="76"/>
      <c r="E850" s="399"/>
      <c r="F850" s="399"/>
      <c r="G850" s="399"/>
      <c r="H850" s="399"/>
      <c r="J850" s="76"/>
      <c r="K850" s="76"/>
      <c r="L850" s="75"/>
      <c r="M850" s="76"/>
      <c r="N850" s="76"/>
      <c r="O850" s="76"/>
      <c r="P850" s="76"/>
      <c r="Q850" s="76"/>
      <c r="R850" s="76"/>
      <c r="S850" s="76"/>
      <c r="T850" s="76"/>
    </row>
    <row r="851" spans="1:20" s="309" customFormat="1" ht="14.1" customHeight="1">
      <c r="A851" s="75"/>
      <c r="B851" s="76"/>
      <c r="C851" s="76"/>
      <c r="D851" s="76"/>
      <c r="E851" s="399"/>
      <c r="F851" s="399"/>
      <c r="G851" s="399"/>
      <c r="H851" s="399"/>
      <c r="J851" s="76"/>
      <c r="K851" s="76"/>
      <c r="L851" s="75"/>
      <c r="M851" s="76"/>
      <c r="N851" s="76"/>
      <c r="O851" s="76"/>
      <c r="P851" s="76"/>
      <c r="Q851" s="76"/>
      <c r="R851" s="76"/>
      <c r="S851" s="76"/>
      <c r="T851" s="76"/>
    </row>
    <row r="852" spans="1:20" s="309" customFormat="1" ht="14.1" customHeight="1">
      <c r="A852" s="75"/>
      <c r="B852" s="76"/>
      <c r="C852" s="76"/>
      <c r="D852" s="76"/>
      <c r="E852" s="399"/>
      <c r="F852" s="399"/>
      <c r="G852" s="399"/>
      <c r="H852" s="399"/>
      <c r="J852" s="76"/>
      <c r="K852" s="76"/>
      <c r="L852" s="75"/>
      <c r="M852" s="76"/>
      <c r="N852" s="76"/>
      <c r="O852" s="76"/>
      <c r="P852" s="76"/>
      <c r="Q852" s="76"/>
      <c r="R852" s="76"/>
      <c r="S852" s="76"/>
      <c r="T852" s="76"/>
    </row>
    <row r="853" spans="1:20" s="309" customFormat="1" ht="14.1" customHeight="1">
      <c r="A853" s="75"/>
      <c r="B853" s="76"/>
      <c r="C853" s="76"/>
      <c r="D853" s="76"/>
      <c r="E853" s="399"/>
      <c r="F853" s="399"/>
      <c r="G853" s="399"/>
      <c r="H853" s="399"/>
      <c r="J853" s="76"/>
      <c r="K853" s="76"/>
      <c r="L853" s="75"/>
      <c r="M853" s="76"/>
      <c r="N853" s="76"/>
      <c r="O853" s="76"/>
      <c r="P853" s="76"/>
      <c r="Q853" s="76"/>
      <c r="R853" s="76"/>
      <c r="S853" s="76"/>
      <c r="T853" s="76"/>
    </row>
    <row r="854" spans="1:20" s="309" customFormat="1" ht="14.1" customHeight="1">
      <c r="A854" s="75"/>
      <c r="B854" s="76"/>
      <c r="C854" s="76"/>
      <c r="D854" s="76"/>
      <c r="E854" s="399"/>
      <c r="F854" s="399"/>
      <c r="G854" s="399"/>
      <c r="H854" s="399"/>
      <c r="J854" s="76"/>
      <c r="K854" s="76"/>
      <c r="L854" s="75"/>
      <c r="M854" s="76"/>
      <c r="N854" s="76"/>
      <c r="O854" s="76"/>
      <c r="P854" s="76"/>
      <c r="Q854" s="76"/>
      <c r="R854" s="76"/>
      <c r="S854" s="76"/>
      <c r="T854" s="76"/>
    </row>
    <row r="855" spans="1:20" s="309" customFormat="1" ht="14.1" customHeight="1">
      <c r="A855" s="75"/>
      <c r="B855" s="76"/>
      <c r="C855" s="76"/>
      <c r="D855" s="76"/>
      <c r="E855" s="399"/>
      <c r="F855" s="399"/>
      <c r="G855" s="399"/>
      <c r="H855" s="399"/>
      <c r="J855" s="76"/>
      <c r="K855" s="76"/>
      <c r="L855" s="75"/>
      <c r="M855" s="76"/>
      <c r="N855" s="76"/>
      <c r="O855" s="76"/>
      <c r="P855" s="76"/>
      <c r="Q855" s="76"/>
      <c r="R855" s="76"/>
      <c r="S855" s="76"/>
      <c r="T855" s="76"/>
    </row>
    <row r="856" spans="1:20" s="309" customFormat="1" ht="14.1" customHeight="1">
      <c r="A856" s="75"/>
      <c r="B856" s="76"/>
      <c r="C856" s="76"/>
      <c r="D856" s="76"/>
      <c r="E856" s="399"/>
      <c r="F856" s="399"/>
      <c r="G856" s="399"/>
      <c r="H856" s="399"/>
      <c r="J856" s="76"/>
      <c r="K856" s="76"/>
      <c r="L856" s="75"/>
      <c r="M856" s="76"/>
      <c r="N856" s="76"/>
      <c r="O856" s="76"/>
      <c r="P856" s="76"/>
      <c r="Q856" s="76"/>
      <c r="R856" s="76"/>
      <c r="S856" s="76"/>
      <c r="T856" s="76"/>
    </row>
    <row r="857" spans="1:20" s="309" customFormat="1" ht="14.1" customHeight="1">
      <c r="A857" s="75"/>
      <c r="B857" s="76"/>
      <c r="C857" s="76"/>
      <c r="D857" s="76"/>
      <c r="E857" s="399"/>
      <c r="F857" s="399"/>
      <c r="G857" s="399"/>
      <c r="H857" s="399"/>
      <c r="J857" s="76"/>
      <c r="K857" s="76"/>
      <c r="L857" s="75"/>
      <c r="M857" s="76"/>
      <c r="N857" s="76"/>
      <c r="O857" s="76"/>
      <c r="P857" s="76"/>
      <c r="Q857" s="76"/>
      <c r="R857" s="76"/>
      <c r="S857" s="76"/>
      <c r="T857" s="76"/>
    </row>
    <row r="858" spans="1:20" s="309" customFormat="1" ht="14.1" customHeight="1">
      <c r="A858" s="75"/>
      <c r="B858" s="76"/>
      <c r="C858" s="76"/>
      <c r="D858" s="76"/>
      <c r="E858" s="399"/>
      <c r="F858" s="399"/>
      <c r="G858" s="399"/>
      <c r="H858" s="399"/>
      <c r="J858" s="76"/>
      <c r="K858" s="76"/>
      <c r="L858" s="75"/>
      <c r="M858" s="76"/>
      <c r="N858" s="76"/>
      <c r="O858" s="76"/>
      <c r="P858" s="76"/>
      <c r="Q858" s="76"/>
      <c r="R858" s="76"/>
      <c r="S858" s="76"/>
      <c r="T858" s="76"/>
    </row>
    <row r="859" spans="1:20" s="309" customFormat="1" ht="14.1" customHeight="1">
      <c r="A859" s="75"/>
      <c r="B859" s="76"/>
      <c r="C859" s="76"/>
      <c r="D859" s="76"/>
      <c r="E859" s="399"/>
      <c r="F859" s="399"/>
      <c r="G859" s="399"/>
      <c r="H859" s="399"/>
      <c r="J859" s="76"/>
      <c r="K859" s="76"/>
      <c r="L859" s="75"/>
      <c r="M859" s="76"/>
      <c r="N859" s="76"/>
      <c r="O859" s="76"/>
      <c r="P859" s="76"/>
      <c r="Q859" s="76"/>
      <c r="R859" s="76"/>
      <c r="S859" s="76"/>
      <c r="T859" s="76"/>
    </row>
    <row r="860" spans="1:20" s="309" customFormat="1" ht="14.1" customHeight="1">
      <c r="A860" s="75"/>
      <c r="B860" s="76"/>
      <c r="C860" s="76"/>
      <c r="D860" s="76"/>
      <c r="E860" s="399"/>
      <c r="F860" s="399"/>
      <c r="G860" s="399"/>
      <c r="H860" s="399"/>
      <c r="J860" s="76"/>
      <c r="K860" s="76"/>
      <c r="L860" s="75"/>
      <c r="M860" s="76"/>
      <c r="N860" s="76"/>
      <c r="O860" s="76"/>
      <c r="P860" s="76"/>
      <c r="Q860" s="76"/>
      <c r="R860" s="76"/>
      <c r="S860" s="76"/>
      <c r="T860" s="76"/>
    </row>
    <row r="861" spans="1:20" s="309" customFormat="1" ht="14.1" customHeight="1">
      <c r="A861" s="75"/>
      <c r="B861" s="76"/>
      <c r="C861" s="76"/>
      <c r="D861" s="76"/>
      <c r="E861" s="399"/>
      <c r="F861" s="399"/>
      <c r="G861" s="399"/>
      <c r="H861" s="399"/>
      <c r="J861" s="76"/>
      <c r="K861" s="76"/>
      <c r="L861" s="75"/>
      <c r="M861" s="76"/>
      <c r="N861" s="76"/>
      <c r="O861" s="76"/>
      <c r="P861" s="76"/>
      <c r="Q861" s="76"/>
      <c r="R861" s="76"/>
      <c r="S861" s="76"/>
      <c r="T861" s="76"/>
    </row>
    <row r="862" spans="1:20" s="309" customFormat="1" ht="14.1" customHeight="1">
      <c r="A862" s="75"/>
      <c r="B862" s="76"/>
      <c r="C862" s="76"/>
      <c r="D862" s="76"/>
      <c r="E862" s="399"/>
      <c r="F862" s="399"/>
      <c r="G862" s="399"/>
      <c r="H862" s="399"/>
      <c r="J862" s="76"/>
      <c r="K862" s="76"/>
      <c r="L862" s="75"/>
      <c r="M862" s="76"/>
      <c r="N862" s="76"/>
      <c r="O862" s="76"/>
      <c r="P862" s="76"/>
      <c r="Q862" s="76"/>
      <c r="R862" s="76"/>
      <c r="S862" s="76"/>
      <c r="T862" s="76"/>
    </row>
    <row r="863" spans="1:20" s="309" customFormat="1" ht="14.1" customHeight="1">
      <c r="A863" s="75"/>
      <c r="B863" s="76"/>
      <c r="C863" s="76"/>
      <c r="D863" s="76"/>
      <c r="E863" s="399"/>
      <c r="F863" s="399"/>
      <c r="G863" s="399"/>
      <c r="H863" s="399"/>
      <c r="J863" s="76"/>
      <c r="K863" s="76"/>
      <c r="L863" s="75"/>
      <c r="M863" s="76"/>
      <c r="N863" s="76"/>
      <c r="O863" s="76"/>
      <c r="P863" s="76"/>
      <c r="Q863" s="76"/>
      <c r="R863" s="76"/>
      <c r="S863" s="76"/>
      <c r="T863" s="76"/>
    </row>
    <row r="864" spans="1:20" s="309" customFormat="1" ht="14.1" customHeight="1">
      <c r="A864" s="75"/>
      <c r="B864" s="76"/>
      <c r="C864" s="76"/>
      <c r="D864" s="76"/>
      <c r="E864" s="399"/>
      <c r="F864" s="399"/>
      <c r="G864" s="399"/>
      <c r="H864" s="399"/>
      <c r="J864" s="76"/>
      <c r="K864" s="76"/>
      <c r="L864" s="75"/>
      <c r="M864" s="76"/>
      <c r="N864" s="76"/>
      <c r="O864" s="76"/>
      <c r="P864" s="76"/>
      <c r="Q864" s="76"/>
      <c r="R864" s="76"/>
      <c r="S864" s="76"/>
      <c r="T864" s="76"/>
    </row>
    <row r="865" spans="1:20" s="309" customFormat="1" ht="14.1" customHeight="1">
      <c r="A865" s="75"/>
      <c r="B865" s="76"/>
      <c r="C865" s="76"/>
      <c r="D865" s="76"/>
      <c r="E865" s="399"/>
      <c r="F865" s="399"/>
      <c r="G865" s="399"/>
      <c r="H865" s="399"/>
      <c r="J865" s="76"/>
      <c r="K865" s="76"/>
      <c r="L865" s="75"/>
      <c r="M865" s="76"/>
      <c r="N865" s="76"/>
      <c r="O865" s="76"/>
      <c r="P865" s="76"/>
      <c r="Q865" s="76"/>
      <c r="R865" s="76"/>
      <c r="S865" s="76"/>
      <c r="T865" s="76"/>
    </row>
    <row r="866" spans="1:20" s="309" customFormat="1" ht="14.1" customHeight="1">
      <c r="A866" s="75"/>
      <c r="B866" s="76"/>
      <c r="C866" s="76"/>
      <c r="D866" s="76"/>
      <c r="E866" s="399"/>
      <c r="F866" s="399"/>
      <c r="G866" s="399"/>
      <c r="H866" s="399"/>
      <c r="J866" s="76"/>
      <c r="K866" s="76"/>
      <c r="L866" s="75"/>
      <c r="M866" s="76"/>
      <c r="N866" s="76"/>
      <c r="O866" s="76"/>
      <c r="P866" s="76"/>
      <c r="Q866" s="76"/>
      <c r="R866" s="76"/>
      <c r="S866" s="76"/>
      <c r="T866" s="76"/>
    </row>
    <row r="867" spans="1:20" s="309" customFormat="1" ht="14.1" customHeight="1">
      <c r="A867" s="75"/>
      <c r="B867" s="76"/>
      <c r="C867" s="76"/>
      <c r="D867" s="76"/>
      <c r="E867" s="399"/>
      <c r="F867" s="399"/>
      <c r="G867" s="399"/>
      <c r="H867" s="399"/>
      <c r="J867" s="76"/>
      <c r="K867" s="76"/>
      <c r="L867" s="75"/>
      <c r="M867" s="76"/>
      <c r="N867" s="76"/>
      <c r="O867" s="76"/>
      <c r="P867" s="76"/>
      <c r="Q867" s="76"/>
      <c r="R867" s="76"/>
      <c r="S867" s="76"/>
      <c r="T867" s="76"/>
    </row>
    <row r="868" spans="1:20" s="309" customFormat="1" ht="14.1" customHeight="1">
      <c r="A868" s="75"/>
      <c r="B868" s="76"/>
      <c r="C868" s="76"/>
      <c r="D868" s="76"/>
      <c r="E868" s="399"/>
      <c r="F868" s="399"/>
      <c r="G868" s="399"/>
      <c r="H868" s="399"/>
      <c r="J868" s="76"/>
      <c r="K868" s="76"/>
      <c r="L868" s="75"/>
      <c r="M868" s="76"/>
      <c r="N868" s="76"/>
      <c r="O868" s="76"/>
      <c r="P868" s="76"/>
      <c r="Q868" s="76"/>
      <c r="R868" s="76"/>
      <c r="S868" s="76"/>
      <c r="T868" s="76"/>
    </row>
    <row r="869" spans="1:20" s="309" customFormat="1" ht="14.1" customHeight="1">
      <c r="A869" s="75"/>
      <c r="B869" s="76"/>
      <c r="C869" s="76"/>
      <c r="D869" s="76"/>
      <c r="E869" s="399"/>
      <c r="F869" s="399"/>
      <c r="G869" s="399"/>
      <c r="H869" s="399"/>
      <c r="J869" s="76"/>
      <c r="K869" s="76"/>
      <c r="L869" s="75"/>
      <c r="M869" s="76"/>
      <c r="N869" s="76"/>
      <c r="O869" s="76"/>
      <c r="P869" s="76"/>
      <c r="Q869" s="76"/>
      <c r="R869" s="76"/>
      <c r="S869" s="76"/>
      <c r="T869" s="76"/>
    </row>
    <row r="870" spans="1:20" s="309" customFormat="1" ht="14.1" customHeight="1">
      <c r="A870" s="75"/>
      <c r="B870" s="76"/>
      <c r="C870" s="76"/>
      <c r="D870" s="76"/>
      <c r="E870" s="399"/>
      <c r="F870" s="399"/>
      <c r="G870" s="399"/>
      <c r="H870" s="399"/>
      <c r="J870" s="76"/>
      <c r="K870" s="76"/>
      <c r="L870" s="75"/>
      <c r="M870" s="76"/>
      <c r="N870" s="76"/>
      <c r="O870" s="76"/>
      <c r="P870" s="76"/>
      <c r="Q870" s="76"/>
      <c r="R870" s="76"/>
      <c r="S870" s="76"/>
      <c r="T870" s="76"/>
    </row>
    <row r="871" spans="1:20" s="309" customFormat="1" ht="14.1" customHeight="1">
      <c r="A871" s="75"/>
      <c r="B871" s="76"/>
      <c r="C871" s="76"/>
      <c r="D871" s="76"/>
      <c r="E871" s="399"/>
      <c r="F871" s="399"/>
      <c r="G871" s="399"/>
      <c r="H871" s="399"/>
      <c r="J871" s="76"/>
      <c r="K871" s="76"/>
      <c r="L871" s="75"/>
      <c r="M871" s="76"/>
      <c r="N871" s="76"/>
      <c r="O871" s="76"/>
      <c r="P871" s="76"/>
      <c r="Q871" s="76"/>
      <c r="R871" s="76"/>
      <c r="S871" s="76"/>
      <c r="T871" s="76"/>
    </row>
    <row r="872" spans="1:20" s="309" customFormat="1" ht="14.1" customHeight="1">
      <c r="A872" s="75"/>
      <c r="B872" s="76"/>
      <c r="C872" s="76"/>
      <c r="D872" s="76"/>
      <c r="E872" s="399"/>
      <c r="F872" s="399"/>
      <c r="G872" s="399"/>
      <c r="H872" s="399"/>
      <c r="J872" s="76"/>
      <c r="K872" s="76"/>
      <c r="L872" s="75"/>
      <c r="M872" s="76"/>
      <c r="N872" s="76"/>
      <c r="O872" s="76"/>
      <c r="P872" s="76"/>
      <c r="Q872" s="76"/>
      <c r="R872" s="76"/>
      <c r="S872" s="76"/>
      <c r="T872" s="76"/>
    </row>
    <row r="873" spans="1:20" s="309" customFormat="1" ht="14.1" customHeight="1">
      <c r="A873" s="75"/>
      <c r="B873" s="76"/>
      <c r="C873" s="76"/>
      <c r="D873" s="76"/>
      <c r="E873" s="399"/>
      <c r="F873" s="399"/>
      <c r="G873" s="399"/>
      <c r="H873" s="399"/>
      <c r="J873" s="76"/>
      <c r="K873" s="76"/>
      <c r="L873" s="75"/>
      <c r="M873" s="76"/>
      <c r="N873" s="76"/>
      <c r="O873" s="76"/>
      <c r="P873" s="76"/>
      <c r="Q873" s="76"/>
      <c r="R873" s="76"/>
      <c r="S873" s="76"/>
      <c r="T873" s="76"/>
    </row>
    <row r="874" spans="1:20" s="309" customFormat="1" ht="14.1" customHeight="1">
      <c r="A874" s="75"/>
      <c r="B874" s="76"/>
      <c r="C874" s="76"/>
      <c r="D874" s="76"/>
      <c r="E874" s="399"/>
      <c r="F874" s="399"/>
      <c r="G874" s="399"/>
      <c r="H874" s="399"/>
      <c r="J874" s="76"/>
      <c r="K874" s="76"/>
      <c r="L874" s="75"/>
      <c r="M874" s="76"/>
      <c r="N874" s="76"/>
      <c r="O874" s="76"/>
      <c r="P874" s="76"/>
      <c r="Q874" s="76"/>
      <c r="R874" s="76"/>
      <c r="S874" s="76"/>
      <c r="T874" s="76"/>
    </row>
    <row r="875" spans="1:20" s="309" customFormat="1" ht="14.1" customHeight="1">
      <c r="A875" s="75"/>
      <c r="B875" s="76"/>
      <c r="C875" s="76"/>
      <c r="D875" s="76"/>
      <c r="E875" s="399"/>
      <c r="F875" s="399"/>
      <c r="G875" s="399"/>
      <c r="H875" s="399"/>
      <c r="J875" s="76"/>
      <c r="K875" s="76"/>
      <c r="L875" s="75"/>
      <c r="M875" s="76"/>
      <c r="N875" s="76"/>
      <c r="O875" s="76"/>
      <c r="P875" s="76"/>
      <c r="Q875" s="76"/>
      <c r="R875" s="76"/>
      <c r="S875" s="76"/>
      <c r="T875" s="76"/>
    </row>
    <row r="876" spans="1:20" s="309" customFormat="1" ht="14.1" customHeight="1">
      <c r="A876" s="75"/>
      <c r="B876" s="76"/>
      <c r="C876" s="76"/>
      <c r="D876" s="76"/>
      <c r="E876" s="399"/>
      <c r="F876" s="399"/>
      <c r="G876" s="399"/>
      <c r="H876" s="399"/>
      <c r="J876" s="76"/>
      <c r="K876" s="76"/>
      <c r="L876" s="75"/>
      <c r="M876" s="76"/>
      <c r="N876" s="76"/>
      <c r="O876" s="76"/>
      <c r="P876" s="76"/>
      <c r="Q876" s="76"/>
      <c r="R876" s="76"/>
      <c r="S876" s="76"/>
      <c r="T876" s="76"/>
    </row>
    <row r="877" spans="1:20" s="309" customFormat="1" ht="14.1" customHeight="1">
      <c r="A877" s="75"/>
      <c r="B877" s="76"/>
      <c r="C877" s="76"/>
      <c r="D877" s="76"/>
      <c r="E877" s="399"/>
      <c r="F877" s="399"/>
      <c r="G877" s="399"/>
      <c r="H877" s="399"/>
      <c r="J877" s="76"/>
      <c r="K877" s="76"/>
      <c r="L877" s="75"/>
      <c r="M877" s="76"/>
      <c r="N877" s="76"/>
      <c r="O877" s="76"/>
      <c r="P877" s="76"/>
      <c r="Q877" s="76"/>
      <c r="R877" s="76"/>
      <c r="S877" s="76"/>
      <c r="T877" s="76"/>
    </row>
    <row r="878" spans="1:20" s="309" customFormat="1" ht="14.1" customHeight="1">
      <c r="A878" s="75"/>
      <c r="B878" s="76"/>
      <c r="C878" s="76"/>
      <c r="D878" s="76"/>
      <c r="E878" s="399"/>
      <c r="F878" s="399"/>
      <c r="G878" s="399"/>
      <c r="H878" s="399"/>
      <c r="J878" s="76"/>
      <c r="K878" s="76"/>
      <c r="L878" s="75"/>
      <c r="M878" s="76"/>
      <c r="N878" s="76"/>
      <c r="O878" s="76"/>
      <c r="P878" s="76"/>
      <c r="Q878" s="76"/>
      <c r="R878" s="76"/>
      <c r="S878" s="76"/>
      <c r="T878" s="76"/>
    </row>
    <row r="879" spans="1:20" s="309" customFormat="1" ht="14.1" customHeight="1">
      <c r="A879" s="75"/>
      <c r="B879" s="76"/>
      <c r="C879" s="76"/>
      <c r="D879" s="76"/>
      <c r="E879" s="399"/>
      <c r="F879" s="399"/>
      <c r="G879" s="399"/>
      <c r="H879" s="399"/>
      <c r="J879" s="76"/>
      <c r="K879" s="76"/>
      <c r="L879" s="75"/>
      <c r="M879" s="76"/>
      <c r="N879" s="76"/>
      <c r="O879" s="76"/>
      <c r="P879" s="76"/>
      <c r="Q879" s="76"/>
      <c r="R879" s="76"/>
      <c r="S879" s="76"/>
      <c r="T879" s="76"/>
    </row>
    <row r="880" spans="1:20" s="309" customFormat="1" ht="14.1" customHeight="1">
      <c r="A880" s="75"/>
      <c r="B880" s="76"/>
      <c r="C880" s="76"/>
      <c r="D880" s="76"/>
      <c r="E880" s="399"/>
      <c r="F880" s="399"/>
      <c r="G880" s="399"/>
      <c r="H880" s="399"/>
      <c r="J880" s="76"/>
      <c r="K880" s="76"/>
      <c r="L880" s="75"/>
      <c r="M880" s="76"/>
      <c r="N880" s="76"/>
      <c r="O880" s="76"/>
      <c r="P880" s="76"/>
      <c r="Q880" s="76"/>
      <c r="R880" s="76"/>
      <c r="S880" s="76"/>
      <c r="T880" s="76"/>
    </row>
    <row r="881" spans="1:20" s="309" customFormat="1" ht="14.1" customHeight="1">
      <c r="A881" s="75"/>
      <c r="B881" s="76"/>
      <c r="C881" s="76"/>
      <c r="D881" s="76"/>
      <c r="E881" s="399"/>
      <c r="F881" s="399"/>
      <c r="G881" s="399"/>
      <c r="H881" s="399"/>
      <c r="J881" s="76"/>
      <c r="K881" s="76"/>
      <c r="L881" s="75"/>
      <c r="M881" s="76"/>
      <c r="N881" s="76"/>
      <c r="O881" s="76"/>
      <c r="P881" s="76"/>
      <c r="Q881" s="76"/>
      <c r="R881" s="76"/>
      <c r="S881" s="76"/>
      <c r="T881" s="76"/>
    </row>
    <row r="882" spans="1:20" s="309" customFormat="1" ht="14.1" customHeight="1">
      <c r="A882" s="75"/>
      <c r="B882" s="76"/>
      <c r="C882" s="76"/>
      <c r="D882" s="76"/>
      <c r="E882" s="399"/>
      <c r="F882" s="399"/>
      <c r="G882" s="399"/>
      <c r="H882" s="399"/>
      <c r="J882" s="76"/>
      <c r="K882" s="76"/>
      <c r="L882" s="75"/>
      <c r="M882" s="76"/>
      <c r="N882" s="76"/>
      <c r="O882" s="76"/>
      <c r="P882" s="76"/>
      <c r="Q882" s="76"/>
      <c r="R882" s="76"/>
      <c r="S882" s="76"/>
      <c r="T882" s="76"/>
    </row>
    <row r="883" spans="1:20" s="309" customFormat="1" ht="14.1" customHeight="1">
      <c r="A883" s="75"/>
      <c r="B883" s="76"/>
      <c r="C883" s="76"/>
      <c r="D883" s="76"/>
      <c r="E883" s="399"/>
      <c r="F883" s="399"/>
      <c r="G883" s="399"/>
      <c r="H883" s="399"/>
      <c r="J883" s="76"/>
      <c r="K883" s="76"/>
      <c r="L883" s="75"/>
      <c r="M883" s="76"/>
      <c r="N883" s="76"/>
      <c r="O883" s="76"/>
      <c r="P883" s="76"/>
      <c r="Q883" s="76"/>
      <c r="R883" s="76"/>
      <c r="S883" s="76"/>
      <c r="T883" s="76"/>
    </row>
    <row r="884" spans="1:20" s="309" customFormat="1" ht="14.1" customHeight="1">
      <c r="A884" s="75"/>
      <c r="B884" s="76"/>
      <c r="C884" s="76"/>
      <c r="D884" s="76"/>
      <c r="E884" s="399"/>
      <c r="F884" s="399"/>
      <c r="G884" s="399"/>
      <c r="H884" s="399"/>
      <c r="J884" s="76"/>
      <c r="K884" s="76"/>
      <c r="L884" s="75"/>
      <c r="M884" s="76"/>
      <c r="N884" s="76"/>
      <c r="O884" s="76"/>
      <c r="P884" s="76"/>
      <c r="Q884" s="76"/>
      <c r="R884" s="76"/>
      <c r="S884" s="76"/>
      <c r="T884" s="76"/>
    </row>
    <row r="885" spans="1:20" s="309" customFormat="1" ht="14.1" customHeight="1">
      <c r="A885" s="75"/>
      <c r="B885" s="76"/>
      <c r="C885" s="76"/>
      <c r="D885" s="76"/>
      <c r="E885" s="399"/>
      <c r="F885" s="399"/>
      <c r="G885" s="399"/>
      <c r="H885" s="399"/>
      <c r="J885" s="76"/>
      <c r="K885" s="76"/>
      <c r="L885" s="75"/>
      <c r="M885" s="76"/>
      <c r="N885" s="76"/>
      <c r="O885" s="76"/>
      <c r="P885" s="76"/>
      <c r="Q885" s="76"/>
      <c r="R885" s="76"/>
      <c r="S885" s="76"/>
      <c r="T885" s="76"/>
    </row>
    <row r="886" spans="1:20" s="309" customFormat="1" ht="14.1" customHeight="1">
      <c r="A886" s="75"/>
      <c r="B886" s="76"/>
      <c r="C886" s="76"/>
      <c r="D886" s="76"/>
      <c r="E886" s="399"/>
      <c r="F886" s="399"/>
      <c r="G886" s="399"/>
      <c r="H886" s="399"/>
      <c r="J886" s="76"/>
      <c r="K886" s="76"/>
      <c r="L886" s="75"/>
      <c r="M886" s="76"/>
      <c r="N886" s="76"/>
      <c r="O886" s="76"/>
      <c r="P886" s="76"/>
      <c r="Q886" s="76"/>
      <c r="R886" s="76"/>
      <c r="S886" s="76"/>
      <c r="T886" s="76"/>
    </row>
    <row r="887" spans="1:20" s="309" customFormat="1" ht="14.1" customHeight="1">
      <c r="A887" s="75"/>
      <c r="B887" s="76"/>
      <c r="C887" s="76"/>
      <c r="D887" s="76"/>
      <c r="E887" s="399"/>
      <c r="F887" s="399"/>
      <c r="G887" s="399"/>
      <c r="H887" s="399"/>
      <c r="J887" s="76"/>
      <c r="K887" s="76"/>
      <c r="L887" s="75"/>
      <c r="M887" s="76"/>
      <c r="N887" s="76"/>
      <c r="O887" s="76"/>
      <c r="P887" s="76"/>
      <c r="Q887" s="76"/>
      <c r="R887" s="76"/>
      <c r="S887" s="76"/>
      <c r="T887" s="76"/>
    </row>
    <row r="888" spans="1:20" s="309" customFormat="1" ht="14.1" customHeight="1">
      <c r="A888" s="75"/>
      <c r="B888" s="76"/>
      <c r="C888" s="76"/>
      <c r="D888" s="76"/>
      <c r="E888" s="399"/>
      <c r="F888" s="399"/>
      <c r="G888" s="399"/>
      <c r="H888" s="399"/>
      <c r="J888" s="76"/>
      <c r="K888" s="76"/>
      <c r="L888" s="75"/>
      <c r="M888" s="76"/>
      <c r="N888" s="76"/>
      <c r="O888" s="76"/>
      <c r="P888" s="76"/>
      <c r="Q888" s="76"/>
      <c r="R888" s="76"/>
      <c r="S888" s="76"/>
      <c r="T888" s="76"/>
    </row>
    <row r="889" spans="1:20" s="309" customFormat="1" ht="14.1" customHeight="1">
      <c r="A889" s="75"/>
      <c r="B889" s="76"/>
      <c r="C889" s="76"/>
      <c r="D889" s="76"/>
      <c r="E889" s="399"/>
      <c r="F889" s="399"/>
      <c r="G889" s="399"/>
      <c r="H889" s="399"/>
      <c r="J889" s="76"/>
      <c r="K889" s="76"/>
      <c r="L889" s="75"/>
      <c r="M889" s="76"/>
      <c r="N889" s="76"/>
      <c r="O889" s="76"/>
      <c r="P889" s="76"/>
      <c r="Q889" s="76"/>
      <c r="R889" s="76"/>
      <c r="S889" s="76"/>
      <c r="T889" s="76"/>
    </row>
    <row r="890" spans="1:20" s="309" customFormat="1" ht="14.1" customHeight="1">
      <c r="A890" s="75"/>
      <c r="B890" s="76"/>
      <c r="C890" s="76"/>
      <c r="D890" s="76"/>
      <c r="E890" s="399"/>
      <c r="F890" s="399"/>
      <c r="G890" s="399"/>
      <c r="H890" s="399"/>
      <c r="J890" s="76"/>
      <c r="K890" s="76"/>
      <c r="L890" s="75"/>
      <c r="M890" s="76"/>
      <c r="N890" s="76"/>
      <c r="O890" s="76"/>
      <c r="P890" s="76"/>
      <c r="Q890" s="76"/>
      <c r="R890" s="76"/>
      <c r="S890" s="76"/>
      <c r="T890" s="76"/>
    </row>
    <row r="891" spans="1:20" s="309" customFormat="1" ht="14.1" customHeight="1">
      <c r="A891" s="75"/>
      <c r="B891" s="76"/>
      <c r="C891" s="76"/>
      <c r="D891" s="76"/>
      <c r="E891" s="399"/>
      <c r="F891" s="399"/>
      <c r="G891" s="399"/>
      <c r="H891" s="399"/>
      <c r="J891" s="76"/>
      <c r="K891" s="76"/>
      <c r="L891" s="75"/>
      <c r="M891" s="76"/>
      <c r="N891" s="76"/>
      <c r="O891" s="76"/>
      <c r="P891" s="76"/>
      <c r="Q891" s="76"/>
      <c r="R891" s="76"/>
      <c r="S891" s="76"/>
      <c r="T891" s="76"/>
    </row>
    <row r="892" spans="1:20" s="309" customFormat="1" ht="14.1" customHeight="1">
      <c r="A892" s="75"/>
      <c r="B892" s="76"/>
      <c r="C892" s="76"/>
      <c r="D892" s="76"/>
      <c r="E892" s="399"/>
      <c r="F892" s="399"/>
      <c r="G892" s="399"/>
      <c r="H892" s="399"/>
      <c r="J892" s="76"/>
      <c r="K892" s="76"/>
      <c r="L892" s="75"/>
      <c r="M892" s="76"/>
      <c r="N892" s="76"/>
      <c r="O892" s="76"/>
      <c r="P892" s="76"/>
      <c r="Q892" s="76"/>
      <c r="R892" s="76"/>
      <c r="S892" s="76"/>
      <c r="T892" s="76"/>
    </row>
    <row r="893" spans="1:20" s="309" customFormat="1" ht="14.1" customHeight="1">
      <c r="A893" s="75"/>
      <c r="B893" s="76"/>
      <c r="C893" s="76"/>
      <c r="D893" s="76"/>
      <c r="E893" s="399"/>
      <c r="F893" s="399"/>
      <c r="G893" s="399"/>
      <c r="H893" s="399"/>
      <c r="J893" s="76"/>
      <c r="K893" s="76"/>
      <c r="L893" s="75"/>
      <c r="M893" s="76"/>
      <c r="N893" s="76"/>
      <c r="O893" s="76"/>
      <c r="P893" s="76"/>
      <c r="Q893" s="76"/>
      <c r="R893" s="76"/>
      <c r="S893" s="76"/>
      <c r="T893" s="76"/>
    </row>
    <row r="894" spans="1:20" s="309" customFormat="1" ht="14.1" customHeight="1">
      <c r="A894" s="75"/>
      <c r="B894" s="76"/>
      <c r="C894" s="76"/>
      <c r="D894" s="76"/>
      <c r="E894" s="399"/>
      <c r="F894" s="399"/>
      <c r="G894" s="399"/>
      <c r="H894" s="399"/>
      <c r="J894" s="76"/>
      <c r="K894" s="76"/>
      <c r="L894" s="75"/>
      <c r="M894" s="76"/>
      <c r="N894" s="76"/>
      <c r="O894" s="76"/>
      <c r="P894" s="76"/>
      <c r="Q894" s="76"/>
      <c r="R894" s="76"/>
      <c r="S894" s="76"/>
      <c r="T894" s="76"/>
    </row>
    <row r="895" spans="1:20" s="309" customFormat="1" ht="14.1" customHeight="1">
      <c r="A895" s="75"/>
      <c r="B895" s="76"/>
      <c r="C895" s="76"/>
      <c r="D895" s="76"/>
      <c r="E895" s="399"/>
      <c r="F895" s="399"/>
      <c r="G895" s="399"/>
      <c r="H895" s="399"/>
      <c r="J895" s="76"/>
      <c r="K895" s="76"/>
      <c r="L895" s="75"/>
      <c r="M895" s="76"/>
      <c r="N895" s="76"/>
      <c r="O895" s="76"/>
      <c r="P895" s="76"/>
      <c r="Q895" s="76"/>
      <c r="R895" s="76"/>
      <c r="S895" s="76"/>
      <c r="T895" s="76"/>
    </row>
    <row r="896" spans="1:20" s="309" customFormat="1" ht="14.1" customHeight="1">
      <c r="A896" s="75"/>
      <c r="B896" s="76"/>
      <c r="C896" s="76"/>
      <c r="D896" s="76"/>
      <c r="E896" s="399"/>
      <c r="F896" s="399"/>
      <c r="G896" s="399"/>
      <c r="H896" s="399"/>
      <c r="J896" s="76"/>
      <c r="K896" s="76"/>
      <c r="L896" s="75"/>
      <c r="M896" s="76"/>
      <c r="N896" s="76"/>
      <c r="O896" s="76"/>
      <c r="P896" s="76"/>
      <c r="Q896" s="76"/>
      <c r="R896" s="76"/>
      <c r="S896" s="76"/>
      <c r="T896" s="76"/>
    </row>
    <row r="897" spans="1:20" s="309" customFormat="1" ht="14.1" customHeight="1">
      <c r="A897" s="75"/>
      <c r="B897" s="76"/>
      <c r="C897" s="76"/>
      <c r="D897" s="76"/>
      <c r="E897" s="399"/>
      <c r="F897" s="399"/>
      <c r="G897" s="399"/>
      <c r="H897" s="399"/>
      <c r="J897" s="76"/>
      <c r="K897" s="76"/>
      <c r="L897" s="75"/>
      <c r="M897" s="76"/>
      <c r="N897" s="76"/>
      <c r="O897" s="76"/>
      <c r="P897" s="76"/>
      <c r="Q897" s="76"/>
      <c r="R897" s="76"/>
      <c r="S897" s="76"/>
      <c r="T897" s="76"/>
    </row>
    <row r="898" spans="1:20" s="309" customFormat="1" ht="14.1" customHeight="1">
      <c r="A898" s="75"/>
      <c r="B898" s="76"/>
      <c r="C898" s="76"/>
      <c r="D898" s="76"/>
      <c r="E898" s="399"/>
      <c r="F898" s="399"/>
      <c r="G898" s="399"/>
      <c r="H898" s="399"/>
      <c r="J898" s="76"/>
      <c r="K898" s="76"/>
      <c r="L898" s="75"/>
      <c r="M898" s="76"/>
      <c r="N898" s="76"/>
      <c r="O898" s="76"/>
      <c r="P898" s="76"/>
      <c r="Q898" s="76"/>
      <c r="R898" s="76"/>
      <c r="S898" s="76"/>
      <c r="T898" s="76"/>
    </row>
    <row r="899" spans="1:20" s="309" customFormat="1" ht="14.1" customHeight="1">
      <c r="A899" s="75"/>
      <c r="B899" s="76"/>
      <c r="C899" s="76"/>
      <c r="D899" s="76"/>
      <c r="E899" s="399"/>
      <c r="F899" s="399"/>
      <c r="G899" s="399"/>
      <c r="H899" s="399"/>
      <c r="J899" s="76"/>
      <c r="K899" s="76"/>
      <c r="L899" s="75"/>
      <c r="M899" s="76"/>
      <c r="N899" s="76"/>
      <c r="O899" s="76"/>
      <c r="P899" s="76"/>
      <c r="Q899" s="76"/>
      <c r="R899" s="76"/>
      <c r="S899" s="76"/>
      <c r="T899" s="76"/>
    </row>
    <row r="900" spans="1:20" s="309" customFormat="1" ht="14.1" customHeight="1">
      <c r="A900" s="75"/>
      <c r="B900" s="76"/>
      <c r="C900" s="76"/>
      <c r="D900" s="76"/>
      <c r="E900" s="399"/>
      <c r="F900" s="399"/>
      <c r="G900" s="399"/>
      <c r="H900" s="399"/>
      <c r="J900" s="76"/>
      <c r="K900" s="76"/>
      <c r="L900" s="75"/>
      <c r="M900" s="76"/>
      <c r="N900" s="76"/>
      <c r="O900" s="76"/>
      <c r="P900" s="76"/>
      <c r="Q900" s="76"/>
      <c r="R900" s="76"/>
      <c r="S900" s="76"/>
      <c r="T900" s="76"/>
    </row>
    <row r="901" spans="1:20" s="309" customFormat="1" ht="14.1" customHeight="1">
      <c r="A901" s="75"/>
      <c r="B901" s="76"/>
      <c r="C901" s="76"/>
      <c r="D901" s="76"/>
      <c r="E901" s="399"/>
      <c r="F901" s="399"/>
      <c r="G901" s="399"/>
      <c r="H901" s="399"/>
      <c r="J901" s="76"/>
      <c r="K901" s="76"/>
      <c r="L901" s="75"/>
      <c r="M901" s="76"/>
      <c r="N901" s="76"/>
      <c r="O901" s="76"/>
      <c r="P901" s="76"/>
      <c r="Q901" s="76"/>
      <c r="R901" s="76"/>
      <c r="S901" s="76"/>
      <c r="T901" s="76"/>
    </row>
    <row r="902" spans="1:20" s="309" customFormat="1" ht="14.1" customHeight="1">
      <c r="A902" s="75"/>
      <c r="B902" s="76"/>
      <c r="C902" s="76"/>
      <c r="D902" s="76"/>
      <c r="E902" s="399"/>
      <c r="F902" s="399"/>
      <c r="G902" s="399"/>
      <c r="H902" s="399"/>
      <c r="J902" s="76"/>
      <c r="K902" s="76"/>
      <c r="L902" s="75"/>
      <c r="M902" s="76"/>
      <c r="N902" s="76"/>
      <c r="O902" s="76"/>
      <c r="P902" s="76"/>
      <c r="Q902" s="76"/>
      <c r="R902" s="76"/>
      <c r="S902" s="76"/>
      <c r="T902" s="76"/>
    </row>
    <row r="903" spans="1:20" s="309" customFormat="1" ht="14.1" customHeight="1">
      <c r="A903" s="75"/>
      <c r="B903" s="76"/>
      <c r="C903" s="76"/>
      <c r="D903" s="76"/>
      <c r="E903" s="399"/>
      <c r="F903" s="399"/>
      <c r="G903" s="399"/>
      <c r="H903" s="399"/>
      <c r="J903" s="76"/>
      <c r="K903" s="76"/>
      <c r="L903" s="75"/>
      <c r="M903" s="76"/>
      <c r="N903" s="76"/>
      <c r="O903" s="76"/>
      <c r="P903" s="76"/>
      <c r="Q903" s="76"/>
      <c r="R903" s="76"/>
      <c r="S903" s="76"/>
      <c r="T903" s="76"/>
    </row>
    <row r="904" spans="1:20" s="309" customFormat="1" ht="14.1" customHeight="1">
      <c r="A904" s="75"/>
      <c r="B904" s="76"/>
      <c r="C904" s="76"/>
      <c r="D904" s="76"/>
      <c r="E904" s="399"/>
      <c r="F904" s="399"/>
      <c r="G904" s="399"/>
      <c r="H904" s="399"/>
      <c r="J904" s="76"/>
      <c r="K904" s="76"/>
      <c r="L904" s="75"/>
      <c r="M904" s="76"/>
      <c r="N904" s="76"/>
      <c r="O904" s="76"/>
      <c r="P904" s="76"/>
      <c r="Q904" s="76"/>
      <c r="R904" s="76"/>
      <c r="S904" s="76"/>
      <c r="T904" s="76"/>
    </row>
    <row r="905" spans="1:20" s="309" customFormat="1" ht="14.1" customHeight="1">
      <c r="A905" s="75"/>
      <c r="B905" s="76"/>
      <c r="C905" s="76"/>
      <c r="D905" s="76"/>
      <c r="E905" s="399"/>
      <c r="F905" s="399"/>
      <c r="G905" s="399"/>
      <c r="H905" s="399"/>
      <c r="J905" s="76"/>
      <c r="K905" s="76"/>
      <c r="L905" s="75"/>
      <c r="M905" s="76"/>
      <c r="N905" s="76"/>
      <c r="O905" s="76"/>
      <c r="P905" s="76"/>
      <c r="Q905" s="76"/>
      <c r="R905" s="76"/>
      <c r="S905" s="76"/>
      <c r="T905" s="76"/>
    </row>
    <row r="906" spans="1:20" s="309" customFormat="1" ht="14.1" customHeight="1">
      <c r="A906" s="75"/>
      <c r="B906" s="76"/>
      <c r="C906" s="76"/>
      <c r="D906" s="76"/>
      <c r="E906" s="399"/>
      <c r="F906" s="399"/>
      <c r="G906" s="399"/>
      <c r="H906" s="399"/>
      <c r="J906" s="76"/>
      <c r="K906" s="76"/>
      <c r="L906" s="75"/>
      <c r="M906" s="76"/>
      <c r="N906" s="76"/>
      <c r="O906" s="76"/>
      <c r="P906" s="76"/>
      <c r="Q906" s="76"/>
      <c r="R906" s="76"/>
      <c r="S906" s="76"/>
      <c r="T906" s="76"/>
    </row>
    <row r="907" spans="1:20" s="309" customFormat="1" ht="14.1" customHeight="1">
      <c r="A907" s="75"/>
      <c r="B907" s="76"/>
      <c r="C907" s="76"/>
      <c r="D907" s="76"/>
      <c r="E907" s="399"/>
      <c r="F907" s="399"/>
      <c r="G907" s="399"/>
      <c r="H907" s="399"/>
      <c r="J907" s="76"/>
      <c r="K907" s="76"/>
      <c r="L907" s="75"/>
      <c r="M907" s="76"/>
      <c r="N907" s="76"/>
      <c r="O907" s="76"/>
      <c r="P907" s="76"/>
      <c r="Q907" s="76"/>
      <c r="R907" s="76"/>
      <c r="S907" s="76"/>
      <c r="T907" s="76"/>
    </row>
    <row r="908" spans="1:20" s="309" customFormat="1" ht="14.1" customHeight="1">
      <c r="A908" s="75"/>
      <c r="B908" s="76"/>
      <c r="C908" s="76"/>
      <c r="D908" s="76"/>
      <c r="E908" s="399"/>
      <c r="F908" s="399"/>
      <c r="G908" s="399"/>
      <c r="H908" s="399"/>
      <c r="J908" s="76"/>
      <c r="K908" s="76"/>
      <c r="L908" s="75"/>
      <c r="M908" s="76"/>
      <c r="N908" s="76"/>
      <c r="O908" s="76"/>
      <c r="P908" s="76"/>
      <c r="Q908" s="76"/>
      <c r="R908" s="76"/>
      <c r="S908" s="76"/>
      <c r="T908" s="76"/>
    </row>
    <row r="909" spans="1:20" s="309" customFormat="1" ht="14.1" customHeight="1">
      <c r="A909" s="75"/>
      <c r="B909" s="76"/>
      <c r="C909" s="76"/>
      <c r="D909" s="76"/>
      <c r="E909" s="399"/>
      <c r="F909" s="399"/>
      <c r="G909" s="399"/>
      <c r="H909" s="399"/>
      <c r="J909" s="76"/>
      <c r="K909" s="76"/>
      <c r="L909" s="75"/>
      <c r="M909" s="76"/>
      <c r="N909" s="76"/>
      <c r="O909" s="76"/>
      <c r="P909" s="76"/>
      <c r="Q909" s="76"/>
      <c r="R909" s="76"/>
      <c r="S909" s="76"/>
      <c r="T909" s="76"/>
    </row>
    <row r="910" spans="1:20" s="309" customFormat="1" ht="14.1" customHeight="1">
      <c r="A910" s="75"/>
      <c r="B910" s="76"/>
      <c r="C910" s="76"/>
      <c r="D910" s="76"/>
      <c r="E910" s="399"/>
      <c r="F910" s="399"/>
      <c r="G910" s="399"/>
      <c r="H910" s="399"/>
      <c r="J910" s="76"/>
      <c r="K910" s="76"/>
      <c r="L910" s="75"/>
      <c r="M910" s="76"/>
      <c r="N910" s="76"/>
      <c r="O910" s="76"/>
      <c r="P910" s="76"/>
      <c r="Q910" s="76"/>
      <c r="R910" s="76"/>
      <c r="S910" s="76"/>
      <c r="T910" s="76"/>
    </row>
    <row r="911" spans="1:20" s="309" customFormat="1" ht="14.1" customHeight="1">
      <c r="A911" s="75"/>
      <c r="B911" s="76"/>
      <c r="C911" s="76"/>
      <c r="D911" s="76"/>
      <c r="E911" s="399"/>
      <c r="F911" s="399"/>
      <c r="G911" s="399"/>
      <c r="H911" s="399"/>
      <c r="J911" s="76"/>
      <c r="K911" s="76"/>
      <c r="L911" s="75"/>
      <c r="M911" s="76"/>
      <c r="N911" s="76"/>
      <c r="O911" s="76"/>
      <c r="P911" s="76"/>
      <c r="Q911" s="76"/>
      <c r="R911" s="76"/>
      <c r="S911" s="76"/>
      <c r="T911" s="76"/>
    </row>
    <row r="912" spans="1:20" s="309" customFormat="1" ht="14.1" customHeight="1">
      <c r="A912" s="75"/>
      <c r="B912" s="76"/>
      <c r="C912" s="76"/>
      <c r="D912" s="76"/>
      <c r="E912" s="399"/>
      <c r="F912" s="399"/>
      <c r="G912" s="399"/>
      <c r="H912" s="399"/>
      <c r="J912" s="76"/>
      <c r="K912" s="76"/>
      <c r="L912" s="75"/>
      <c r="M912" s="76"/>
      <c r="N912" s="76"/>
      <c r="O912" s="76"/>
      <c r="P912" s="76"/>
      <c r="Q912" s="76"/>
      <c r="R912" s="76"/>
      <c r="S912" s="76"/>
      <c r="T912" s="76"/>
    </row>
    <row r="913" spans="1:20" s="309" customFormat="1" ht="14.1" customHeight="1">
      <c r="A913" s="75"/>
      <c r="B913" s="76"/>
      <c r="C913" s="76"/>
      <c r="D913" s="76"/>
      <c r="E913" s="399"/>
      <c r="F913" s="399"/>
      <c r="G913" s="399"/>
      <c r="H913" s="399"/>
      <c r="J913" s="76"/>
      <c r="K913" s="76"/>
      <c r="L913" s="75"/>
      <c r="M913" s="76"/>
      <c r="N913" s="76"/>
      <c r="O913" s="76"/>
      <c r="P913" s="76"/>
      <c r="Q913" s="76"/>
      <c r="R913" s="76"/>
      <c r="S913" s="76"/>
      <c r="T913" s="76"/>
    </row>
    <row r="914" spans="1:20" s="309" customFormat="1" ht="14.1" customHeight="1">
      <c r="A914" s="75"/>
      <c r="B914" s="76"/>
      <c r="C914" s="76"/>
      <c r="D914" s="76"/>
      <c r="E914" s="399"/>
      <c r="F914" s="399"/>
      <c r="G914" s="399"/>
      <c r="H914" s="399"/>
      <c r="J914" s="76"/>
      <c r="K914" s="76"/>
      <c r="L914" s="75"/>
      <c r="M914" s="76"/>
      <c r="N914" s="76"/>
      <c r="O914" s="76"/>
      <c r="P914" s="76"/>
      <c r="Q914" s="76"/>
      <c r="R914" s="76"/>
      <c r="S914" s="76"/>
      <c r="T914" s="76"/>
    </row>
    <row r="915" spans="1:20" s="309" customFormat="1" ht="14.1" customHeight="1">
      <c r="A915" s="75"/>
      <c r="B915" s="76"/>
      <c r="C915" s="76"/>
      <c r="D915" s="76"/>
      <c r="E915" s="399"/>
      <c r="F915" s="399"/>
      <c r="G915" s="399"/>
      <c r="H915" s="399"/>
      <c r="J915" s="76"/>
      <c r="K915" s="76"/>
      <c r="L915" s="75"/>
      <c r="M915" s="76"/>
      <c r="N915" s="76"/>
      <c r="O915" s="76"/>
      <c r="P915" s="76"/>
      <c r="Q915" s="76"/>
      <c r="R915" s="76"/>
      <c r="S915" s="76"/>
      <c r="T915" s="76"/>
    </row>
    <row r="916" spans="1:20" s="309" customFormat="1" ht="14.1" customHeight="1">
      <c r="A916" s="75"/>
      <c r="B916" s="76"/>
      <c r="C916" s="76"/>
      <c r="D916" s="76"/>
      <c r="E916" s="399"/>
      <c r="F916" s="399"/>
      <c r="G916" s="399"/>
      <c r="H916" s="399"/>
      <c r="J916" s="76"/>
      <c r="K916" s="76"/>
      <c r="L916" s="75"/>
      <c r="M916" s="76"/>
      <c r="N916" s="76"/>
      <c r="O916" s="76"/>
      <c r="P916" s="76"/>
      <c r="Q916" s="76"/>
      <c r="R916" s="76"/>
      <c r="S916" s="76"/>
      <c r="T916" s="76"/>
    </row>
    <row r="917" spans="1:20" s="309" customFormat="1" ht="14.1" customHeight="1">
      <c r="A917" s="75"/>
      <c r="B917" s="76"/>
      <c r="C917" s="76"/>
      <c r="D917" s="76"/>
      <c r="E917" s="399"/>
      <c r="F917" s="399"/>
      <c r="G917" s="399"/>
      <c r="H917" s="399"/>
      <c r="J917" s="76"/>
      <c r="K917" s="76"/>
      <c r="L917" s="75"/>
      <c r="M917" s="76"/>
      <c r="N917" s="76"/>
      <c r="O917" s="76"/>
      <c r="P917" s="76"/>
      <c r="Q917" s="76"/>
      <c r="R917" s="76"/>
      <c r="S917" s="76"/>
      <c r="T917" s="76"/>
    </row>
    <row r="918" spans="1:20" s="309" customFormat="1" ht="14.1" customHeight="1">
      <c r="A918" s="75"/>
      <c r="B918" s="76"/>
      <c r="C918" s="76"/>
      <c r="D918" s="76"/>
      <c r="E918" s="399"/>
      <c r="F918" s="399"/>
      <c r="G918" s="399"/>
      <c r="H918" s="399"/>
      <c r="J918" s="76"/>
      <c r="K918" s="76"/>
      <c r="L918" s="75"/>
      <c r="M918" s="76"/>
      <c r="N918" s="76"/>
      <c r="O918" s="76"/>
      <c r="P918" s="76"/>
      <c r="Q918" s="76"/>
      <c r="R918" s="76"/>
      <c r="S918" s="76"/>
      <c r="T918" s="76"/>
    </row>
    <row r="919" spans="1:20" s="309" customFormat="1" ht="14.1" customHeight="1">
      <c r="A919" s="75"/>
      <c r="B919" s="76"/>
      <c r="C919" s="76"/>
      <c r="D919" s="76"/>
      <c r="E919" s="399"/>
      <c r="F919" s="399"/>
      <c r="G919" s="399"/>
      <c r="H919" s="399"/>
      <c r="J919" s="76"/>
      <c r="K919" s="76"/>
      <c r="L919" s="75"/>
      <c r="M919" s="76"/>
      <c r="N919" s="76"/>
      <c r="O919" s="76"/>
      <c r="P919" s="76"/>
      <c r="Q919" s="76"/>
      <c r="R919" s="76"/>
      <c r="S919" s="76"/>
      <c r="T919" s="76"/>
    </row>
    <row r="920" spans="1:20" s="309" customFormat="1" ht="14.1" customHeight="1">
      <c r="A920" s="75"/>
      <c r="B920" s="76"/>
      <c r="C920" s="76"/>
      <c r="D920" s="76"/>
      <c r="E920" s="399"/>
      <c r="F920" s="399"/>
      <c r="G920" s="399"/>
      <c r="H920" s="399"/>
      <c r="J920" s="76"/>
      <c r="K920" s="76"/>
      <c r="L920" s="75"/>
      <c r="M920" s="76"/>
      <c r="N920" s="76"/>
      <c r="O920" s="76"/>
      <c r="P920" s="76"/>
      <c r="Q920" s="76"/>
      <c r="R920" s="76"/>
      <c r="S920" s="76"/>
      <c r="T920" s="76"/>
    </row>
    <row r="921" spans="1:20" s="309" customFormat="1" ht="14.1" customHeight="1">
      <c r="A921" s="75"/>
      <c r="B921" s="76"/>
      <c r="C921" s="76"/>
      <c r="D921" s="76"/>
      <c r="E921" s="399"/>
      <c r="F921" s="399"/>
      <c r="G921" s="399"/>
      <c r="H921" s="399"/>
      <c r="J921" s="76"/>
      <c r="K921" s="76"/>
      <c r="L921" s="75"/>
      <c r="M921" s="76"/>
      <c r="N921" s="76"/>
      <c r="O921" s="76"/>
      <c r="P921" s="76"/>
      <c r="Q921" s="76"/>
      <c r="R921" s="76"/>
      <c r="S921" s="76"/>
      <c r="T921" s="76"/>
    </row>
    <row r="922" spans="1:20" s="309" customFormat="1" ht="14.1" customHeight="1">
      <c r="A922" s="75"/>
      <c r="B922" s="76"/>
      <c r="C922" s="76"/>
      <c r="D922" s="76"/>
      <c r="E922" s="399"/>
      <c r="F922" s="399"/>
      <c r="G922" s="399"/>
      <c r="H922" s="399"/>
      <c r="J922" s="76"/>
      <c r="K922" s="76"/>
      <c r="L922" s="75"/>
      <c r="M922" s="76"/>
      <c r="N922" s="76"/>
      <c r="O922" s="76"/>
      <c r="P922" s="76"/>
      <c r="Q922" s="76"/>
      <c r="R922" s="76"/>
      <c r="S922" s="76"/>
      <c r="T922" s="76"/>
    </row>
    <row r="923" spans="1:20" s="309" customFormat="1" ht="14.1" customHeight="1">
      <c r="A923" s="75"/>
      <c r="B923" s="76"/>
      <c r="C923" s="76"/>
      <c r="D923" s="76"/>
      <c r="E923" s="399"/>
      <c r="F923" s="399"/>
      <c r="G923" s="399"/>
      <c r="H923" s="399"/>
      <c r="J923" s="76"/>
      <c r="K923" s="76"/>
      <c r="L923" s="75"/>
      <c r="M923" s="76"/>
      <c r="N923" s="76"/>
      <c r="O923" s="76"/>
      <c r="P923" s="76"/>
      <c r="Q923" s="76"/>
      <c r="R923" s="76"/>
      <c r="S923" s="76"/>
      <c r="T923" s="76"/>
    </row>
    <row r="924" spans="1:20" s="309" customFormat="1" ht="14.1" customHeight="1">
      <c r="A924" s="75"/>
      <c r="B924" s="76"/>
      <c r="C924" s="76"/>
      <c r="D924" s="76"/>
      <c r="E924" s="399"/>
      <c r="F924" s="399"/>
      <c r="G924" s="399"/>
      <c r="H924" s="399"/>
      <c r="J924" s="76"/>
      <c r="K924" s="76"/>
      <c r="L924" s="75"/>
      <c r="M924" s="76"/>
      <c r="N924" s="76"/>
      <c r="O924" s="76"/>
      <c r="P924" s="76"/>
      <c r="Q924" s="76"/>
      <c r="R924" s="76"/>
      <c r="S924" s="76"/>
      <c r="T924" s="76"/>
    </row>
    <row r="925" spans="1:20" s="309" customFormat="1" ht="14.1" customHeight="1">
      <c r="A925" s="75"/>
      <c r="B925" s="76"/>
      <c r="C925" s="76"/>
      <c r="D925" s="76"/>
      <c r="E925" s="399"/>
      <c r="F925" s="399"/>
      <c r="G925" s="399"/>
      <c r="H925" s="399"/>
      <c r="J925" s="76"/>
      <c r="K925" s="76"/>
      <c r="L925" s="75"/>
      <c r="M925" s="76"/>
      <c r="N925" s="76"/>
      <c r="O925" s="76"/>
      <c r="P925" s="76"/>
      <c r="Q925" s="76"/>
      <c r="R925" s="76"/>
      <c r="S925" s="76"/>
      <c r="T925" s="76"/>
    </row>
    <row r="926" spans="1:20" s="309" customFormat="1" ht="14.1" customHeight="1">
      <c r="A926" s="75"/>
      <c r="B926" s="76"/>
      <c r="C926" s="76"/>
      <c r="D926" s="76"/>
      <c r="E926" s="399"/>
      <c r="F926" s="399"/>
      <c r="G926" s="399"/>
      <c r="H926" s="399"/>
      <c r="J926" s="76"/>
      <c r="K926" s="76"/>
      <c r="L926" s="75"/>
      <c r="M926" s="76"/>
      <c r="N926" s="76"/>
      <c r="O926" s="76"/>
      <c r="P926" s="76"/>
      <c r="Q926" s="76"/>
      <c r="R926" s="76"/>
      <c r="S926" s="76"/>
      <c r="T926" s="76"/>
    </row>
    <row r="927" spans="1:20" s="309" customFormat="1" ht="14.1" customHeight="1">
      <c r="A927" s="75"/>
      <c r="B927" s="76"/>
      <c r="C927" s="76"/>
      <c r="D927" s="76"/>
      <c r="E927" s="399"/>
      <c r="F927" s="399"/>
      <c r="G927" s="399"/>
      <c r="H927" s="399"/>
      <c r="J927" s="76"/>
      <c r="K927" s="76"/>
      <c r="L927" s="75"/>
      <c r="M927" s="76"/>
      <c r="N927" s="76"/>
      <c r="O927" s="76"/>
      <c r="P927" s="76"/>
      <c r="Q927" s="76"/>
      <c r="R927" s="76"/>
      <c r="S927" s="76"/>
      <c r="T927" s="76"/>
    </row>
    <row r="928" spans="1:20" s="309" customFormat="1" ht="14.1" customHeight="1">
      <c r="A928" s="75"/>
      <c r="B928" s="76"/>
      <c r="C928" s="76"/>
      <c r="D928" s="76"/>
      <c r="E928" s="399"/>
      <c r="F928" s="399"/>
      <c r="G928" s="399"/>
      <c r="H928" s="399"/>
      <c r="J928" s="76"/>
      <c r="K928" s="76"/>
      <c r="L928" s="75"/>
      <c r="M928" s="76"/>
      <c r="N928" s="76"/>
      <c r="O928" s="76"/>
      <c r="P928" s="76"/>
      <c r="Q928" s="76"/>
      <c r="R928" s="76"/>
      <c r="S928" s="76"/>
      <c r="T928" s="76"/>
    </row>
    <row r="929" spans="1:20" s="309" customFormat="1" ht="14.1" customHeight="1">
      <c r="A929" s="75"/>
      <c r="B929" s="76"/>
      <c r="C929" s="76"/>
      <c r="D929" s="76"/>
      <c r="E929" s="399"/>
      <c r="F929" s="399"/>
      <c r="G929" s="399"/>
      <c r="H929" s="399"/>
      <c r="J929" s="76"/>
      <c r="K929" s="76"/>
      <c r="L929" s="75"/>
      <c r="M929" s="76"/>
      <c r="N929" s="76"/>
      <c r="O929" s="76"/>
      <c r="P929" s="76"/>
      <c r="Q929" s="76"/>
      <c r="R929" s="76"/>
      <c r="S929" s="76"/>
      <c r="T929" s="76"/>
    </row>
    <row r="930" spans="1:20" s="309" customFormat="1" ht="14.1" customHeight="1">
      <c r="A930" s="75"/>
      <c r="B930" s="76"/>
      <c r="C930" s="76"/>
      <c r="D930" s="76"/>
      <c r="E930" s="399"/>
      <c r="F930" s="399"/>
      <c r="G930" s="399"/>
      <c r="H930" s="399"/>
      <c r="J930" s="76"/>
      <c r="K930" s="76"/>
      <c r="L930" s="75"/>
      <c r="M930" s="76"/>
      <c r="N930" s="76"/>
      <c r="O930" s="76"/>
      <c r="P930" s="76"/>
      <c r="Q930" s="76"/>
      <c r="R930" s="76"/>
      <c r="S930" s="76"/>
      <c r="T930" s="76"/>
    </row>
    <row r="931" spans="1:20" s="309" customFormat="1" ht="14.1" customHeight="1">
      <c r="A931" s="75"/>
      <c r="B931" s="76"/>
      <c r="C931" s="76"/>
      <c r="D931" s="76"/>
      <c r="E931" s="399"/>
      <c r="F931" s="399"/>
      <c r="G931" s="399"/>
      <c r="H931" s="399"/>
      <c r="J931" s="76"/>
      <c r="K931" s="76"/>
      <c r="L931" s="75"/>
      <c r="M931" s="76"/>
      <c r="N931" s="76"/>
      <c r="O931" s="76"/>
      <c r="P931" s="76"/>
      <c r="Q931" s="76"/>
      <c r="R931" s="76"/>
      <c r="S931" s="76"/>
      <c r="T931" s="76"/>
    </row>
    <row r="932" spans="1:20" s="309" customFormat="1" ht="14.1" customHeight="1">
      <c r="A932" s="75"/>
      <c r="B932" s="76"/>
      <c r="C932" s="76"/>
      <c r="D932" s="76"/>
      <c r="E932" s="399"/>
      <c r="F932" s="399"/>
      <c r="G932" s="399"/>
      <c r="H932" s="399"/>
      <c r="J932" s="76"/>
      <c r="K932" s="76"/>
      <c r="L932" s="75"/>
      <c r="M932" s="76"/>
      <c r="N932" s="76"/>
      <c r="O932" s="76"/>
      <c r="P932" s="76"/>
      <c r="Q932" s="76"/>
      <c r="R932" s="76"/>
      <c r="S932" s="76"/>
      <c r="T932" s="76"/>
    </row>
    <row r="933" spans="1:20" s="309" customFormat="1" ht="14.1" customHeight="1">
      <c r="A933" s="75"/>
      <c r="B933" s="76"/>
      <c r="C933" s="76"/>
      <c r="D933" s="76"/>
      <c r="E933" s="399"/>
      <c r="F933" s="399"/>
      <c r="G933" s="399"/>
      <c r="H933" s="399"/>
      <c r="J933" s="76"/>
      <c r="K933" s="76"/>
      <c r="L933" s="75"/>
      <c r="M933" s="76"/>
      <c r="N933" s="76"/>
      <c r="O933" s="76"/>
      <c r="P933" s="76"/>
      <c r="Q933" s="76"/>
      <c r="R933" s="76"/>
      <c r="S933" s="76"/>
      <c r="T933" s="76"/>
    </row>
    <row r="934" spans="1:20" s="309" customFormat="1" ht="14.1" customHeight="1">
      <c r="A934" s="75"/>
      <c r="B934" s="76"/>
      <c r="C934" s="76"/>
      <c r="D934" s="76"/>
      <c r="E934" s="399"/>
      <c r="F934" s="399"/>
      <c r="G934" s="399"/>
      <c r="H934" s="399"/>
      <c r="J934" s="76"/>
      <c r="K934" s="76"/>
      <c r="L934" s="75"/>
      <c r="M934" s="76"/>
      <c r="N934" s="76"/>
      <c r="O934" s="76"/>
      <c r="P934" s="76"/>
      <c r="Q934" s="76"/>
      <c r="R934" s="76"/>
      <c r="S934" s="76"/>
      <c r="T934" s="76"/>
    </row>
    <row r="935" spans="1:20" s="309" customFormat="1" ht="14.1" customHeight="1">
      <c r="A935" s="75"/>
      <c r="B935" s="76"/>
      <c r="C935" s="76"/>
      <c r="D935" s="76"/>
      <c r="E935" s="399"/>
      <c r="F935" s="399"/>
      <c r="G935" s="399"/>
      <c r="H935" s="399"/>
      <c r="J935" s="76"/>
      <c r="K935" s="76"/>
      <c r="L935" s="75"/>
      <c r="M935" s="76"/>
      <c r="N935" s="76"/>
      <c r="O935" s="76"/>
      <c r="P935" s="76"/>
      <c r="Q935" s="76"/>
      <c r="R935" s="76"/>
      <c r="S935" s="76"/>
      <c r="T935" s="76"/>
    </row>
    <row r="936" spans="1:20" s="309" customFormat="1" ht="14.1" customHeight="1">
      <c r="A936" s="75"/>
      <c r="B936" s="76"/>
      <c r="C936" s="76"/>
      <c r="D936" s="76"/>
      <c r="E936" s="399"/>
      <c r="F936" s="399"/>
      <c r="G936" s="399"/>
      <c r="H936" s="399"/>
      <c r="J936" s="76"/>
      <c r="K936" s="76"/>
      <c r="L936" s="75"/>
      <c r="M936" s="76"/>
      <c r="N936" s="76"/>
      <c r="O936" s="76"/>
      <c r="P936" s="76"/>
      <c r="Q936" s="76"/>
      <c r="R936" s="76"/>
      <c r="S936" s="76"/>
      <c r="T936" s="76"/>
    </row>
    <row r="937" spans="1:20" s="309" customFormat="1" ht="14.1" customHeight="1">
      <c r="A937" s="75"/>
      <c r="B937" s="76"/>
      <c r="C937" s="76"/>
      <c r="D937" s="76"/>
      <c r="E937" s="399"/>
      <c r="F937" s="399"/>
      <c r="G937" s="399"/>
      <c r="H937" s="399"/>
      <c r="J937" s="76"/>
      <c r="K937" s="76"/>
      <c r="L937" s="75"/>
      <c r="M937" s="76"/>
      <c r="N937" s="76"/>
      <c r="O937" s="76"/>
      <c r="P937" s="76"/>
      <c r="Q937" s="76"/>
      <c r="R937" s="76"/>
      <c r="S937" s="76"/>
      <c r="T937" s="76"/>
    </row>
    <row r="938" spans="1:20" s="309" customFormat="1" ht="14.1" customHeight="1">
      <c r="A938" s="75"/>
      <c r="B938" s="76"/>
      <c r="C938" s="76"/>
      <c r="D938" s="76"/>
      <c r="E938" s="399"/>
      <c r="F938" s="399"/>
      <c r="G938" s="399"/>
      <c r="H938" s="399"/>
      <c r="J938" s="76"/>
      <c r="K938" s="76"/>
      <c r="L938" s="75"/>
      <c r="M938" s="76"/>
      <c r="N938" s="76"/>
      <c r="O938" s="76"/>
      <c r="P938" s="76"/>
      <c r="Q938" s="76"/>
      <c r="R938" s="76"/>
      <c r="S938" s="76"/>
      <c r="T938" s="76"/>
    </row>
    <row r="939" spans="1:20" s="309" customFormat="1" ht="14.1" customHeight="1">
      <c r="A939" s="75"/>
      <c r="B939" s="76"/>
      <c r="C939" s="76"/>
      <c r="D939" s="76"/>
      <c r="E939" s="399"/>
      <c r="F939" s="399"/>
      <c r="G939" s="399"/>
      <c r="H939" s="399"/>
      <c r="J939" s="76"/>
      <c r="K939" s="76"/>
      <c r="L939" s="75"/>
      <c r="M939" s="76"/>
      <c r="N939" s="76"/>
      <c r="O939" s="76"/>
      <c r="P939" s="76"/>
      <c r="Q939" s="76"/>
      <c r="R939" s="76"/>
      <c r="S939" s="76"/>
      <c r="T939" s="76"/>
    </row>
    <row r="940" spans="1:20" s="309" customFormat="1" ht="14.1" customHeight="1">
      <c r="A940" s="75"/>
      <c r="B940" s="76"/>
      <c r="C940" s="76"/>
      <c r="D940" s="76"/>
      <c r="E940" s="399"/>
      <c r="F940" s="399"/>
      <c r="G940" s="399"/>
      <c r="H940" s="399"/>
      <c r="J940" s="76"/>
      <c r="K940" s="76"/>
      <c r="L940" s="75"/>
      <c r="M940" s="76"/>
      <c r="N940" s="76"/>
      <c r="O940" s="76"/>
      <c r="P940" s="76"/>
      <c r="Q940" s="76"/>
      <c r="R940" s="76"/>
      <c r="S940" s="76"/>
      <c r="T940" s="76"/>
    </row>
    <row r="941" spans="1:20" s="309" customFormat="1" ht="14.1" customHeight="1">
      <c r="A941" s="75"/>
      <c r="B941" s="76"/>
      <c r="C941" s="76"/>
      <c r="D941" s="76"/>
      <c r="E941" s="399"/>
      <c r="F941" s="399"/>
      <c r="G941" s="399"/>
      <c r="H941" s="399"/>
      <c r="J941" s="76"/>
      <c r="K941" s="76"/>
      <c r="L941" s="75"/>
      <c r="M941" s="76"/>
      <c r="N941" s="76"/>
      <c r="O941" s="76"/>
      <c r="P941" s="76"/>
      <c r="Q941" s="76"/>
      <c r="R941" s="76"/>
      <c r="S941" s="76"/>
      <c r="T941" s="76"/>
    </row>
    <row r="942" spans="1:20" s="309" customFormat="1" ht="14.1" customHeight="1">
      <c r="A942" s="75"/>
      <c r="B942" s="76"/>
      <c r="C942" s="76"/>
      <c r="D942" s="76"/>
      <c r="E942" s="399"/>
      <c r="F942" s="399"/>
      <c r="G942" s="399"/>
      <c r="H942" s="399"/>
      <c r="J942" s="76"/>
      <c r="K942" s="76"/>
      <c r="L942" s="75"/>
      <c r="M942" s="76"/>
      <c r="N942" s="76"/>
      <c r="O942" s="76"/>
      <c r="P942" s="76"/>
      <c r="Q942" s="76"/>
      <c r="R942" s="76"/>
      <c r="S942" s="76"/>
      <c r="T942" s="76"/>
    </row>
    <row r="943" spans="1:20" s="309" customFormat="1" ht="14.1" customHeight="1">
      <c r="A943" s="75"/>
      <c r="B943" s="76"/>
      <c r="C943" s="76"/>
      <c r="D943" s="76"/>
      <c r="E943" s="399"/>
      <c r="F943" s="399"/>
      <c r="G943" s="399"/>
      <c r="H943" s="399"/>
      <c r="J943" s="76"/>
      <c r="K943" s="76"/>
      <c r="L943" s="75"/>
      <c r="M943" s="76"/>
      <c r="N943" s="76"/>
      <c r="O943" s="76"/>
      <c r="P943" s="76"/>
      <c r="Q943" s="76"/>
      <c r="R943" s="76"/>
      <c r="S943" s="76"/>
      <c r="T943" s="76"/>
    </row>
  </sheetData>
  <mergeCells count="2">
    <mergeCell ref="K138:L138"/>
    <mergeCell ref="K413:L413"/>
  </mergeCells>
  <pageMargins left="0.7" right="0.7" top="0.75" bottom="0.75" header="0.3" footer="0.3"/>
  <pageSetup scale="10" orientation="portrait" r:id="rId1"/>
  <headerFooter>
    <oddHeader>&amp;C&amp;"Arial,Bold"Kentucky Power Company
Case No. 2025-00257
Test Year Ended May 31, 2025&amp;RKPSC Case No. 2025-00257
SECTION V-Application
Exhibit 1
&amp;Pof&amp;N</oddHeader>
  </headerFooter>
  <rowBreaks count="5" manualBreakCount="5">
    <brk id="55" max="16383" man="1"/>
    <brk id="172" max="16383" man="1"/>
    <brk id="264" max="16383" man="1"/>
    <brk id="360" max="16383" man="1"/>
    <brk id="45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A9BB8-0C7F-490E-9EF0-5479DD8147FC}">
  <dimension ref="A1:BG910"/>
  <sheetViews>
    <sheetView showGridLines="0" view="pageBreakPreview" zoomScaleNormal="100" zoomScaleSheetLayoutView="100" workbookViewId="0">
      <pane xSplit="2" ySplit="3" topLeftCell="C4" activePane="bottomRight" state="frozen"/>
      <selection pane="topRight" activeCell="C26" sqref="C26"/>
      <selection pane="bottomLeft" activeCell="C26" sqref="C26"/>
      <selection pane="bottomRight" activeCell="AG377" sqref="AB377:AG377"/>
    </sheetView>
  </sheetViews>
  <sheetFormatPr defaultColWidth="9.140625" defaultRowHeight="14.1" customHeight="1"/>
  <cols>
    <col min="1" max="1" width="4.7109375" style="75" bestFit="1" customWidth="1"/>
    <col min="2" max="2" width="46" style="76" customWidth="1"/>
    <col min="3" max="3" width="16.7109375" style="76" customWidth="1"/>
    <col min="4" max="4" width="14" style="76" customWidth="1"/>
    <col min="5" max="5" width="14.140625" style="76" customWidth="1"/>
    <col min="6" max="6" width="16.140625" style="76" customWidth="1"/>
    <col min="7" max="7" width="15.5703125" style="76" customWidth="1"/>
    <col min="8" max="9" width="14.42578125" style="76" customWidth="1"/>
    <col min="10" max="10" width="17.42578125" style="76" customWidth="1"/>
    <col min="11" max="11" width="24.85546875" style="76" customWidth="1"/>
    <col min="12" max="12" width="13.7109375" style="76" customWidth="1"/>
    <col min="13" max="13" width="14" style="76" customWidth="1"/>
    <col min="14" max="14" width="13.42578125" style="76" customWidth="1"/>
    <col min="15" max="15" width="12" style="76" customWidth="1"/>
    <col min="16" max="16" width="16.140625" style="76" customWidth="1"/>
    <col min="17" max="17" width="13" style="76" customWidth="1"/>
    <col min="18" max="18" width="12.85546875" style="76" customWidth="1"/>
    <col min="19" max="19" width="12.5703125" style="76" customWidth="1"/>
    <col min="20" max="20" width="14.28515625" style="76" customWidth="1"/>
    <col min="21" max="21" width="14.42578125" style="76" customWidth="1"/>
    <col min="22" max="22" width="14" style="76" customWidth="1"/>
    <col min="23" max="23" width="15.42578125" style="76" customWidth="1"/>
    <col min="24" max="24" width="14.42578125" style="76" customWidth="1"/>
    <col min="25" max="25" width="13" style="76" customWidth="1"/>
    <col min="26" max="26" width="16.42578125" style="76" customWidth="1"/>
    <col min="27" max="27" width="12.5703125" style="76" customWidth="1"/>
    <col min="28" max="28" width="13.85546875" style="76" customWidth="1"/>
    <col min="29" max="29" width="16.140625" style="76" customWidth="1"/>
    <col min="30" max="30" width="14" style="76" customWidth="1"/>
    <col min="31" max="31" width="14.42578125" style="76" customWidth="1"/>
    <col min="32" max="32" width="16.140625" style="76" customWidth="1"/>
    <col min="33" max="33" width="17.42578125" style="76" customWidth="1"/>
    <col min="34" max="34" width="14.28515625" style="76" customWidth="1"/>
    <col min="35" max="35" width="19.5703125" style="76" customWidth="1"/>
    <col min="36" max="36" width="15.140625" style="76" customWidth="1"/>
    <col min="37" max="37" width="14.42578125" style="76" customWidth="1"/>
    <col min="38" max="38" width="14.28515625" style="76" customWidth="1"/>
    <col min="39" max="39" width="14.42578125" style="76" customWidth="1"/>
    <col min="40" max="40" width="13.85546875" style="76" customWidth="1"/>
    <col min="41" max="41" width="10.85546875" style="76" customWidth="1"/>
    <col min="42" max="42" width="14.7109375" style="76" customWidth="1"/>
    <col min="43" max="45" width="14.85546875" style="76" customWidth="1"/>
    <col min="46" max="47" width="19.5703125" style="76" customWidth="1"/>
    <col min="48" max="48" width="24.140625" style="76" customWidth="1"/>
    <col min="49" max="50" width="21" style="76" customWidth="1"/>
    <col min="51" max="51" width="14.42578125" style="76" customWidth="1"/>
    <col min="52" max="52" width="20.5703125" style="76" customWidth="1"/>
    <col min="53" max="55" width="14.28515625" style="76" customWidth="1"/>
    <col min="56" max="56" width="19.7109375" style="76" customWidth="1"/>
    <col min="57" max="57" width="24.5703125" style="76" customWidth="1"/>
    <col min="58" max="58" width="14.42578125" style="76" customWidth="1"/>
    <col min="59" max="16384" width="9.140625" style="76"/>
  </cols>
  <sheetData>
    <row r="1" spans="1:58" ht="37.5" customHeight="1">
      <c r="H1" s="77"/>
      <c r="I1" s="77"/>
      <c r="L1" s="78"/>
      <c r="O1" s="77"/>
      <c r="Q1" s="79"/>
      <c r="R1" s="80"/>
      <c r="U1" s="77"/>
      <c r="AE1" s="77"/>
      <c r="AV1" s="78"/>
      <c r="AW1" s="77"/>
      <c r="AX1" s="77"/>
      <c r="AY1" s="77"/>
      <c r="AZ1" s="81"/>
      <c r="BE1" s="77"/>
      <c r="BF1" s="77" t="s">
        <v>699</v>
      </c>
    </row>
    <row r="2" spans="1:58" ht="14.1" customHeight="1">
      <c r="A2" s="75" t="s">
        <v>145</v>
      </c>
      <c r="D2" s="75">
        <v>1</v>
      </c>
      <c r="E2" s="75">
        <f>+D2+1</f>
        <v>2</v>
      </c>
      <c r="F2" s="75">
        <f t="shared" ref="F2:AV2" si="0">+E2+1</f>
        <v>3</v>
      </c>
      <c r="G2" s="75">
        <f t="shared" si="0"/>
        <v>4</v>
      </c>
      <c r="H2" s="75">
        <f t="shared" si="0"/>
        <v>5</v>
      </c>
      <c r="I2" s="75">
        <f t="shared" si="0"/>
        <v>6</v>
      </c>
      <c r="J2" s="75">
        <f t="shared" si="0"/>
        <v>7</v>
      </c>
      <c r="K2" s="75">
        <f t="shared" si="0"/>
        <v>8</v>
      </c>
      <c r="L2" s="75">
        <f t="shared" si="0"/>
        <v>9</v>
      </c>
      <c r="M2" s="75">
        <f t="shared" si="0"/>
        <v>10</v>
      </c>
      <c r="N2" s="75">
        <f t="shared" si="0"/>
        <v>11</v>
      </c>
      <c r="O2" s="75">
        <f t="shared" si="0"/>
        <v>12</v>
      </c>
      <c r="P2" s="75">
        <f t="shared" si="0"/>
        <v>13</v>
      </c>
      <c r="Q2" s="75">
        <f t="shared" si="0"/>
        <v>14</v>
      </c>
      <c r="R2" s="75">
        <f t="shared" si="0"/>
        <v>15</v>
      </c>
      <c r="S2" s="75">
        <f t="shared" si="0"/>
        <v>16</v>
      </c>
      <c r="T2" s="75">
        <f t="shared" si="0"/>
        <v>17</v>
      </c>
      <c r="U2" s="75">
        <f t="shared" si="0"/>
        <v>18</v>
      </c>
      <c r="V2" s="75">
        <f t="shared" si="0"/>
        <v>19</v>
      </c>
      <c r="W2" s="75">
        <f t="shared" si="0"/>
        <v>20</v>
      </c>
      <c r="X2" s="75">
        <f t="shared" si="0"/>
        <v>21</v>
      </c>
      <c r="Y2" s="75">
        <f t="shared" si="0"/>
        <v>22</v>
      </c>
      <c r="Z2" s="75">
        <f t="shared" si="0"/>
        <v>23</v>
      </c>
      <c r="AA2" s="75">
        <f t="shared" si="0"/>
        <v>24</v>
      </c>
      <c r="AB2" s="75">
        <f t="shared" si="0"/>
        <v>25</v>
      </c>
      <c r="AC2" s="75">
        <f t="shared" si="0"/>
        <v>26</v>
      </c>
      <c r="AD2" s="75">
        <f t="shared" si="0"/>
        <v>27</v>
      </c>
      <c r="AE2" s="75">
        <f t="shared" si="0"/>
        <v>28</v>
      </c>
      <c r="AF2" s="75">
        <f t="shared" si="0"/>
        <v>29</v>
      </c>
      <c r="AG2" s="75" t="s">
        <v>700</v>
      </c>
      <c r="AH2" s="75">
        <v>36</v>
      </c>
      <c r="AI2" s="75">
        <f t="shared" si="0"/>
        <v>37</v>
      </c>
      <c r="AJ2" s="75">
        <f t="shared" si="0"/>
        <v>38</v>
      </c>
      <c r="AK2" s="75">
        <f t="shared" si="0"/>
        <v>39</v>
      </c>
      <c r="AL2" s="75">
        <f t="shared" si="0"/>
        <v>40</v>
      </c>
      <c r="AM2" s="75">
        <f t="shared" si="0"/>
        <v>41</v>
      </c>
      <c r="AN2" s="75">
        <f t="shared" si="0"/>
        <v>42</v>
      </c>
      <c r="AO2" s="75">
        <f t="shared" si="0"/>
        <v>43</v>
      </c>
      <c r="AP2" s="75">
        <f t="shared" si="0"/>
        <v>44</v>
      </c>
      <c r="AQ2" s="75">
        <f t="shared" si="0"/>
        <v>45</v>
      </c>
      <c r="AR2" s="75">
        <f t="shared" si="0"/>
        <v>46</v>
      </c>
      <c r="AS2" s="75">
        <f t="shared" si="0"/>
        <v>47</v>
      </c>
      <c r="AT2" s="75">
        <f t="shared" si="0"/>
        <v>48</v>
      </c>
      <c r="AU2" s="75">
        <f t="shared" si="0"/>
        <v>49</v>
      </c>
      <c r="AV2" s="75">
        <f t="shared" si="0"/>
        <v>50</v>
      </c>
      <c r="AW2" s="82" t="s">
        <v>701</v>
      </c>
      <c r="AX2" s="82" t="s">
        <v>702</v>
      </c>
      <c r="AY2" s="75">
        <v>52</v>
      </c>
      <c r="AZ2" s="75">
        <f>+AY2+1</f>
        <v>53</v>
      </c>
      <c r="BA2" s="75">
        <f t="shared" ref="BA2:BF2" si="1">+AZ2+1</f>
        <v>54</v>
      </c>
      <c r="BB2" s="75">
        <f t="shared" si="1"/>
        <v>55</v>
      </c>
      <c r="BC2" s="75">
        <f t="shared" si="1"/>
        <v>56</v>
      </c>
      <c r="BD2" s="75">
        <f t="shared" si="1"/>
        <v>57</v>
      </c>
      <c r="BE2" s="75">
        <f t="shared" si="1"/>
        <v>58</v>
      </c>
      <c r="BF2" s="75">
        <f t="shared" si="1"/>
        <v>59</v>
      </c>
    </row>
    <row r="3" spans="1:58" s="81" customFormat="1" ht="79.150000000000006" customHeight="1">
      <c r="A3" s="83" t="s">
        <v>152</v>
      </c>
      <c r="B3" s="83" t="s">
        <v>3</v>
      </c>
      <c r="C3" s="83"/>
      <c r="D3" s="84" t="s">
        <v>703</v>
      </c>
      <c r="E3" s="84" t="s">
        <v>704</v>
      </c>
      <c r="F3" s="84" t="s">
        <v>705</v>
      </c>
      <c r="G3" s="84" t="s">
        <v>706</v>
      </c>
      <c r="H3" s="85" t="s">
        <v>707</v>
      </c>
      <c r="I3" s="85" t="s">
        <v>708</v>
      </c>
      <c r="J3" s="84" t="s">
        <v>709</v>
      </c>
      <c r="K3" s="84" t="s">
        <v>710</v>
      </c>
      <c r="L3" s="84" t="s">
        <v>711</v>
      </c>
      <c r="M3" s="84" t="s">
        <v>712</v>
      </c>
      <c r="N3" s="85" t="s">
        <v>713</v>
      </c>
      <c r="O3" s="84" t="s">
        <v>714</v>
      </c>
      <c r="P3" s="84" t="s">
        <v>715</v>
      </c>
      <c r="Q3" s="85" t="s">
        <v>716</v>
      </c>
      <c r="R3" s="84" t="s">
        <v>717</v>
      </c>
      <c r="S3" s="85" t="s">
        <v>718</v>
      </c>
      <c r="T3" s="84" t="s">
        <v>719</v>
      </c>
      <c r="U3" s="85" t="s">
        <v>720</v>
      </c>
      <c r="V3" s="84" t="s">
        <v>721</v>
      </c>
      <c r="W3" s="84" t="s">
        <v>722</v>
      </c>
      <c r="X3" s="84" t="s">
        <v>73</v>
      </c>
      <c r="Y3" s="84" t="s">
        <v>723</v>
      </c>
      <c r="Z3" s="85" t="s">
        <v>724</v>
      </c>
      <c r="AA3" s="85" t="s">
        <v>725</v>
      </c>
      <c r="AB3" s="85" t="s">
        <v>726</v>
      </c>
      <c r="AC3" s="84" t="s">
        <v>727</v>
      </c>
      <c r="AD3" s="84" t="s">
        <v>728</v>
      </c>
      <c r="AE3" s="85" t="s">
        <v>729</v>
      </c>
      <c r="AF3" s="84" t="s">
        <v>730</v>
      </c>
      <c r="AG3" s="84" t="s">
        <v>731</v>
      </c>
      <c r="AH3" s="84" t="s">
        <v>732</v>
      </c>
      <c r="AI3" s="84" t="s">
        <v>733</v>
      </c>
      <c r="AJ3" s="84" t="s">
        <v>734</v>
      </c>
      <c r="AK3" s="84" t="s">
        <v>735</v>
      </c>
      <c r="AL3" s="84" t="s">
        <v>736</v>
      </c>
      <c r="AM3" s="84" t="s">
        <v>737</v>
      </c>
      <c r="AN3" s="84" t="s">
        <v>738</v>
      </c>
      <c r="AO3" s="84" t="s">
        <v>739</v>
      </c>
      <c r="AP3" s="84" t="s">
        <v>740</v>
      </c>
      <c r="AQ3" s="85" t="s">
        <v>741</v>
      </c>
      <c r="AR3" s="85" t="s">
        <v>742</v>
      </c>
      <c r="AS3" s="85" t="s">
        <v>743</v>
      </c>
      <c r="AT3" s="84" t="s">
        <v>744</v>
      </c>
      <c r="AU3" s="84" t="s">
        <v>745</v>
      </c>
      <c r="AV3" s="84" t="s">
        <v>746</v>
      </c>
      <c r="AW3" s="85" t="s">
        <v>747</v>
      </c>
      <c r="AX3" s="85" t="s">
        <v>747</v>
      </c>
      <c r="AY3" s="85" t="s">
        <v>748</v>
      </c>
      <c r="AZ3" s="84" t="s">
        <v>749</v>
      </c>
      <c r="BA3" s="84" t="s">
        <v>750</v>
      </c>
      <c r="BB3" s="84" t="s">
        <v>751</v>
      </c>
      <c r="BC3" s="84" t="s">
        <v>204</v>
      </c>
      <c r="BD3" s="84" t="s">
        <v>752</v>
      </c>
      <c r="BE3" s="84" t="s">
        <v>753</v>
      </c>
      <c r="BF3" s="85" t="s">
        <v>754</v>
      </c>
    </row>
    <row r="4" spans="1:58" s="75" customFormat="1" ht="14.1" customHeight="1">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row>
    <row r="5" spans="1:58" s="75" customFormat="1" ht="14.1" customHeight="1">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row>
    <row r="6" spans="1:58" ht="13.5"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row>
    <row r="7" spans="1:58" ht="14.1" customHeight="1">
      <c r="A7" s="75">
        <v>1</v>
      </c>
      <c r="B7" s="76" t="s">
        <v>167</v>
      </c>
      <c r="C7" s="80">
        <f>SUM(D7:BF7)</f>
        <v>-53897239.240777612</v>
      </c>
      <c r="D7" s="87">
        <f t="shared" ref="D7:V9" si="2">D254</f>
        <v>2449583</v>
      </c>
      <c r="E7" s="87">
        <f t="shared" si="2"/>
        <v>-515361.63697997667</v>
      </c>
      <c r="F7" s="87">
        <f t="shared" si="2"/>
        <v>145034</v>
      </c>
      <c r="G7" s="87">
        <f t="shared" si="2"/>
        <v>2712449.39</v>
      </c>
      <c r="H7" s="87">
        <f t="shared" si="2"/>
        <v>33001096.547184512</v>
      </c>
      <c r="I7" s="87">
        <f t="shared" si="2"/>
        <v>0</v>
      </c>
      <c r="J7" s="87">
        <f t="shared" si="2"/>
        <v>-5276.19</v>
      </c>
      <c r="K7" s="88">
        <f t="shared" si="2"/>
        <v>-19703413</v>
      </c>
      <c r="L7" s="88">
        <f t="shared" si="2"/>
        <v>-49418888</v>
      </c>
      <c r="M7" s="87">
        <f t="shared" si="2"/>
        <v>-16771447</v>
      </c>
      <c r="N7" s="87">
        <f t="shared" si="2"/>
        <v>0</v>
      </c>
      <c r="O7" s="87">
        <f t="shared" si="2"/>
        <v>-628079.1</v>
      </c>
      <c r="P7" s="87">
        <f t="shared" si="2"/>
        <v>-373893.79</v>
      </c>
      <c r="Q7" s="87">
        <f t="shared" si="2"/>
        <v>-3776111.9253208702</v>
      </c>
      <c r="R7" s="87">
        <f t="shared" si="2"/>
        <v>-1012931.5356612798</v>
      </c>
      <c r="S7" s="87">
        <f t="shared" si="2"/>
        <v>0</v>
      </c>
      <c r="T7" s="87">
        <f t="shared" si="2"/>
        <v>0</v>
      </c>
      <c r="U7" s="87">
        <f t="shared" si="2"/>
        <v>0</v>
      </c>
      <c r="V7" s="87">
        <f t="shared" si="2"/>
        <v>0</v>
      </c>
      <c r="W7" s="87">
        <f>W254</f>
        <v>0</v>
      </c>
      <c r="X7" s="87">
        <f t="shared" ref="X7:AG9" si="3">X254</f>
        <v>0</v>
      </c>
      <c r="Y7" s="87">
        <f>Y254</f>
        <v>0</v>
      </c>
      <c r="Z7" s="87">
        <f t="shared" si="3"/>
        <v>0</v>
      </c>
      <c r="AA7" s="87">
        <f t="shared" si="3"/>
        <v>0</v>
      </c>
      <c r="AB7" s="87">
        <f t="shared" si="3"/>
        <v>0</v>
      </c>
      <c r="AC7" s="87">
        <f t="shared" si="3"/>
        <v>0</v>
      </c>
      <c r="AD7" s="87">
        <f t="shared" si="3"/>
        <v>0</v>
      </c>
      <c r="AE7" s="87">
        <f t="shared" si="3"/>
        <v>0</v>
      </c>
      <c r="AF7" s="87">
        <f t="shared" si="3"/>
        <v>0</v>
      </c>
      <c r="AG7" s="87">
        <f t="shared" si="3"/>
        <v>0</v>
      </c>
      <c r="AH7" s="87">
        <f>AH254</f>
        <v>0</v>
      </c>
      <c r="AI7" s="87">
        <f t="shared" ref="AI7:AM9" si="4">AI254</f>
        <v>0</v>
      </c>
      <c r="AJ7" s="87">
        <f t="shared" si="4"/>
        <v>0</v>
      </c>
      <c r="AK7" s="87">
        <f t="shared" si="4"/>
        <v>0</v>
      </c>
      <c r="AL7" s="87">
        <f t="shared" si="4"/>
        <v>0</v>
      </c>
      <c r="AM7" s="87">
        <f t="shared" si="4"/>
        <v>0</v>
      </c>
      <c r="AN7" s="87">
        <f>AN254</f>
        <v>0</v>
      </c>
      <c r="AO7" s="87">
        <f t="shared" ref="AO7:AP9" si="5">AO254</f>
        <v>0</v>
      </c>
      <c r="AP7" s="87">
        <f t="shared" si="5"/>
        <v>0</v>
      </c>
      <c r="AQ7" s="87">
        <f>AQ254</f>
        <v>0</v>
      </c>
      <c r="AR7" s="87">
        <f t="shared" ref="AR7:AV9" si="6">AR254</f>
        <v>0</v>
      </c>
      <c r="AS7" s="87">
        <f t="shared" si="6"/>
        <v>0</v>
      </c>
      <c r="AT7" s="87">
        <f t="shared" si="6"/>
        <v>0</v>
      </c>
      <c r="AU7" s="87">
        <f t="shared" si="6"/>
        <v>0</v>
      </c>
      <c r="AV7" s="87">
        <f t="shared" si="6"/>
        <v>0</v>
      </c>
      <c r="AW7" s="87">
        <f>AW254</f>
        <v>0</v>
      </c>
      <c r="AX7" s="87">
        <f t="shared" ref="AX7:AZ9" si="7">AX254</f>
        <v>0</v>
      </c>
      <c r="AY7" s="87">
        <f t="shared" si="7"/>
        <v>0</v>
      </c>
      <c r="AZ7" s="87">
        <f t="shared" si="7"/>
        <v>0</v>
      </c>
      <c r="BA7" s="87">
        <f>BA254</f>
        <v>0</v>
      </c>
      <c r="BB7" s="87">
        <f>BB254</f>
        <v>0</v>
      </c>
      <c r="BC7" s="87">
        <f>BC254</f>
        <v>0</v>
      </c>
      <c r="BD7" s="87">
        <f>BD254</f>
        <v>0</v>
      </c>
      <c r="BE7" s="87">
        <f t="shared" ref="BE7:BF9" si="8">BE254</f>
        <v>0</v>
      </c>
      <c r="BF7" s="87">
        <f t="shared" si="8"/>
        <v>0</v>
      </c>
    </row>
    <row r="8" spans="1:58" ht="14.1" customHeight="1">
      <c r="A8" s="75">
        <f>A7+1</f>
        <v>2</v>
      </c>
      <c r="B8" s="89" t="s">
        <v>168</v>
      </c>
      <c r="C8" s="80">
        <f>SUM(D8:BF8)</f>
        <v>0</v>
      </c>
      <c r="D8" s="87">
        <f t="shared" si="2"/>
        <v>0</v>
      </c>
      <c r="E8" s="87">
        <f t="shared" si="2"/>
        <v>0</v>
      </c>
      <c r="F8" s="87">
        <f t="shared" si="2"/>
        <v>0</v>
      </c>
      <c r="G8" s="87">
        <f t="shared" si="2"/>
        <v>0</v>
      </c>
      <c r="H8" s="87">
        <f t="shared" si="2"/>
        <v>0</v>
      </c>
      <c r="I8" s="87">
        <f t="shared" si="2"/>
        <v>0</v>
      </c>
      <c r="J8" s="87">
        <f t="shared" si="2"/>
        <v>0</v>
      </c>
      <c r="K8" s="87">
        <f>K255</f>
        <v>0</v>
      </c>
      <c r="L8" s="87">
        <f t="shared" si="2"/>
        <v>0</v>
      </c>
      <c r="M8" s="87">
        <f t="shared" si="2"/>
        <v>0</v>
      </c>
      <c r="N8" s="87">
        <f t="shared" si="2"/>
        <v>0</v>
      </c>
      <c r="O8" s="87">
        <f t="shared" si="2"/>
        <v>0</v>
      </c>
      <c r="P8" s="87">
        <f t="shared" si="2"/>
        <v>0</v>
      </c>
      <c r="Q8" s="87">
        <f t="shared" si="2"/>
        <v>0</v>
      </c>
      <c r="R8" s="87">
        <f t="shared" si="2"/>
        <v>0</v>
      </c>
      <c r="S8" s="87">
        <f t="shared" si="2"/>
        <v>0</v>
      </c>
      <c r="T8" s="87">
        <f t="shared" si="2"/>
        <v>0</v>
      </c>
      <c r="U8" s="87">
        <f t="shared" si="2"/>
        <v>0</v>
      </c>
      <c r="V8" s="87">
        <f t="shared" si="2"/>
        <v>0</v>
      </c>
      <c r="W8" s="87">
        <f>W255</f>
        <v>0</v>
      </c>
      <c r="X8" s="87">
        <f t="shared" si="3"/>
        <v>0</v>
      </c>
      <c r="Y8" s="87">
        <f>Y255</f>
        <v>0</v>
      </c>
      <c r="Z8" s="87">
        <f t="shared" si="3"/>
        <v>0</v>
      </c>
      <c r="AA8" s="87">
        <f t="shared" si="3"/>
        <v>0</v>
      </c>
      <c r="AB8" s="87">
        <f t="shared" si="3"/>
        <v>0</v>
      </c>
      <c r="AC8" s="87">
        <f t="shared" si="3"/>
        <v>0</v>
      </c>
      <c r="AD8" s="87">
        <f t="shared" si="3"/>
        <v>0</v>
      </c>
      <c r="AE8" s="87">
        <f t="shared" si="3"/>
        <v>0</v>
      </c>
      <c r="AF8" s="87">
        <f t="shared" si="3"/>
        <v>0</v>
      </c>
      <c r="AG8" s="87">
        <f t="shared" si="3"/>
        <v>0</v>
      </c>
      <c r="AH8" s="87">
        <f>AH255</f>
        <v>0</v>
      </c>
      <c r="AI8" s="87">
        <f t="shared" si="4"/>
        <v>0</v>
      </c>
      <c r="AJ8" s="87">
        <f t="shared" si="4"/>
        <v>0</v>
      </c>
      <c r="AK8" s="87">
        <f t="shared" si="4"/>
        <v>0</v>
      </c>
      <c r="AL8" s="87">
        <f t="shared" si="4"/>
        <v>0</v>
      </c>
      <c r="AM8" s="87">
        <f t="shared" si="4"/>
        <v>0</v>
      </c>
      <c r="AN8" s="87">
        <f>AN255</f>
        <v>0</v>
      </c>
      <c r="AO8" s="87">
        <f t="shared" si="5"/>
        <v>0</v>
      </c>
      <c r="AP8" s="87">
        <f t="shared" si="5"/>
        <v>0</v>
      </c>
      <c r="AQ8" s="87">
        <f>AQ255</f>
        <v>0</v>
      </c>
      <c r="AR8" s="87">
        <f t="shared" si="6"/>
        <v>0</v>
      </c>
      <c r="AS8" s="87">
        <f t="shared" si="6"/>
        <v>0</v>
      </c>
      <c r="AT8" s="87">
        <f t="shared" si="6"/>
        <v>0</v>
      </c>
      <c r="AU8" s="87">
        <f t="shared" si="6"/>
        <v>0</v>
      </c>
      <c r="AV8" s="87">
        <f t="shared" si="6"/>
        <v>0</v>
      </c>
      <c r="AW8" s="87">
        <f>AW255</f>
        <v>0</v>
      </c>
      <c r="AX8" s="87">
        <f t="shared" si="7"/>
        <v>0</v>
      </c>
      <c r="AY8" s="87">
        <f t="shared" si="7"/>
        <v>0</v>
      </c>
      <c r="AZ8" s="87">
        <f t="shared" si="7"/>
        <v>0</v>
      </c>
      <c r="BA8" s="87">
        <f>BA255</f>
        <v>0</v>
      </c>
      <c r="BB8" s="87">
        <f t="shared" ref="BB8:BB9" si="9">BB255</f>
        <v>0</v>
      </c>
      <c r="BC8" s="87">
        <f>BC255</f>
        <v>0</v>
      </c>
      <c r="BD8" s="87">
        <f>BD255</f>
        <v>0</v>
      </c>
      <c r="BE8" s="87">
        <f t="shared" si="8"/>
        <v>0</v>
      </c>
      <c r="BF8" s="87">
        <f t="shared" si="8"/>
        <v>0</v>
      </c>
    </row>
    <row r="9" spans="1:58" ht="14.1" customHeight="1">
      <c r="A9" s="75">
        <f>A8+1</f>
        <v>3</v>
      </c>
      <c r="B9" s="76" t="s">
        <v>169</v>
      </c>
      <c r="C9" s="80">
        <f>SUM(D9:BF9)</f>
        <v>0</v>
      </c>
      <c r="D9" s="87">
        <f t="shared" si="2"/>
        <v>0</v>
      </c>
      <c r="E9" s="87">
        <f t="shared" si="2"/>
        <v>0</v>
      </c>
      <c r="F9" s="87">
        <f t="shared" si="2"/>
        <v>0</v>
      </c>
      <c r="G9" s="87">
        <f t="shared" si="2"/>
        <v>0</v>
      </c>
      <c r="H9" s="87">
        <f t="shared" si="2"/>
        <v>0</v>
      </c>
      <c r="I9" s="87">
        <f t="shared" si="2"/>
        <v>0</v>
      </c>
      <c r="J9" s="87">
        <f t="shared" si="2"/>
        <v>0</v>
      </c>
      <c r="K9" s="87">
        <f>K256</f>
        <v>0</v>
      </c>
      <c r="L9" s="87">
        <f t="shared" si="2"/>
        <v>0</v>
      </c>
      <c r="M9" s="87">
        <f t="shared" si="2"/>
        <v>0</v>
      </c>
      <c r="N9" s="87">
        <f t="shared" si="2"/>
        <v>0</v>
      </c>
      <c r="O9" s="87">
        <f t="shared" si="2"/>
        <v>0</v>
      </c>
      <c r="P9" s="87">
        <f t="shared" si="2"/>
        <v>0</v>
      </c>
      <c r="Q9" s="87">
        <f t="shared" si="2"/>
        <v>0</v>
      </c>
      <c r="R9" s="87">
        <f t="shared" si="2"/>
        <v>0</v>
      </c>
      <c r="S9" s="87">
        <f t="shared" si="2"/>
        <v>0</v>
      </c>
      <c r="T9" s="87">
        <f t="shared" si="2"/>
        <v>0</v>
      </c>
      <c r="U9" s="87">
        <f t="shared" si="2"/>
        <v>0</v>
      </c>
      <c r="V9" s="87">
        <f t="shared" si="2"/>
        <v>0</v>
      </c>
      <c r="W9" s="87">
        <f>W256</f>
        <v>0</v>
      </c>
      <c r="X9" s="87">
        <f t="shared" si="3"/>
        <v>0</v>
      </c>
      <c r="Y9" s="87">
        <f>Y256</f>
        <v>0</v>
      </c>
      <c r="Z9" s="87">
        <f t="shared" si="3"/>
        <v>0</v>
      </c>
      <c r="AA9" s="87">
        <f t="shared" si="3"/>
        <v>0</v>
      </c>
      <c r="AB9" s="87">
        <f t="shared" si="3"/>
        <v>0</v>
      </c>
      <c r="AC9" s="87">
        <f t="shared" si="3"/>
        <v>0</v>
      </c>
      <c r="AD9" s="87">
        <f t="shared" si="3"/>
        <v>0</v>
      </c>
      <c r="AE9" s="87">
        <f t="shared" si="3"/>
        <v>0</v>
      </c>
      <c r="AF9" s="87">
        <f t="shared" si="3"/>
        <v>0</v>
      </c>
      <c r="AG9" s="87">
        <f t="shared" si="3"/>
        <v>0</v>
      </c>
      <c r="AH9" s="87">
        <f>AH256</f>
        <v>0</v>
      </c>
      <c r="AI9" s="87">
        <f t="shared" si="4"/>
        <v>0</v>
      </c>
      <c r="AJ9" s="87">
        <f t="shared" si="4"/>
        <v>0</v>
      </c>
      <c r="AK9" s="87">
        <f t="shared" si="4"/>
        <v>0</v>
      </c>
      <c r="AL9" s="87">
        <f t="shared" si="4"/>
        <v>0</v>
      </c>
      <c r="AM9" s="87">
        <f t="shared" si="4"/>
        <v>0</v>
      </c>
      <c r="AN9" s="87">
        <f>AN256</f>
        <v>0</v>
      </c>
      <c r="AO9" s="87">
        <f t="shared" si="5"/>
        <v>0</v>
      </c>
      <c r="AP9" s="87">
        <f t="shared" si="5"/>
        <v>0</v>
      </c>
      <c r="AQ9" s="87">
        <f>AQ256</f>
        <v>0</v>
      </c>
      <c r="AR9" s="87">
        <f t="shared" si="6"/>
        <v>0</v>
      </c>
      <c r="AS9" s="87">
        <f t="shared" si="6"/>
        <v>0</v>
      </c>
      <c r="AT9" s="87">
        <f t="shared" si="6"/>
        <v>0</v>
      </c>
      <c r="AU9" s="87">
        <f t="shared" si="6"/>
        <v>0</v>
      </c>
      <c r="AV9" s="87">
        <f t="shared" si="6"/>
        <v>0</v>
      </c>
      <c r="AW9" s="87">
        <f>AW256</f>
        <v>0</v>
      </c>
      <c r="AX9" s="87">
        <f t="shared" si="7"/>
        <v>0</v>
      </c>
      <c r="AY9" s="87">
        <f t="shared" si="7"/>
        <v>0</v>
      </c>
      <c r="AZ9" s="87">
        <f t="shared" si="7"/>
        <v>0</v>
      </c>
      <c r="BA9" s="87">
        <f>BA256</f>
        <v>0</v>
      </c>
      <c r="BB9" s="87">
        <f t="shared" si="9"/>
        <v>0</v>
      </c>
      <c r="BC9" s="87">
        <f>BC256</f>
        <v>0</v>
      </c>
      <c r="BD9" s="87">
        <f>BD256</f>
        <v>0</v>
      </c>
      <c r="BE9" s="87">
        <f t="shared" si="8"/>
        <v>0</v>
      </c>
      <c r="BF9" s="87">
        <f t="shared" si="8"/>
        <v>0</v>
      </c>
    </row>
    <row r="10" spans="1:58" ht="14.1" customHeight="1">
      <c r="A10" s="75">
        <f>+A9+1</f>
        <v>4</v>
      </c>
      <c r="B10" s="76" t="s">
        <v>170</v>
      </c>
      <c r="C10" s="80">
        <f>SUM(D10:BF10)</f>
        <v>-2939757.4900000291</v>
      </c>
      <c r="D10" s="87">
        <f t="shared" ref="D10:V10" si="10">D291</f>
        <v>0</v>
      </c>
      <c r="E10" s="87">
        <f t="shared" si="10"/>
        <v>0</v>
      </c>
      <c r="F10" s="87">
        <f t="shared" si="10"/>
        <v>0</v>
      </c>
      <c r="G10" s="87">
        <f t="shared" si="10"/>
        <v>0</v>
      </c>
      <c r="H10" s="87">
        <f t="shared" si="10"/>
        <v>0</v>
      </c>
      <c r="I10" s="87">
        <f t="shared" si="10"/>
        <v>643148</v>
      </c>
      <c r="J10" s="87">
        <f t="shared" si="10"/>
        <v>0</v>
      </c>
      <c r="K10" s="87">
        <f t="shared" si="10"/>
        <v>0</v>
      </c>
      <c r="L10" s="87">
        <f t="shared" si="10"/>
        <v>0</v>
      </c>
      <c r="M10" s="87">
        <f t="shared" si="10"/>
        <v>0</v>
      </c>
      <c r="N10" s="87">
        <f t="shared" si="10"/>
        <v>-573589.96</v>
      </c>
      <c r="O10" s="87">
        <f t="shared" si="10"/>
        <v>0</v>
      </c>
      <c r="P10" s="87">
        <f t="shared" si="10"/>
        <v>0</v>
      </c>
      <c r="Q10" s="87">
        <f t="shared" si="10"/>
        <v>0</v>
      </c>
      <c r="R10" s="87">
        <f t="shared" si="10"/>
        <v>0</v>
      </c>
      <c r="S10" s="87">
        <f t="shared" si="10"/>
        <v>-4256853</v>
      </c>
      <c r="T10" s="87">
        <f t="shared" si="10"/>
        <v>-271393.99</v>
      </c>
      <c r="U10" s="87">
        <f t="shared" si="10"/>
        <v>1518931.4599999713</v>
      </c>
      <c r="V10" s="87">
        <f t="shared" si="10"/>
        <v>0</v>
      </c>
      <c r="W10" s="87">
        <f>W291</f>
        <v>0</v>
      </c>
      <c r="X10" s="87">
        <f t="shared" ref="X10:AD10" si="11">X291</f>
        <v>0</v>
      </c>
      <c r="Y10" s="87">
        <f>Y291</f>
        <v>0</v>
      </c>
      <c r="Z10" s="87">
        <f t="shared" si="11"/>
        <v>0</v>
      </c>
      <c r="AA10" s="87">
        <f t="shared" si="11"/>
        <v>0</v>
      </c>
      <c r="AB10" s="87">
        <f t="shared" si="11"/>
        <v>0</v>
      </c>
      <c r="AC10" s="87">
        <f t="shared" si="11"/>
        <v>0</v>
      </c>
      <c r="AD10" s="87">
        <f t="shared" si="11"/>
        <v>0</v>
      </c>
      <c r="AE10" s="87">
        <f>AE291</f>
        <v>0</v>
      </c>
      <c r="AF10" s="87">
        <f>AF291</f>
        <v>0</v>
      </c>
      <c r="AG10" s="87">
        <f>AG291</f>
        <v>0</v>
      </c>
      <c r="AH10" s="87">
        <f t="shared" ref="AH10:AL10" si="12">AH291</f>
        <v>0</v>
      </c>
      <c r="AI10" s="87">
        <f t="shared" si="12"/>
        <v>0</v>
      </c>
      <c r="AJ10" s="87">
        <f t="shared" si="12"/>
        <v>0</v>
      </c>
      <c r="AK10" s="87">
        <f t="shared" si="12"/>
        <v>0</v>
      </c>
      <c r="AL10" s="87">
        <f t="shared" si="12"/>
        <v>0</v>
      </c>
      <c r="AM10" s="87">
        <f>AM291</f>
        <v>0</v>
      </c>
      <c r="AN10" s="87">
        <f>AN291</f>
        <v>0</v>
      </c>
      <c r="AO10" s="87">
        <f>AO291</f>
        <v>0</v>
      </c>
      <c r="AP10" s="87">
        <f>AP291</f>
        <v>0</v>
      </c>
      <c r="AQ10" s="87">
        <f>AQ291</f>
        <v>0</v>
      </c>
      <c r="AR10" s="87">
        <f t="shared" ref="AR10" si="13">AR291</f>
        <v>0</v>
      </c>
      <c r="AS10" s="87">
        <f>AS291</f>
        <v>0</v>
      </c>
      <c r="AT10" s="87">
        <f t="shared" ref="AT10:AV10" si="14">AT291</f>
        <v>0</v>
      </c>
      <c r="AU10" s="87">
        <f t="shared" si="14"/>
        <v>0</v>
      </c>
      <c r="AV10" s="87">
        <f t="shared" si="14"/>
        <v>0</v>
      </c>
      <c r="AW10" s="87">
        <f>AW291</f>
        <v>0</v>
      </c>
      <c r="AX10" s="87">
        <f t="shared" ref="AX10:BF10" si="15">AX291</f>
        <v>0</v>
      </c>
      <c r="AY10" s="87">
        <f t="shared" si="15"/>
        <v>0</v>
      </c>
      <c r="AZ10" s="87">
        <f t="shared" si="15"/>
        <v>0</v>
      </c>
      <c r="BA10" s="87">
        <f t="shared" si="15"/>
        <v>0</v>
      </c>
      <c r="BB10" s="87">
        <f t="shared" si="15"/>
        <v>0</v>
      </c>
      <c r="BC10" s="87">
        <f t="shared" si="15"/>
        <v>0</v>
      </c>
      <c r="BD10" s="87">
        <f t="shared" si="15"/>
        <v>0</v>
      </c>
      <c r="BE10" s="87">
        <f t="shared" si="15"/>
        <v>0</v>
      </c>
      <c r="BF10" s="87">
        <f t="shared" si="15"/>
        <v>0</v>
      </c>
    </row>
    <row r="11" spans="1:58" ht="14.1" customHeight="1">
      <c r="A11" s="75">
        <f t="shared" ref="A11:A74" si="16">+A10+1</f>
        <v>5</v>
      </c>
      <c r="B11" s="90" t="s">
        <v>171</v>
      </c>
      <c r="C11" s="91">
        <f>SUM(D11:BF11)</f>
        <v>316449.31359999999</v>
      </c>
      <c r="D11" s="92">
        <f t="shared" ref="D11:V11" si="17">D262</f>
        <v>0</v>
      </c>
      <c r="E11" s="92">
        <f t="shared" si="17"/>
        <v>0</v>
      </c>
      <c r="F11" s="92">
        <f t="shared" si="17"/>
        <v>0</v>
      </c>
      <c r="G11" s="92">
        <f t="shared" si="17"/>
        <v>0</v>
      </c>
      <c r="H11" s="92">
        <f t="shared" si="17"/>
        <v>0</v>
      </c>
      <c r="I11" s="92">
        <f t="shared" si="17"/>
        <v>0</v>
      </c>
      <c r="J11" s="92">
        <f t="shared" si="17"/>
        <v>0</v>
      </c>
      <c r="K11" s="92">
        <f t="shared" si="17"/>
        <v>0</v>
      </c>
      <c r="L11" s="92">
        <f t="shared" si="17"/>
        <v>0</v>
      </c>
      <c r="M11" s="92">
        <f t="shared" si="17"/>
        <v>0</v>
      </c>
      <c r="N11" s="92">
        <f t="shared" si="17"/>
        <v>0</v>
      </c>
      <c r="O11" s="92">
        <f t="shared" si="17"/>
        <v>0</v>
      </c>
      <c r="P11" s="92">
        <f t="shared" si="17"/>
        <v>0</v>
      </c>
      <c r="Q11" s="92">
        <f t="shared" si="17"/>
        <v>0</v>
      </c>
      <c r="R11" s="92">
        <f t="shared" si="17"/>
        <v>0</v>
      </c>
      <c r="S11" s="92">
        <f t="shared" si="17"/>
        <v>0</v>
      </c>
      <c r="T11" s="92">
        <f t="shared" si="17"/>
        <v>0</v>
      </c>
      <c r="U11" s="92">
        <f t="shared" si="17"/>
        <v>316449.31359999999</v>
      </c>
      <c r="V11" s="92">
        <f t="shared" si="17"/>
        <v>0</v>
      </c>
      <c r="W11" s="92">
        <f>W262</f>
        <v>0</v>
      </c>
      <c r="X11" s="92">
        <f t="shared" ref="X11:AD11" si="18">X262</f>
        <v>0</v>
      </c>
      <c r="Y11" s="92">
        <f>Y262</f>
        <v>0</v>
      </c>
      <c r="Z11" s="92">
        <f t="shared" si="18"/>
        <v>0</v>
      </c>
      <c r="AA11" s="92">
        <f t="shared" si="18"/>
        <v>0</v>
      </c>
      <c r="AB11" s="92">
        <f t="shared" si="18"/>
        <v>0</v>
      </c>
      <c r="AC11" s="92">
        <f t="shared" si="18"/>
        <v>0</v>
      </c>
      <c r="AD11" s="92">
        <f t="shared" si="18"/>
        <v>0</v>
      </c>
      <c r="AE11" s="92">
        <f>AE262</f>
        <v>0</v>
      </c>
      <c r="AF11" s="92">
        <f>AF262</f>
        <v>0</v>
      </c>
      <c r="AG11" s="92">
        <f>AG262</f>
        <v>0</v>
      </c>
      <c r="AH11" s="92">
        <f t="shared" ref="AH11:AL11" si="19">AH262</f>
        <v>0</v>
      </c>
      <c r="AI11" s="92">
        <f t="shared" si="19"/>
        <v>0</v>
      </c>
      <c r="AJ11" s="92">
        <f t="shared" si="19"/>
        <v>0</v>
      </c>
      <c r="AK11" s="92">
        <f t="shared" si="19"/>
        <v>0</v>
      </c>
      <c r="AL11" s="92">
        <f t="shared" si="19"/>
        <v>0</v>
      </c>
      <c r="AM11" s="92">
        <f>AM262</f>
        <v>0</v>
      </c>
      <c r="AN11" s="92">
        <f>AN262</f>
        <v>0</v>
      </c>
      <c r="AO11" s="92">
        <f>AO262</f>
        <v>0</v>
      </c>
      <c r="AP11" s="92">
        <f>AP262</f>
        <v>0</v>
      </c>
      <c r="AQ11" s="92">
        <f>AQ262</f>
        <v>0</v>
      </c>
      <c r="AR11" s="92">
        <f t="shared" ref="AR11" si="20">AR262</f>
        <v>0</v>
      </c>
      <c r="AS11" s="92">
        <f>AS262</f>
        <v>0</v>
      </c>
      <c r="AT11" s="92">
        <f t="shared" ref="AT11:AV11" si="21">AT262</f>
        <v>0</v>
      </c>
      <c r="AU11" s="92">
        <f t="shared" si="21"/>
        <v>0</v>
      </c>
      <c r="AV11" s="92">
        <f t="shared" si="21"/>
        <v>0</v>
      </c>
      <c r="AW11" s="92">
        <f>AW262</f>
        <v>0</v>
      </c>
      <c r="AX11" s="92">
        <f t="shared" ref="AX11:BF11" si="22">AX262</f>
        <v>0</v>
      </c>
      <c r="AY11" s="92">
        <f t="shared" si="22"/>
        <v>0</v>
      </c>
      <c r="AZ11" s="92">
        <f t="shared" si="22"/>
        <v>0</v>
      </c>
      <c r="BA11" s="92">
        <f t="shared" si="22"/>
        <v>0</v>
      </c>
      <c r="BB11" s="92">
        <f t="shared" si="22"/>
        <v>0</v>
      </c>
      <c r="BC11" s="92">
        <f t="shared" si="22"/>
        <v>0</v>
      </c>
      <c r="BD11" s="92">
        <f t="shared" si="22"/>
        <v>0</v>
      </c>
      <c r="BE11" s="92">
        <f t="shared" si="22"/>
        <v>0</v>
      </c>
      <c r="BF11" s="92">
        <f t="shared" si="22"/>
        <v>0</v>
      </c>
    </row>
    <row r="12" spans="1:58" s="95" customFormat="1" ht="14.1" customHeight="1">
      <c r="A12" s="75">
        <f t="shared" si="16"/>
        <v>6</v>
      </c>
      <c r="B12" s="93" t="s">
        <v>755</v>
      </c>
      <c r="C12" s="94">
        <f t="shared" ref="C12:V12" si="23">SUM(C7:C11)</f>
        <v>-56520547.417177647</v>
      </c>
      <c r="D12" s="94">
        <f t="shared" si="23"/>
        <v>2449583</v>
      </c>
      <c r="E12" s="94">
        <f t="shared" si="23"/>
        <v>-515361.63697997667</v>
      </c>
      <c r="F12" s="94">
        <f t="shared" si="23"/>
        <v>145034</v>
      </c>
      <c r="G12" s="94">
        <f t="shared" si="23"/>
        <v>2712449.39</v>
      </c>
      <c r="H12" s="94">
        <f t="shared" si="23"/>
        <v>33001096.547184512</v>
      </c>
      <c r="I12" s="94">
        <f t="shared" si="23"/>
        <v>643148</v>
      </c>
      <c r="J12" s="94">
        <f t="shared" si="23"/>
        <v>-5276.19</v>
      </c>
      <c r="K12" s="94">
        <f t="shared" si="23"/>
        <v>-19703413</v>
      </c>
      <c r="L12" s="94">
        <f t="shared" si="23"/>
        <v>-49418888</v>
      </c>
      <c r="M12" s="94">
        <f t="shared" si="23"/>
        <v>-16771447</v>
      </c>
      <c r="N12" s="94">
        <f t="shared" si="23"/>
        <v>-573589.96</v>
      </c>
      <c r="O12" s="94">
        <f t="shared" si="23"/>
        <v>-628079.1</v>
      </c>
      <c r="P12" s="94">
        <f t="shared" si="23"/>
        <v>-373893.79</v>
      </c>
      <c r="Q12" s="94">
        <f t="shared" si="23"/>
        <v>-3776111.9253208702</v>
      </c>
      <c r="R12" s="94">
        <f t="shared" si="23"/>
        <v>-1012931.5356612798</v>
      </c>
      <c r="S12" s="94">
        <f t="shared" si="23"/>
        <v>-4256853</v>
      </c>
      <c r="T12" s="94">
        <f t="shared" si="23"/>
        <v>-271393.99</v>
      </c>
      <c r="U12" s="94">
        <f t="shared" si="23"/>
        <v>1835380.7735999713</v>
      </c>
      <c r="V12" s="94">
        <f t="shared" si="23"/>
        <v>0</v>
      </c>
      <c r="W12" s="94">
        <f>SUM(W7:W11)</f>
        <v>0</v>
      </c>
      <c r="X12" s="94">
        <f t="shared" ref="X12:AD12" si="24">SUM(X7:X11)</f>
        <v>0</v>
      </c>
      <c r="Y12" s="94">
        <f>SUM(Y7:Y11)</f>
        <v>0</v>
      </c>
      <c r="Z12" s="94">
        <f t="shared" si="24"/>
        <v>0</v>
      </c>
      <c r="AA12" s="94">
        <f t="shared" si="24"/>
        <v>0</v>
      </c>
      <c r="AB12" s="94">
        <f t="shared" si="24"/>
        <v>0</v>
      </c>
      <c r="AC12" s="94">
        <f t="shared" si="24"/>
        <v>0</v>
      </c>
      <c r="AD12" s="94">
        <f t="shared" si="24"/>
        <v>0</v>
      </c>
      <c r="AE12" s="94">
        <f>SUM(AE7:AE11)</f>
        <v>0</v>
      </c>
      <c r="AF12" s="94">
        <f>SUM(AF7:AF11)</f>
        <v>0</v>
      </c>
      <c r="AG12" s="94">
        <f>SUM(AG7:AG11)</f>
        <v>0</v>
      </c>
      <c r="AH12" s="94">
        <f t="shared" ref="AH12:AL12" si="25">SUM(AH7:AH11)</f>
        <v>0</v>
      </c>
      <c r="AI12" s="94">
        <f t="shared" si="25"/>
        <v>0</v>
      </c>
      <c r="AJ12" s="94">
        <f t="shared" si="25"/>
        <v>0</v>
      </c>
      <c r="AK12" s="94">
        <f t="shared" si="25"/>
        <v>0</v>
      </c>
      <c r="AL12" s="94">
        <f t="shared" si="25"/>
        <v>0</v>
      </c>
      <c r="AM12" s="94">
        <f>SUM(AM7:AM11)</f>
        <v>0</v>
      </c>
      <c r="AN12" s="94">
        <f>SUM(AN7:AN11)</f>
        <v>0</v>
      </c>
      <c r="AO12" s="94">
        <f>SUM(AO7:AO11)</f>
        <v>0</v>
      </c>
      <c r="AP12" s="94">
        <f>SUM(AP7:AP11)</f>
        <v>0</v>
      </c>
      <c r="AQ12" s="94">
        <f>SUM(AQ7:AQ11)</f>
        <v>0</v>
      </c>
      <c r="AR12" s="94">
        <f t="shared" ref="AR12" si="26">SUM(AR7:AR11)</f>
        <v>0</v>
      </c>
      <c r="AS12" s="94">
        <f>SUM(AS7:AS11)</f>
        <v>0</v>
      </c>
      <c r="AT12" s="94">
        <f t="shared" ref="AT12:AV12" si="27">SUM(AT7:AT11)</f>
        <v>0</v>
      </c>
      <c r="AU12" s="94">
        <f t="shared" si="27"/>
        <v>0</v>
      </c>
      <c r="AV12" s="94">
        <f t="shared" si="27"/>
        <v>0</v>
      </c>
      <c r="AW12" s="94">
        <f>SUM(AW7:AW11)</f>
        <v>0</v>
      </c>
      <c r="AX12" s="94">
        <f t="shared" ref="AX12:BF12" si="28">SUM(AX7:AX11)</f>
        <v>0</v>
      </c>
      <c r="AY12" s="94">
        <f t="shared" si="28"/>
        <v>0</v>
      </c>
      <c r="AZ12" s="94">
        <f t="shared" si="28"/>
        <v>0</v>
      </c>
      <c r="BA12" s="94">
        <f t="shared" si="28"/>
        <v>0</v>
      </c>
      <c r="BB12" s="94">
        <f t="shared" si="28"/>
        <v>0</v>
      </c>
      <c r="BC12" s="94">
        <f t="shared" si="28"/>
        <v>0</v>
      </c>
      <c r="BD12" s="94">
        <f t="shared" si="28"/>
        <v>0</v>
      </c>
      <c r="BE12" s="94">
        <f t="shared" si="28"/>
        <v>0</v>
      </c>
      <c r="BF12" s="94">
        <f t="shared" si="28"/>
        <v>0</v>
      </c>
    </row>
    <row r="13" spans="1:58" s="95" customFormat="1" ht="14.1" customHeight="1">
      <c r="A13" s="75">
        <f t="shared" si="16"/>
        <v>7</v>
      </c>
      <c r="B13" s="96"/>
      <c r="C13" s="96"/>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row>
    <row r="14" spans="1:58" ht="14.1" customHeight="1">
      <c r="A14" s="75">
        <f t="shared" si="16"/>
        <v>8</v>
      </c>
      <c r="B14" s="81" t="s">
        <v>173</v>
      </c>
      <c r="C14" s="81"/>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row>
    <row r="15" spans="1:58" ht="14.1" customHeight="1">
      <c r="A15" s="75">
        <f t="shared" si="16"/>
        <v>9</v>
      </c>
      <c r="B15" s="76" t="s">
        <v>174</v>
      </c>
      <c r="C15" s="80">
        <f t="shared" ref="C15:C22" si="29">SUM(D15:BF15)</f>
        <v>-41409833.259649344</v>
      </c>
      <c r="D15" s="87">
        <f t="shared" ref="D15:V15" si="30">D332</f>
        <v>0</v>
      </c>
      <c r="E15" s="87">
        <f t="shared" si="30"/>
        <v>0</v>
      </c>
      <c r="F15" s="87">
        <f t="shared" si="30"/>
        <v>0</v>
      </c>
      <c r="G15" s="87">
        <f t="shared" si="30"/>
        <v>0</v>
      </c>
      <c r="H15" s="87">
        <f t="shared" si="30"/>
        <v>0</v>
      </c>
      <c r="I15" s="87">
        <f t="shared" si="30"/>
        <v>0</v>
      </c>
      <c r="J15" s="87">
        <f t="shared" si="30"/>
        <v>0</v>
      </c>
      <c r="K15" s="87">
        <f t="shared" si="30"/>
        <v>0</v>
      </c>
      <c r="L15" s="87">
        <f t="shared" si="30"/>
        <v>-42632032</v>
      </c>
      <c r="M15" s="87">
        <f t="shared" si="30"/>
        <v>611599</v>
      </c>
      <c r="N15" s="87">
        <f t="shared" si="30"/>
        <v>0</v>
      </c>
      <c r="O15" s="87">
        <f t="shared" si="30"/>
        <v>0</v>
      </c>
      <c r="P15" s="87">
        <f t="shared" si="30"/>
        <v>0</v>
      </c>
      <c r="Q15" s="87">
        <f t="shared" si="30"/>
        <v>-1596917.7332181961</v>
      </c>
      <c r="R15" s="87">
        <f t="shared" si="30"/>
        <v>-428368.74643115525</v>
      </c>
      <c r="S15" s="87">
        <f t="shared" si="30"/>
        <v>0</v>
      </c>
      <c r="T15" s="87">
        <f t="shared" si="30"/>
        <v>0</v>
      </c>
      <c r="U15" s="87">
        <f t="shared" si="30"/>
        <v>4309513.5300000077</v>
      </c>
      <c r="V15" s="87">
        <f t="shared" si="30"/>
        <v>-3541349</v>
      </c>
      <c r="W15" s="87">
        <f>W332</f>
        <v>0</v>
      </c>
      <c r="X15" s="87">
        <f t="shared" ref="X15:AD15" si="31">X332</f>
        <v>0</v>
      </c>
      <c r="Y15" s="87">
        <f>Y332</f>
        <v>0</v>
      </c>
      <c r="Z15" s="87">
        <f t="shared" si="31"/>
        <v>0</v>
      </c>
      <c r="AA15" s="87">
        <f t="shared" si="31"/>
        <v>0</v>
      </c>
      <c r="AB15" s="87">
        <f t="shared" si="31"/>
        <v>8701.0299999999988</v>
      </c>
      <c r="AC15" s="87">
        <f t="shared" si="31"/>
        <v>0</v>
      </c>
      <c r="AD15" s="87">
        <f t="shared" si="31"/>
        <v>0</v>
      </c>
      <c r="AE15" s="87">
        <f>AE332</f>
        <v>0</v>
      </c>
      <c r="AF15" s="87">
        <f>AF332</f>
        <v>-741761</v>
      </c>
      <c r="AG15" s="87">
        <f>AG332</f>
        <v>1388584.01</v>
      </c>
      <c r="AH15" s="87">
        <f t="shared" ref="AH15:AL15" si="32">AH332</f>
        <v>0</v>
      </c>
      <c r="AI15" s="87">
        <f t="shared" si="32"/>
        <v>0</v>
      </c>
      <c r="AJ15" s="87">
        <f t="shared" si="32"/>
        <v>0</v>
      </c>
      <c r="AK15" s="87">
        <f t="shared" si="32"/>
        <v>0</v>
      </c>
      <c r="AL15" s="87">
        <f t="shared" si="32"/>
        <v>0</v>
      </c>
      <c r="AM15" s="87">
        <f>AM332</f>
        <v>0</v>
      </c>
      <c r="AN15" s="87">
        <f>AN332</f>
        <v>0</v>
      </c>
      <c r="AO15" s="87">
        <f>AO332</f>
        <v>0</v>
      </c>
      <c r="AP15" s="87">
        <f>AP332</f>
        <v>0</v>
      </c>
      <c r="AQ15" s="87">
        <f>AQ332</f>
        <v>1212197.6499999999</v>
      </c>
      <c r="AR15" s="87">
        <f t="shared" ref="AR15" si="33">AR332</f>
        <v>0</v>
      </c>
      <c r="AS15" s="87">
        <f>AS332</f>
        <v>0</v>
      </c>
      <c r="AT15" s="87">
        <f t="shared" ref="AT15:AV15" si="34">AT332</f>
        <v>0</v>
      </c>
      <c r="AU15" s="87">
        <f t="shared" si="34"/>
        <v>0</v>
      </c>
      <c r="AV15" s="87">
        <f t="shared" si="34"/>
        <v>0</v>
      </c>
      <c r="AW15" s="87">
        <f>AW332</f>
        <v>0</v>
      </c>
      <c r="AX15" s="87">
        <f t="shared" ref="AX15:BF15" si="35">AX332</f>
        <v>0</v>
      </c>
      <c r="AY15" s="87">
        <f t="shared" si="35"/>
        <v>0</v>
      </c>
      <c r="AZ15" s="87">
        <f t="shared" si="35"/>
        <v>0</v>
      </c>
      <c r="BA15" s="87">
        <f t="shared" si="35"/>
        <v>0</v>
      </c>
      <c r="BB15" s="87">
        <f t="shared" si="35"/>
        <v>0</v>
      </c>
      <c r="BC15" s="87">
        <f t="shared" si="35"/>
        <v>0</v>
      </c>
      <c r="BD15" s="87">
        <f t="shared" si="35"/>
        <v>0</v>
      </c>
      <c r="BE15" s="87">
        <f t="shared" si="35"/>
        <v>0</v>
      </c>
      <c r="BF15" s="87">
        <f t="shared" si="35"/>
        <v>0</v>
      </c>
    </row>
    <row r="16" spans="1:58" ht="14.1" customHeight="1">
      <c r="A16" s="75">
        <f t="shared" si="16"/>
        <v>10</v>
      </c>
      <c r="B16" s="76" t="s">
        <v>175</v>
      </c>
      <c r="C16" s="80">
        <f t="shared" si="29"/>
        <v>1762451.7700000228</v>
      </c>
      <c r="D16" s="87">
        <f t="shared" ref="D16:V16" si="36">D359</f>
        <v>0</v>
      </c>
      <c r="E16" s="87">
        <f t="shared" si="36"/>
        <v>0</v>
      </c>
      <c r="F16" s="87">
        <f t="shared" si="36"/>
        <v>0</v>
      </c>
      <c r="G16" s="87">
        <f t="shared" si="36"/>
        <v>0</v>
      </c>
      <c r="H16" s="87">
        <f t="shared" si="36"/>
        <v>0</v>
      </c>
      <c r="I16" s="87">
        <f t="shared" si="36"/>
        <v>0</v>
      </c>
      <c r="J16" s="87">
        <f t="shared" si="36"/>
        <v>0</v>
      </c>
      <c r="K16" s="87">
        <f t="shared" si="36"/>
        <v>0</v>
      </c>
      <c r="L16" s="87">
        <f t="shared" si="36"/>
        <v>0</v>
      </c>
      <c r="M16" s="87">
        <f t="shared" si="36"/>
        <v>-4174374.15</v>
      </c>
      <c r="N16" s="87">
        <f t="shared" si="36"/>
        <v>0</v>
      </c>
      <c r="O16" s="87">
        <f t="shared" si="36"/>
        <v>0</v>
      </c>
      <c r="P16" s="87">
        <f t="shared" si="36"/>
        <v>0</v>
      </c>
      <c r="Q16" s="87">
        <f t="shared" si="36"/>
        <v>0</v>
      </c>
      <c r="R16" s="87">
        <f t="shared" si="36"/>
        <v>0</v>
      </c>
      <c r="S16" s="87">
        <f t="shared" si="36"/>
        <v>5725020</v>
      </c>
      <c r="T16" s="87">
        <f t="shared" si="36"/>
        <v>0</v>
      </c>
      <c r="U16" s="87">
        <f t="shared" si="36"/>
        <v>209103.03000002285</v>
      </c>
      <c r="V16" s="87">
        <f t="shared" si="36"/>
        <v>0</v>
      </c>
      <c r="W16" s="87">
        <f>W359</f>
        <v>0</v>
      </c>
      <c r="X16" s="87">
        <f t="shared" ref="X16:AD16" si="37">X359</f>
        <v>0</v>
      </c>
      <c r="Y16" s="87">
        <f>Y359</f>
        <v>0</v>
      </c>
      <c r="Z16" s="87">
        <f t="shared" si="37"/>
        <v>0</v>
      </c>
      <c r="AA16" s="87">
        <f t="shared" si="37"/>
        <v>0</v>
      </c>
      <c r="AB16" s="87">
        <f t="shared" si="37"/>
        <v>-87.77</v>
      </c>
      <c r="AC16" s="87">
        <f t="shared" si="37"/>
        <v>0</v>
      </c>
      <c r="AD16" s="87">
        <f t="shared" si="37"/>
        <v>0</v>
      </c>
      <c r="AE16" s="87">
        <f>AE359</f>
        <v>0</v>
      </c>
      <c r="AF16" s="87">
        <f>AF359</f>
        <v>0</v>
      </c>
      <c r="AG16" s="87">
        <f>AG359</f>
        <v>2790.6600000000003</v>
      </c>
      <c r="AH16" s="87">
        <f t="shared" ref="AH16:AL16" si="38">AH359</f>
        <v>0</v>
      </c>
      <c r="AI16" s="87">
        <f t="shared" si="38"/>
        <v>0</v>
      </c>
      <c r="AJ16" s="87">
        <f t="shared" si="38"/>
        <v>0</v>
      </c>
      <c r="AK16" s="87">
        <f t="shared" si="38"/>
        <v>0</v>
      </c>
      <c r="AL16" s="87">
        <f t="shared" si="38"/>
        <v>0</v>
      </c>
      <c r="AM16" s="87">
        <f>AM359</f>
        <v>0</v>
      </c>
      <c r="AN16" s="87">
        <f>AN359</f>
        <v>0</v>
      </c>
      <c r="AO16" s="87">
        <f>AO359</f>
        <v>0</v>
      </c>
      <c r="AP16" s="87">
        <f>AP359</f>
        <v>0</v>
      </c>
      <c r="AQ16" s="87">
        <f>AQ359</f>
        <v>0</v>
      </c>
      <c r="AR16" s="87">
        <f t="shared" ref="AR16" si="39">AR359</f>
        <v>0</v>
      </c>
      <c r="AS16" s="87">
        <f>AS359</f>
        <v>0</v>
      </c>
      <c r="AT16" s="87">
        <f t="shared" ref="AT16:AV16" si="40">AT359</f>
        <v>0</v>
      </c>
      <c r="AU16" s="87">
        <f t="shared" si="40"/>
        <v>0</v>
      </c>
      <c r="AV16" s="87">
        <f t="shared" si="40"/>
        <v>0</v>
      </c>
      <c r="AW16" s="87">
        <f>AW359</f>
        <v>0</v>
      </c>
      <c r="AX16" s="87">
        <f t="shared" ref="AX16:BF16" si="41">AX359</f>
        <v>0</v>
      </c>
      <c r="AY16" s="87">
        <f t="shared" si="41"/>
        <v>0</v>
      </c>
      <c r="AZ16" s="87">
        <f t="shared" si="41"/>
        <v>0</v>
      </c>
      <c r="BA16" s="87">
        <f t="shared" si="41"/>
        <v>0</v>
      </c>
      <c r="BB16" s="87">
        <f t="shared" si="41"/>
        <v>0</v>
      </c>
      <c r="BC16" s="87">
        <f t="shared" si="41"/>
        <v>0</v>
      </c>
      <c r="BD16" s="87">
        <f t="shared" si="41"/>
        <v>0</v>
      </c>
      <c r="BE16" s="87">
        <f t="shared" si="41"/>
        <v>0</v>
      </c>
      <c r="BF16" s="87">
        <f t="shared" si="41"/>
        <v>0</v>
      </c>
    </row>
    <row r="17" spans="1:58" ht="14.1" customHeight="1">
      <c r="A17" s="75">
        <f t="shared" si="16"/>
        <v>11</v>
      </c>
      <c r="B17" s="76" t="s">
        <v>176</v>
      </c>
      <c r="C17" s="80">
        <f t="shared" si="29"/>
        <v>-6810104.4930000026</v>
      </c>
      <c r="D17" s="87">
        <f t="shared" ref="D17:V17" si="42">D387</f>
        <v>0</v>
      </c>
      <c r="E17" s="87">
        <f t="shared" si="42"/>
        <v>0</v>
      </c>
      <c r="F17" s="87">
        <f t="shared" si="42"/>
        <v>0</v>
      </c>
      <c r="G17" s="87">
        <f t="shared" si="42"/>
        <v>0</v>
      </c>
      <c r="H17" s="87">
        <f t="shared" si="42"/>
        <v>0</v>
      </c>
      <c r="I17" s="87">
        <f t="shared" si="42"/>
        <v>0</v>
      </c>
      <c r="J17" s="87">
        <f t="shared" si="42"/>
        <v>0</v>
      </c>
      <c r="K17" s="87">
        <f t="shared" si="42"/>
        <v>0</v>
      </c>
      <c r="L17" s="87">
        <f t="shared" si="42"/>
        <v>0</v>
      </c>
      <c r="M17" s="87">
        <f t="shared" si="42"/>
        <v>0</v>
      </c>
      <c r="N17" s="87">
        <f t="shared" si="42"/>
        <v>0</v>
      </c>
      <c r="O17" s="87">
        <f t="shared" si="42"/>
        <v>0</v>
      </c>
      <c r="P17" s="87">
        <f t="shared" si="42"/>
        <v>0</v>
      </c>
      <c r="Q17" s="87">
        <f t="shared" si="42"/>
        <v>0</v>
      </c>
      <c r="R17" s="87">
        <f t="shared" si="42"/>
        <v>0</v>
      </c>
      <c r="S17" s="87">
        <f t="shared" si="42"/>
        <v>0</v>
      </c>
      <c r="T17" s="87">
        <f t="shared" si="42"/>
        <v>21148.080000000002</v>
      </c>
      <c r="U17" s="87">
        <f t="shared" si="42"/>
        <v>42023.206999998336</v>
      </c>
      <c r="V17" s="87">
        <f t="shared" si="42"/>
        <v>0</v>
      </c>
      <c r="W17" s="87">
        <f>W387</f>
        <v>0</v>
      </c>
      <c r="X17" s="87">
        <f t="shared" ref="X17:AD17" si="43">X387</f>
        <v>215408.01999999955</v>
      </c>
      <c r="Y17" s="87">
        <f>Y387</f>
        <v>0</v>
      </c>
      <c r="Z17" s="87">
        <f t="shared" si="43"/>
        <v>0</v>
      </c>
      <c r="AA17" s="87">
        <f t="shared" si="43"/>
        <v>0</v>
      </c>
      <c r="AB17" s="87">
        <f t="shared" si="43"/>
        <v>95939.059999999969</v>
      </c>
      <c r="AC17" s="87">
        <f t="shared" si="43"/>
        <v>0</v>
      </c>
      <c r="AD17" s="87">
        <f t="shared" si="43"/>
        <v>0</v>
      </c>
      <c r="AE17" s="87">
        <f>AE387</f>
        <v>0</v>
      </c>
      <c r="AF17" s="87">
        <f>AF387</f>
        <v>-2257483</v>
      </c>
      <c r="AG17" s="87">
        <f>AG387</f>
        <v>1237190.04</v>
      </c>
      <c r="AH17" s="87">
        <f t="shared" ref="AH17:AL17" si="44">AH387</f>
        <v>-4368.0999999999995</v>
      </c>
      <c r="AI17" s="87">
        <f t="shared" si="44"/>
        <v>0</v>
      </c>
      <c r="AJ17" s="87">
        <f t="shared" si="44"/>
        <v>0</v>
      </c>
      <c r="AK17" s="87">
        <f t="shared" si="44"/>
        <v>0</v>
      </c>
      <c r="AL17" s="87">
        <f t="shared" si="44"/>
        <v>0</v>
      </c>
      <c r="AM17" s="87">
        <f>AM387</f>
        <v>0</v>
      </c>
      <c r="AN17" s="87">
        <f>AN387</f>
        <v>0</v>
      </c>
      <c r="AO17" s="87">
        <f>AO387</f>
        <v>0</v>
      </c>
      <c r="AP17" s="87">
        <f>AP387</f>
        <v>0</v>
      </c>
      <c r="AQ17" s="87">
        <f>AQ387</f>
        <v>0</v>
      </c>
      <c r="AR17" s="87">
        <f t="shared" ref="AR17" si="45">AR387</f>
        <v>0</v>
      </c>
      <c r="AS17" s="87">
        <f>AS387</f>
        <v>0</v>
      </c>
      <c r="AT17" s="87">
        <f t="shared" ref="AT17:AV17" si="46">AT387</f>
        <v>0</v>
      </c>
      <c r="AU17" s="87">
        <f t="shared" si="46"/>
        <v>0</v>
      </c>
      <c r="AV17" s="87">
        <f t="shared" si="46"/>
        <v>-6159961.8000000007</v>
      </c>
      <c r="AW17" s="87">
        <f>AW387</f>
        <v>0</v>
      </c>
      <c r="AX17" s="87">
        <f t="shared" ref="AX17:BF17" si="47">AX387</f>
        <v>0</v>
      </c>
      <c r="AY17" s="87">
        <f t="shared" si="47"/>
        <v>0</v>
      </c>
      <c r="AZ17" s="87">
        <f t="shared" si="47"/>
        <v>0</v>
      </c>
      <c r="BA17" s="87">
        <f t="shared" si="47"/>
        <v>0</v>
      </c>
      <c r="BB17" s="87">
        <f t="shared" si="47"/>
        <v>0</v>
      </c>
      <c r="BC17" s="87">
        <f t="shared" si="47"/>
        <v>0</v>
      </c>
      <c r="BD17" s="87">
        <f t="shared" si="47"/>
        <v>0</v>
      </c>
      <c r="BE17" s="87">
        <f t="shared" si="47"/>
        <v>0</v>
      </c>
      <c r="BF17" s="87">
        <f t="shared" si="47"/>
        <v>0</v>
      </c>
    </row>
    <row r="18" spans="1:58" ht="14.1" customHeight="1">
      <c r="A18" s="75">
        <f t="shared" si="16"/>
        <v>12</v>
      </c>
      <c r="B18" s="76" t="s">
        <v>177</v>
      </c>
      <c r="C18" s="80">
        <f t="shared" si="29"/>
        <v>109613.42000000013</v>
      </c>
      <c r="D18" s="87">
        <f t="shared" ref="D18:V18" si="48">D396</f>
        <v>0</v>
      </c>
      <c r="E18" s="87">
        <f t="shared" si="48"/>
        <v>0</v>
      </c>
      <c r="F18" s="87">
        <f t="shared" si="48"/>
        <v>0</v>
      </c>
      <c r="G18" s="87">
        <f t="shared" si="48"/>
        <v>0</v>
      </c>
      <c r="H18" s="87">
        <f t="shared" si="48"/>
        <v>0</v>
      </c>
      <c r="I18" s="87">
        <f t="shared" si="48"/>
        <v>0</v>
      </c>
      <c r="J18" s="87">
        <f t="shared" si="48"/>
        <v>0</v>
      </c>
      <c r="K18" s="87">
        <f t="shared" si="48"/>
        <v>0</v>
      </c>
      <c r="L18" s="87">
        <f t="shared" si="48"/>
        <v>0</v>
      </c>
      <c r="M18" s="87">
        <f t="shared" si="48"/>
        <v>0</v>
      </c>
      <c r="N18" s="87">
        <f t="shared" si="48"/>
        <v>0</v>
      </c>
      <c r="O18" s="87">
        <f t="shared" si="48"/>
        <v>0</v>
      </c>
      <c r="P18" s="87">
        <f t="shared" si="48"/>
        <v>0</v>
      </c>
      <c r="Q18" s="87">
        <f t="shared" si="48"/>
        <v>0</v>
      </c>
      <c r="R18" s="87">
        <f t="shared" si="48"/>
        <v>0</v>
      </c>
      <c r="S18" s="87">
        <f t="shared" si="48"/>
        <v>0</v>
      </c>
      <c r="T18" s="87">
        <f t="shared" si="48"/>
        <v>0</v>
      </c>
      <c r="U18" s="87">
        <f t="shared" si="48"/>
        <v>61.080000000136351</v>
      </c>
      <c r="V18" s="87">
        <f t="shared" si="48"/>
        <v>0</v>
      </c>
      <c r="W18" s="87">
        <f>W396</f>
        <v>0</v>
      </c>
      <c r="X18" s="87">
        <f t="shared" ref="X18:AD18" si="49">X396</f>
        <v>0</v>
      </c>
      <c r="Y18" s="87">
        <f>Y396</f>
        <v>0</v>
      </c>
      <c r="Z18" s="87">
        <f t="shared" si="49"/>
        <v>0</v>
      </c>
      <c r="AA18" s="87">
        <f t="shared" si="49"/>
        <v>0</v>
      </c>
      <c r="AB18" s="87">
        <f t="shared" si="49"/>
        <v>8190.0499999999993</v>
      </c>
      <c r="AC18" s="87">
        <f t="shared" si="49"/>
        <v>0</v>
      </c>
      <c r="AD18" s="87">
        <f t="shared" si="49"/>
        <v>0</v>
      </c>
      <c r="AE18" s="87">
        <f>AE396</f>
        <v>0</v>
      </c>
      <c r="AF18" s="87">
        <f>AF396</f>
        <v>0</v>
      </c>
      <c r="AG18" s="87">
        <f>AG396</f>
        <v>101362.29</v>
      </c>
      <c r="AH18" s="87">
        <f t="shared" ref="AH18:AL18" si="50">AH396</f>
        <v>0</v>
      </c>
      <c r="AI18" s="87">
        <f t="shared" si="50"/>
        <v>0</v>
      </c>
      <c r="AJ18" s="87">
        <f t="shared" si="50"/>
        <v>0</v>
      </c>
      <c r="AK18" s="87">
        <f t="shared" si="50"/>
        <v>0</v>
      </c>
      <c r="AL18" s="87">
        <f t="shared" si="50"/>
        <v>0</v>
      </c>
      <c r="AM18" s="87">
        <f>AM396</f>
        <v>0</v>
      </c>
      <c r="AN18" s="87">
        <f>AN396</f>
        <v>0</v>
      </c>
      <c r="AO18" s="87">
        <f>AO396</f>
        <v>0</v>
      </c>
      <c r="AP18" s="87">
        <f>AP396</f>
        <v>0</v>
      </c>
      <c r="AQ18" s="87">
        <f>AQ396</f>
        <v>0</v>
      </c>
      <c r="AR18" s="87">
        <f t="shared" ref="AR18" si="51">AR396</f>
        <v>0</v>
      </c>
      <c r="AS18" s="87">
        <f>AS396</f>
        <v>0</v>
      </c>
      <c r="AT18" s="87">
        <f t="shared" ref="AT18:AV18" si="52">AT396</f>
        <v>0</v>
      </c>
      <c r="AU18" s="87">
        <f t="shared" si="52"/>
        <v>0</v>
      </c>
      <c r="AV18" s="87">
        <f t="shared" si="52"/>
        <v>0</v>
      </c>
      <c r="AW18" s="87">
        <f>AW396</f>
        <v>0</v>
      </c>
      <c r="AX18" s="87">
        <f t="shared" ref="AX18:BF18" si="53">AX396</f>
        <v>0</v>
      </c>
      <c r="AY18" s="87">
        <f t="shared" si="53"/>
        <v>0</v>
      </c>
      <c r="AZ18" s="87">
        <f t="shared" si="53"/>
        <v>0</v>
      </c>
      <c r="BA18" s="87">
        <f t="shared" si="53"/>
        <v>0</v>
      </c>
      <c r="BB18" s="87">
        <f t="shared" si="53"/>
        <v>0</v>
      </c>
      <c r="BC18" s="87">
        <f t="shared" si="53"/>
        <v>0</v>
      </c>
      <c r="BD18" s="87">
        <f t="shared" si="53"/>
        <v>0</v>
      </c>
      <c r="BE18" s="87">
        <f t="shared" si="53"/>
        <v>0</v>
      </c>
      <c r="BF18" s="87">
        <f t="shared" si="53"/>
        <v>0</v>
      </c>
    </row>
    <row r="19" spans="1:58" ht="14.1" customHeight="1">
      <c r="A19" s="75">
        <f t="shared" si="16"/>
        <v>13</v>
      </c>
      <c r="B19" s="76" t="s">
        <v>178</v>
      </c>
      <c r="C19" s="80">
        <f t="shared" si="29"/>
        <v>0</v>
      </c>
      <c r="D19" s="87">
        <f t="shared" ref="D19:V19" si="54">D410</f>
        <v>0</v>
      </c>
      <c r="E19" s="87">
        <f t="shared" si="54"/>
        <v>0</v>
      </c>
      <c r="F19" s="87">
        <f t="shared" si="54"/>
        <v>0</v>
      </c>
      <c r="G19" s="87">
        <f t="shared" si="54"/>
        <v>0</v>
      </c>
      <c r="H19" s="87">
        <f t="shared" si="54"/>
        <v>0</v>
      </c>
      <c r="I19" s="87">
        <f t="shared" si="54"/>
        <v>0</v>
      </c>
      <c r="J19" s="87">
        <f t="shared" si="54"/>
        <v>0</v>
      </c>
      <c r="K19" s="87">
        <f t="shared" si="54"/>
        <v>0</v>
      </c>
      <c r="L19" s="87">
        <f t="shared" si="54"/>
        <v>0</v>
      </c>
      <c r="M19" s="87">
        <f t="shared" si="54"/>
        <v>0</v>
      </c>
      <c r="N19" s="87">
        <f t="shared" si="54"/>
        <v>0</v>
      </c>
      <c r="O19" s="87">
        <f t="shared" si="54"/>
        <v>0</v>
      </c>
      <c r="P19" s="87">
        <f t="shared" si="54"/>
        <v>0</v>
      </c>
      <c r="Q19" s="87">
        <f t="shared" si="54"/>
        <v>0</v>
      </c>
      <c r="R19" s="87">
        <f t="shared" si="54"/>
        <v>0</v>
      </c>
      <c r="S19" s="87">
        <f t="shared" si="54"/>
        <v>0</v>
      </c>
      <c r="T19" s="87">
        <f t="shared" si="54"/>
        <v>0</v>
      </c>
      <c r="U19" s="87">
        <f t="shared" si="54"/>
        <v>0</v>
      </c>
      <c r="V19" s="87">
        <f t="shared" si="54"/>
        <v>0</v>
      </c>
      <c r="W19" s="87">
        <f>W410</f>
        <v>0</v>
      </c>
      <c r="X19" s="87">
        <f t="shared" ref="X19:AD19" si="55">X410</f>
        <v>0</v>
      </c>
      <c r="Y19" s="87">
        <f>Y410</f>
        <v>0</v>
      </c>
      <c r="Z19" s="87">
        <f t="shared" si="55"/>
        <v>0</v>
      </c>
      <c r="AA19" s="87">
        <f t="shared" si="55"/>
        <v>0</v>
      </c>
      <c r="AB19" s="87">
        <f t="shared" si="55"/>
        <v>0</v>
      </c>
      <c r="AC19" s="87">
        <f t="shared" si="55"/>
        <v>0</v>
      </c>
      <c r="AD19" s="87">
        <f t="shared" si="55"/>
        <v>0</v>
      </c>
      <c r="AE19" s="87">
        <f>AE410</f>
        <v>0</v>
      </c>
      <c r="AF19" s="87">
        <f>AF410</f>
        <v>0</v>
      </c>
      <c r="AG19" s="87">
        <f>AG410</f>
        <v>0</v>
      </c>
      <c r="AH19" s="87">
        <f t="shared" ref="AH19:AL19" si="56">AH410</f>
        <v>0</v>
      </c>
      <c r="AI19" s="87">
        <f t="shared" si="56"/>
        <v>0</v>
      </c>
      <c r="AJ19" s="87">
        <f t="shared" si="56"/>
        <v>0</v>
      </c>
      <c r="AK19" s="87">
        <f t="shared" si="56"/>
        <v>0</v>
      </c>
      <c r="AL19" s="87">
        <f t="shared" si="56"/>
        <v>0</v>
      </c>
      <c r="AM19" s="87">
        <f>AM410</f>
        <v>0</v>
      </c>
      <c r="AN19" s="87">
        <f>AN410</f>
        <v>0</v>
      </c>
      <c r="AO19" s="87">
        <f>AO410</f>
        <v>0</v>
      </c>
      <c r="AP19" s="87">
        <f>AP410</f>
        <v>0</v>
      </c>
      <c r="AQ19" s="87">
        <f>AQ410</f>
        <v>0</v>
      </c>
      <c r="AR19" s="87">
        <f t="shared" ref="AR19" si="57">AR410</f>
        <v>0</v>
      </c>
      <c r="AS19" s="87">
        <f>AS410</f>
        <v>0</v>
      </c>
      <c r="AT19" s="87">
        <f t="shared" ref="AT19:AV19" si="58">AT410</f>
        <v>0</v>
      </c>
      <c r="AU19" s="87">
        <f t="shared" si="58"/>
        <v>0</v>
      </c>
      <c r="AV19" s="87">
        <f t="shared" si="58"/>
        <v>0</v>
      </c>
      <c r="AW19" s="87">
        <f>AW410</f>
        <v>0</v>
      </c>
      <c r="AX19" s="87">
        <f t="shared" ref="AX19:BF19" si="59">AX410</f>
        <v>0</v>
      </c>
      <c r="AY19" s="87">
        <f t="shared" si="59"/>
        <v>0</v>
      </c>
      <c r="AZ19" s="87">
        <f t="shared" si="59"/>
        <v>0</v>
      </c>
      <c r="BA19" s="87">
        <f t="shared" si="59"/>
        <v>0</v>
      </c>
      <c r="BB19" s="87">
        <f t="shared" si="59"/>
        <v>0</v>
      </c>
      <c r="BC19" s="87">
        <f t="shared" si="59"/>
        <v>0</v>
      </c>
      <c r="BD19" s="87">
        <f t="shared" si="59"/>
        <v>0</v>
      </c>
      <c r="BE19" s="87">
        <f t="shared" si="59"/>
        <v>0</v>
      </c>
      <c r="BF19" s="87">
        <f t="shared" si="59"/>
        <v>0</v>
      </c>
    </row>
    <row r="20" spans="1:58" ht="14.1" customHeight="1">
      <c r="A20" s="75">
        <f t="shared" si="16"/>
        <v>14</v>
      </c>
      <c r="B20" s="76" t="s">
        <v>179</v>
      </c>
      <c r="C20" s="80">
        <f t="shared" si="29"/>
        <v>-1495547.3</v>
      </c>
      <c r="D20" s="87">
        <f t="shared" ref="D20:V20" si="60">D403</f>
        <v>0</v>
      </c>
      <c r="E20" s="87">
        <f t="shared" si="60"/>
        <v>0</v>
      </c>
      <c r="F20" s="87">
        <f t="shared" si="60"/>
        <v>0</v>
      </c>
      <c r="G20" s="87">
        <f t="shared" si="60"/>
        <v>0</v>
      </c>
      <c r="H20" s="87">
        <f t="shared" si="60"/>
        <v>0</v>
      </c>
      <c r="I20" s="87">
        <f t="shared" si="60"/>
        <v>0</v>
      </c>
      <c r="J20" s="87">
        <f t="shared" si="60"/>
        <v>0</v>
      </c>
      <c r="K20" s="87">
        <f t="shared" si="60"/>
        <v>0</v>
      </c>
      <c r="L20" s="87">
        <f t="shared" si="60"/>
        <v>0</v>
      </c>
      <c r="M20" s="87">
        <f t="shared" si="60"/>
        <v>0</v>
      </c>
      <c r="N20" s="87">
        <f t="shared" si="60"/>
        <v>-515763.11999999994</v>
      </c>
      <c r="O20" s="87">
        <f t="shared" si="60"/>
        <v>-628079.1</v>
      </c>
      <c r="P20" s="87">
        <f t="shared" si="60"/>
        <v>-373893.79</v>
      </c>
      <c r="Q20" s="87">
        <f t="shared" si="60"/>
        <v>0</v>
      </c>
      <c r="R20" s="87">
        <f t="shared" si="60"/>
        <v>0</v>
      </c>
      <c r="S20" s="87">
        <f t="shared" si="60"/>
        <v>0</v>
      </c>
      <c r="T20" s="87">
        <f t="shared" si="60"/>
        <v>0</v>
      </c>
      <c r="U20" s="87">
        <f t="shared" si="60"/>
        <v>22.010000000038417</v>
      </c>
      <c r="V20" s="87">
        <f t="shared" si="60"/>
        <v>0</v>
      </c>
      <c r="W20" s="87">
        <f>W403</f>
        <v>0</v>
      </c>
      <c r="X20" s="87">
        <f t="shared" ref="X20:AD20" si="61">X403</f>
        <v>0</v>
      </c>
      <c r="Y20" s="87">
        <f>Y403</f>
        <v>0</v>
      </c>
      <c r="Z20" s="87">
        <f t="shared" si="61"/>
        <v>0</v>
      </c>
      <c r="AA20" s="87">
        <f t="shared" si="61"/>
        <v>0</v>
      </c>
      <c r="AB20" s="87">
        <f t="shared" si="61"/>
        <v>56.289999999999971</v>
      </c>
      <c r="AC20" s="87">
        <f t="shared" si="61"/>
        <v>0</v>
      </c>
      <c r="AD20" s="87">
        <f t="shared" si="61"/>
        <v>0</v>
      </c>
      <c r="AE20" s="87">
        <f>AE403</f>
        <v>0</v>
      </c>
      <c r="AF20" s="87">
        <f>AF403</f>
        <v>0</v>
      </c>
      <c r="AG20" s="87">
        <f>AG403</f>
        <v>29997.9</v>
      </c>
      <c r="AH20" s="87">
        <f t="shared" ref="AH20:AL20" si="62">AH403</f>
        <v>-7887.49</v>
      </c>
      <c r="AI20" s="87">
        <f t="shared" si="62"/>
        <v>0</v>
      </c>
      <c r="AJ20" s="87">
        <f t="shared" si="62"/>
        <v>0</v>
      </c>
      <c r="AK20" s="87">
        <f t="shared" si="62"/>
        <v>0</v>
      </c>
      <c r="AL20" s="87">
        <f t="shared" si="62"/>
        <v>0</v>
      </c>
      <c r="AM20" s="87">
        <f>AM403</f>
        <v>0</v>
      </c>
      <c r="AN20" s="87">
        <f>AN403</f>
        <v>0</v>
      </c>
      <c r="AO20" s="87">
        <f>AO403</f>
        <v>0</v>
      </c>
      <c r="AP20" s="87">
        <f>AP403</f>
        <v>0</v>
      </c>
      <c r="AQ20" s="87">
        <f>AQ403</f>
        <v>0</v>
      </c>
      <c r="AR20" s="87">
        <f t="shared" ref="AR20" si="63">AR403</f>
        <v>0</v>
      </c>
      <c r="AS20" s="87">
        <f>AS403</f>
        <v>0</v>
      </c>
      <c r="AT20" s="87">
        <f t="shared" ref="AT20:AV20" si="64">AT403</f>
        <v>0</v>
      </c>
      <c r="AU20" s="87">
        <f t="shared" si="64"/>
        <v>0</v>
      </c>
      <c r="AV20" s="87">
        <f t="shared" si="64"/>
        <v>0</v>
      </c>
      <c r="AW20" s="87">
        <f>AW403</f>
        <v>0</v>
      </c>
      <c r="AX20" s="87">
        <f t="shared" ref="AX20:BF20" si="65">AX403</f>
        <v>0</v>
      </c>
      <c r="AY20" s="87">
        <f t="shared" si="65"/>
        <v>0</v>
      </c>
      <c r="AZ20" s="87">
        <f t="shared" si="65"/>
        <v>0</v>
      </c>
      <c r="BA20" s="87">
        <f t="shared" si="65"/>
        <v>0</v>
      </c>
      <c r="BB20" s="87">
        <f t="shared" si="65"/>
        <v>0</v>
      </c>
      <c r="BC20" s="87">
        <f t="shared" si="65"/>
        <v>0</v>
      </c>
      <c r="BD20" s="87">
        <f t="shared" si="65"/>
        <v>0</v>
      </c>
      <c r="BE20" s="87">
        <f t="shared" si="65"/>
        <v>0</v>
      </c>
      <c r="BF20" s="87">
        <f t="shared" si="65"/>
        <v>0</v>
      </c>
    </row>
    <row r="21" spans="1:58" ht="14.1" customHeight="1">
      <c r="A21" s="75">
        <f t="shared" si="16"/>
        <v>15</v>
      </c>
      <c r="B21" s="76" t="s">
        <v>180</v>
      </c>
      <c r="C21" s="80">
        <f t="shared" si="29"/>
        <v>4293253.1536336001</v>
      </c>
      <c r="D21" s="87">
        <f t="shared" ref="D21:V21" si="66">D431</f>
        <v>0</v>
      </c>
      <c r="E21" s="87">
        <f t="shared" si="66"/>
        <v>0</v>
      </c>
      <c r="F21" s="87">
        <f t="shared" si="66"/>
        <v>0</v>
      </c>
      <c r="G21" s="87">
        <f t="shared" si="66"/>
        <v>0</v>
      </c>
      <c r="H21" s="87">
        <f t="shared" si="66"/>
        <v>0</v>
      </c>
      <c r="I21" s="87">
        <f t="shared" si="66"/>
        <v>0</v>
      </c>
      <c r="J21" s="87">
        <f t="shared" si="66"/>
        <v>0</v>
      </c>
      <c r="K21" s="87">
        <f t="shared" si="66"/>
        <v>0</v>
      </c>
      <c r="L21" s="87">
        <f t="shared" si="66"/>
        <v>0</v>
      </c>
      <c r="M21" s="87">
        <f t="shared" si="66"/>
        <v>0</v>
      </c>
      <c r="N21" s="87">
        <f t="shared" si="66"/>
        <v>0</v>
      </c>
      <c r="O21" s="87">
        <f t="shared" si="66"/>
        <v>0</v>
      </c>
      <c r="P21" s="87">
        <f t="shared" si="66"/>
        <v>0</v>
      </c>
      <c r="Q21" s="87">
        <f t="shared" si="66"/>
        <v>0</v>
      </c>
      <c r="R21" s="87">
        <f t="shared" si="66"/>
        <v>0</v>
      </c>
      <c r="S21" s="87">
        <f t="shared" si="66"/>
        <v>0</v>
      </c>
      <c r="T21" s="87">
        <f t="shared" si="66"/>
        <v>0</v>
      </c>
      <c r="U21" s="87">
        <f t="shared" si="66"/>
        <v>340970.47239999985</v>
      </c>
      <c r="V21" s="87">
        <f t="shared" si="66"/>
        <v>0</v>
      </c>
      <c r="W21" s="87">
        <f>W431</f>
        <v>0</v>
      </c>
      <c r="X21" s="87">
        <f t="shared" ref="X21:AD21" si="67">X431</f>
        <v>0</v>
      </c>
      <c r="Y21" s="87">
        <f>Y431</f>
        <v>0</v>
      </c>
      <c r="Z21" s="87">
        <f t="shared" si="67"/>
        <v>241938.96000000002</v>
      </c>
      <c r="AA21" s="87">
        <f t="shared" si="67"/>
        <v>-54803.77</v>
      </c>
      <c r="AB21" s="87">
        <f t="shared" si="67"/>
        <v>4144.7999999999993</v>
      </c>
      <c r="AC21" s="87">
        <f t="shared" si="67"/>
        <v>4985006.8612336004</v>
      </c>
      <c r="AD21" s="87">
        <f t="shared" si="67"/>
        <v>-61787</v>
      </c>
      <c r="AE21" s="87">
        <f>AE431</f>
        <v>0</v>
      </c>
      <c r="AF21" s="87">
        <f>AF431</f>
        <v>-87305</v>
      </c>
      <c r="AG21" s="87">
        <f>AG431</f>
        <v>370977.9</v>
      </c>
      <c r="AH21" s="87">
        <f t="shared" ref="AH21:AL21" si="68">AH431</f>
        <v>-11915.79</v>
      </c>
      <c r="AI21" s="87">
        <f t="shared" si="68"/>
        <v>0</v>
      </c>
      <c r="AJ21" s="87">
        <f t="shared" si="68"/>
        <v>0</v>
      </c>
      <c r="AK21" s="87">
        <f t="shared" si="68"/>
        <v>0</v>
      </c>
      <c r="AL21" s="87">
        <f t="shared" si="68"/>
        <v>114528.71999999997</v>
      </c>
      <c r="AM21" s="87">
        <f>AM431</f>
        <v>0</v>
      </c>
      <c r="AN21" s="87">
        <f>AN431</f>
        <v>0</v>
      </c>
      <c r="AO21" s="87">
        <f>AO431</f>
        <v>0</v>
      </c>
      <c r="AP21" s="87">
        <f>AP431</f>
        <v>0</v>
      </c>
      <c r="AQ21" s="87">
        <f>AQ431</f>
        <v>0</v>
      </c>
      <c r="AR21" s="87">
        <f t="shared" ref="AR21" si="69">AR431</f>
        <v>-1689276</v>
      </c>
      <c r="AS21" s="87">
        <f>AS431</f>
        <v>140773</v>
      </c>
      <c r="AT21" s="87">
        <f t="shared" ref="AT21:AV21" si="70">AT431</f>
        <v>0</v>
      </c>
      <c r="AU21" s="87">
        <f t="shared" si="70"/>
        <v>0</v>
      </c>
      <c r="AV21" s="87">
        <f t="shared" si="70"/>
        <v>0</v>
      </c>
      <c r="AW21" s="87">
        <f>AW431</f>
        <v>0</v>
      </c>
      <c r="AX21" s="87">
        <f t="shared" ref="AX21:BF21" si="71">AX431</f>
        <v>0</v>
      </c>
      <c r="AY21" s="87">
        <f t="shared" si="71"/>
        <v>0</v>
      </c>
      <c r="AZ21" s="87">
        <f t="shared" si="71"/>
        <v>0</v>
      </c>
      <c r="BA21" s="87">
        <f t="shared" si="71"/>
        <v>0</v>
      </c>
      <c r="BB21" s="87">
        <f t="shared" si="71"/>
        <v>0</v>
      </c>
      <c r="BC21" s="87">
        <f t="shared" si="71"/>
        <v>0</v>
      </c>
      <c r="BD21" s="87">
        <f t="shared" si="71"/>
        <v>0</v>
      </c>
      <c r="BE21" s="87">
        <f t="shared" si="71"/>
        <v>0</v>
      </c>
      <c r="BF21" s="87">
        <f t="shared" si="71"/>
        <v>0</v>
      </c>
    </row>
    <row r="22" spans="1:58" ht="14.1" customHeight="1">
      <c r="A22" s="75">
        <f t="shared" si="16"/>
        <v>16</v>
      </c>
      <c r="B22" s="90" t="s">
        <v>181</v>
      </c>
      <c r="C22" s="91">
        <f t="shared" si="29"/>
        <v>0</v>
      </c>
      <c r="D22" s="92">
        <v>0</v>
      </c>
      <c r="E22" s="92">
        <v>0</v>
      </c>
      <c r="F22" s="92">
        <v>0</v>
      </c>
      <c r="G22" s="92">
        <v>0</v>
      </c>
      <c r="H22" s="92">
        <v>0</v>
      </c>
      <c r="I22" s="92">
        <v>0</v>
      </c>
      <c r="J22" s="92">
        <v>0</v>
      </c>
      <c r="K22" s="92">
        <v>0</v>
      </c>
      <c r="L22" s="92">
        <v>0</v>
      </c>
      <c r="M22" s="92">
        <v>0</v>
      </c>
      <c r="N22" s="92">
        <v>0</v>
      </c>
      <c r="O22" s="92">
        <v>0</v>
      </c>
      <c r="P22" s="92">
        <v>0</v>
      </c>
      <c r="Q22" s="92">
        <v>0</v>
      </c>
      <c r="R22" s="92">
        <v>0</v>
      </c>
      <c r="S22" s="92">
        <v>0</v>
      </c>
      <c r="T22" s="92">
        <v>0</v>
      </c>
      <c r="U22" s="92">
        <v>0</v>
      </c>
      <c r="V22" s="92">
        <v>0</v>
      </c>
      <c r="W22" s="92">
        <v>0</v>
      </c>
      <c r="X22" s="92">
        <v>0</v>
      </c>
      <c r="Y22" s="92">
        <v>0</v>
      </c>
      <c r="Z22" s="92">
        <v>0</v>
      </c>
      <c r="AA22" s="92">
        <v>0</v>
      </c>
      <c r="AB22" s="92">
        <v>0</v>
      </c>
      <c r="AC22" s="92">
        <v>0</v>
      </c>
      <c r="AD22" s="92">
        <v>0</v>
      </c>
      <c r="AE22" s="92">
        <v>0</v>
      </c>
      <c r="AF22" s="92">
        <v>0</v>
      </c>
      <c r="AG22" s="92">
        <v>0</v>
      </c>
      <c r="AH22" s="92">
        <v>0</v>
      </c>
      <c r="AI22" s="92">
        <v>0</v>
      </c>
      <c r="AJ22" s="92">
        <v>0</v>
      </c>
      <c r="AK22" s="92">
        <v>0</v>
      </c>
      <c r="AL22" s="92">
        <v>0</v>
      </c>
      <c r="AM22" s="92">
        <v>0</v>
      </c>
      <c r="AN22" s="92">
        <v>0</v>
      </c>
      <c r="AO22" s="92">
        <v>0</v>
      </c>
      <c r="AP22" s="92">
        <v>0</v>
      </c>
      <c r="AQ22" s="92">
        <v>0</v>
      </c>
      <c r="AR22" s="92">
        <v>0</v>
      </c>
      <c r="AS22" s="92">
        <v>0</v>
      </c>
      <c r="AT22" s="92">
        <v>0</v>
      </c>
      <c r="AU22" s="92">
        <v>0</v>
      </c>
      <c r="AV22" s="92">
        <v>0</v>
      </c>
      <c r="AW22" s="92">
        <v>0</v>
      </c>
      <c r="AX22" s="92">
        <v>0</v>
      </c>
      <c r="AY22" s="92">
        <v>0</v>
      </c>
      <c r="AZ22" s="92">
        <v>0</v>
      </c>
      <c r="BA22" s="92">
        <v>0</v>
      </c>
      <c r="BB22" s="92">
        <v>0</v>
      </c>
      <c r="BC22" s="92">
        <v>0</v>
      </c>
      <c r="BD22" s="92">
        <v>0</v>
      </c>
      <c r="BE22" s="92">
        <v>0</v>
      </c>
      <c r="BF22" s="92">
        <v>0</v>
      </c>
    </row>
    <row r="23" spans="1:58" s="95" customFormat="1" ht="14.1" customHeight="1">
      <c r="A23" s="75">
        <f t="shared" si="16"/>
        <v>17</v>
      </c>
      <c r="B23" s="93" t="s">
        <v>756</v>
      </c>
      <c r="C23" s="94">
        <f t="shared" ref="C23:V23" si="72">SUM(C15:C22)</f>
        <v>-43550166.709015712</v>
      </c>
      <c r="D23" s="94">
        <f t="shared" si="72"/>
        <v>0</v>
      </c>
      <c r="E23" s="94">
        <f t="shared" si="72"/>
        <v>0</v>
      </c>
      <c r="F23" s="94">
        <f t="shared" si="72"/>
        <v>0</v>
      </c>
      <c r="G23" s="94">
        <f t="shared" si="72"/>
        <v>0</v>
      </c>
      <c r="H23" s="94">
        <f t="shared" si="72"/>
        <v>0</v>
      </c>
      <c r="I23" s="94">
        <f t="shared" si="72"/>
        <v>0</v>
      </c>
      <c r="J23" s="94">
        <f t="shared" si="72"/>
        <v>0</v>
      </c>
      <c r="K23" s="94">
        <f t="shared" si="72"/>
        <v>0</v>
      </c>
      <c r="L23" s="94">
        <f t="shared" si="72"/>
        <v>-42632032</v>
      </c>
      <c r="M23" s="94">
        <f t="shared" si="72"/>
        <v>-3562775.15</v>
      </c>
      <c r="N23" s="94">
        <f t="shared" si="72"/>
        <v>-515763.11999999994</v>
      </c>
      <c r="O23" s="94">
        <f t="shared" si="72"/>
        <v>-628079.1</v>
      </c>
      <c r="P23" s="94">
        <f t="shared" si="72"/>
        <v>-373893.79</v>
      </c>
      <c r="Q23" s="94">
        <f t="shared" si="72"/>
        <v>-1596917.7332181961</v>
      </c>
      <c r="R23" s="94">
        <f t="shared" si="72"/>
        <v>-428368.74643115525</v>
      </c>
      <c r="S23" s="94">
        <f t="shared" si="72"/>
        <v>5725020</v>
      </c>
      <c r="T23" s="94">
        <f t="shared" si="72"/>
        <v>21148.080000000002</v>
      </c>
      <c r="U23" s="94">
        <f>SUM(U15:U22)</f>
        <v>4901693.329400029</v>
      </c>
      <c r="V23" s="94">
        <f t="shared" si="72"/>
        <v>-3541349</v>
      </c>
      <c r="W23" s="94">
        <f>SUM(W15:W22)</f>
        <v>0</v>
      </c>
      <c r="X23" s="94">
        <f t="shared" ref="X23:AD23" si="73">SUM(X15:X22)</f>
        <v>215408.01999999955</v>
      </c>
      <c r="Y23" s="94">
        <f>SUM(Y15:Y22)</f>
        <v>0</v>
      </c>
      <c r="Z23" s="94">
        <f t="shared" si="73"/>
        <v>241938.96000000002</v>
      </c>
      <c r="AA23" s="94">
        <f t="shared" si="73"/>
        <v>-54803.77</v>
      </c>
      <c r="AB23" s="94">
        <f t="shared" si="73"/>
        <v>116943.45999999996</v>
      </c>
      <c r="AC23" s="94">
        <f t="shared" si="73"/>
        <v>4985006.8612336004</v>
      </c>
      <c r="AD23" s="94">
        <f t="shared" si="73"/>
        <v>-61787</v>
      </c>
      <c r="AE23" s="94">
        <f>SUM(AE15:AE22)</f>
        <v>0</v>
      </c>
      <c r="AF23" s="94">
        <f>SUM(AF15:AF22)</f>
        <v>-3086549</v>
      </c>
      <c r="AG23" s="94">
        <f>SUM(AG15:AG22)</f>
        <v>3130902.8</v>
      </c>
      <c r="AH23" s="94">
        <f t="shared" ref="AH23:AL23" si="74">SUM(AH15:AH22)</f>
        <v>-24171.38</v>
      </c>
      <c r="AI23" s="94">
        <f t="shared" si="74"/>
        <v>0</v>
      </c>
      <c r="AJ23" s="94">
        <f t="shared" si="74"/>
        <v>0</v>
      </c>
      <c r="AK23" s="94">
        <f t="shared" si="74"/>
        <v>0</v>
      </c>
      <c r="AL23" s="94">
        <f t="shared" si="74"/>
        <v>114528.71999999997</v>
      </c>
      <c r="AM23" s="94">
        <f>SUM(AM15:AM22)</f>
        <v>0</v>
      </c>
      <c r="AN23" s="94">
        <f>SUM(AN15:AN22)</f>
        <v>0</v>
      </c>
      <c r="AO23" s="94">
        <f>SUM(AO15:AO22)</f>
        <v>0</v>
      </c>
      <c r="AP23" s="94">
        <f>SUM(AP15:AP22)</f>
        <v>0</v>
      </c>
      <c r="AQ23" s="94">
        <f>SUM(AQ15:AQ22)</f>
        <v>1212197.6499999999</v>
      </c>
      <c r="AR23" s="94">
        <f t="shared" ref="AR23" si="75">SUM(AR15:AR22)</f>
        <v>-1689276</v>
      </c>
      <c r="AS23" s="94">
        <f>SUM(AS15:AS22)</f>
        <v>140773</v>
      </c>
      <c r="AT23" s="94">
        <f t="shared" ref="AT23:AV23" si="76">SUM(AT15:AT22)</f>
        <v>0</v>
      </c>
      <c r="AU23" s="94">
        <f t="shared" si="76"/>
        <v>0</v>
      </c>
      <c r="AV23" s="94">
        <f t="shared" si="76"/>
        <v>-6159961.8000000007</v>
      </c>
      <c r="AW23" s="94">
        <f>SUM(AW15:AW22)</f>
        <v>0</v>
      </c>
      <c r="AX23" s="94">
        <f t="shared" ref="AX23:BF23" si="77">SUM(AX15:AX22)</f>
        <v>0</v>
      </c>
      <c r="AY23" s="94">
        <f t="shared" si="77"/>
        <v>0</v>
      </c>
      <c r="AZ23" s="94">
        <f t="shared" si="77"/>
        <v>0</v>
      </c>
      <c r="BA23" s="94">
        <f t="shared" si="77"/>
        <v>0</v>
      </c>
      <c r="BB23" s="94">
        <f t="shared" si="77"/>
        <v>0</v>
      </c>
      <c r="BC23" s="94">
        <f t="shared" si="77"/>
        <v>0</v>
      </c>
      <c r="BD23" s="94">
        <f t="shared" si="77"/>
        <v>0</v>
      </c>
      <c r="BE23" s="94">
        <f t="shared" si="77"/>
        <v>0</v>
      </c>
      <c r="BF23" s="94">
        <f t="shared" si="77"/>
        <v>0</v>
      </c>
    </row>
    <row r="24" spans="1:58" s="95" customFormat="1" ht="14.1" customHeight="1">
      <c r="A24" s="75">
        <f t="shared" si="16"/>
        <v>18</v>
      </c>
      <c r="B24" s="96"/>
      <c r="C24" s="96"/>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row>
    <row r="25" spans="1:58" ht="14.1" customHeight="1">
      <c r="A25" s="75">
        <f t="shared" si="16"/>
        <v>19</v>
      </c>
      <c r="B25" s="76" t="s">
        <v>183</v>
      </c>
      <c r="C25" s="80">
        <f>SUM(D25:BF25)</f>
        <v>-8351712.5660330001</v>
      </c>
      <c r="D25" s="87">
        <f t="shared" ref="D25:V25" si="78">D464</f>
        <v>0</v>
      </c>
      <c r="E25" s="87">
        <f t="shared" si="78"/>
        <v>0</v>
      </c>
      <c r="F25" s="87">
        <f t="shared" si="78"/>
        <v>0</v>
      </c>
      <c r="G25" s="87">
        <f t="shared" si="78"/>
        <v>0</v>
      </c>
      <c r="H25" s="87">
        <f t="shared" si="78"/>
        <v>0</v>
      </c>
      <c r="I25" s="87">
        <f t="shared" si="78"/>
        <v>0</v>
      </c>
      <c r="J25" s="87">
        <f t="shared" si="78"/>
        <v>-209318.32</v>
      </c>
      <c r="K25" s="87">
        <f t="shared" si="78"/>
        <v>1980517.1109499999</v>
      </c>
      <c r="L25" s="87">
        <f t="shared" si="78"/>
        <v>0</v>
      </c>
      <c r="M25" s="87">
        <f t="shared" si="78"/>
        <v>0</v>
      </c>
      <c r="N25" s="87">
        <f t="shared" si="78"/>
        <v>0</v>
      </c>
      <c r="O25" s="87">
        <f t="shared" si="78"/>
        <v>0</v>
      </c>
      <c r="P25" s="87">
        <f t="shared" si="78"/>
        <v>0</v>
      </c>
      <c r="Q25" s="87">
        <f t="shared" si="78"/>
        <v>0</v>
      </c>
      <c r="R25" s="87">
        <f t="shared" si="78"/>
        <v>0</v>
      </c>
      <c r="S25" s="87">
        <f t="shared" si="78"/>
        <v>0</v>
      </c>
      <c r="T25" s="87">
        <f t="shared" si="78"/>
        <v>0</v>
      </c>
      <c r="U25" s="87">
        <f t="shared" si="78"/>
        <v>1384417.7399999979</v>
      </c>
      <c r="V25" s="87">
        <f t="shared" si="78"/>
        <v>-9355669</v>
      </c>
      <c r="W25" s="87">
        <f>W464</f>
        <v>0</v>
      </c>
      <c r="X25" s="87">
        <f t="shared" ref="X25:AD25" si="79">X464</f>
        <v>0</v>
      </c>
      <c r="Y25" s="87">
        <f>Y464</f>
        <v>0</v>
      </c>
      <c r="Z25" s="87">
        <f t="shared" si="79"/>
        <v>0</v>
      </c>
      <c r="AA25" s="87">
        <f t="shared" si="79"/>
        <v>0</v>
      </c>
      <c r="AB25" s="87">
        <f t="shared" si="79"/>
        <v>0</v>
      </c>
      <c r="AC25" s="87">
        <f t="shared" si="79"/>
        <v>0</v>
      </c>
      <c r="AD25" s="87">
        <f t="shared" si="79"/>
        <v>0</v>
      </c>
      <c r="AE25" s="87">
        <f>AE464</f>
        <v>465475.20400000003</v>
      </c>
      <c r="AF25" s="87">
        <f>AF464</f>
        <v>0</v>
      </c>
      <c r="AG25" s="87">
        <f>AG464</f>
        <v>0</v>
      </c>
      <c r="AH25" s="87">
        <f t="shared" ref="AH25:AL25" si="80">AH464</f>
        <v>0</v>
      </c>
      <c r="AI25" s="87">
        <f t="shared" si="80"/>
        <v>3942450</v>
      </c>
      <c r="AJ25" s="87">
        <f t="shared" si="80"/>
        <v>113368.78</v>
      </c>
      <c r="AK25" s="87">
        <f t="shared" si="80"/>
        <v>0</v>
      </c>
      <c r="AL25" s="87">
        <f t="shared" si="80"/>
        <v>0</v>
      </c>
      <c r="AM25" s="87">
        <f>AM464</f>
        <v>0</v>
      </c>
      <c r="AN25" s="87">
        <f>AN464</f>
        <v>0</v>
      </c>
      <c r="AO25" s="87">
        <f>AO464</f>
        <v>0</v>
      </c>
      <c r="AP25" s="87">
        <f>AP464</f>
        <v>0</v>
      </c>
      <c r="AQ25" s="87">
        <f>AQ464</f>
        <v>0</v>
      </c>
      <c r="AR25" s="87">
        <f t="shared" ref="AR25" si="81">AR464</f>
        <v>0</v>
      </c>
      <c r="AS25" s="87">
        <f>AS464</f>
        <v>0</v>
      </c>
      <c r="AT25" s="87">
        <f t="shared" ref="AT25:AV25" si="82">AT464</f>
        <v>1167941.9025000017</v>
      </c>
      <c r="AU25" s="87">
        <f t="shared" si="82"/>
        <v>-8425895.9834829997</v>
      </c>
      <c r="AV25" s="87">
        <f t="shared" si="82"/>
        <v>585000</v>
      </c>
      <c r="AW25" s="87">
        <f>AW464</f>
        <v>915968.91411599994</v>
      </c>
      <c r="AX25" s="87">
        <f t="shared" ref="AX25:BF25" si="83">AX464</f>
        <v>-915968.91411599994</v>
      </c>
      <c r="AY25" s="87">
        <f t="shared" si="83"/>
        <v>0</v>
      </c>
      <c r="AZ25" s="87">
        <f t="shared" si="83"/>
        <v>0</v>
      </c>
      <c r="BA25" s="87">
        <f t="shared" si="83"/>
        <v>0</v>
      </c>
      <c r="BB25" s="87">
        <f t="shared" si="83"/>
        <v>0</v>
      </c>
      <c r="BC25" s="87">
        <f t="shared" si="83"/>
        <v>0</v>
      </c>
      <c r="BD25" s="87">
        <f t="shared" si="83"/>
        <v>0</v>
      </c>
      <c r="BE25" s="87">
        <f t="shared" si="83"/>
        <v>0</v>
      </c>
      <c r="BF25" s="87">
        <f t="shared" si="83"/>
        <v>0</v>
      </c>
    </row>
    <row r="26" spans="1:58" ht="14.1" customHeight="1">
      <c r="A26" s="75">
        <f t="shared" si="16"/>
        <v>20</v>
      </c>
      <c r="B26" s="76" t="s">
        <v>184</v>
      </c>
      <c r="C26" s="80">
        <f>SUM(D26:BF26)</f>
        <v>5888215.6612645462</v>
      </c>
      <c r="D26" s="87">
        <f t="shared" ref="D26:V26" si="84">D483</f>
        <v>0</v>
      </c>
      <c r="E26" s="87">
        <f t="shared" si="84"/>
        <v>0</v>
      </c>
      <c r="F26" s="87">
        <f t="shared" si="84"/>
        <v>0</v>
      </c>
      <c r="G26" s="87">
        <f t="shared" si="84"/>
        <v>0</v>
      </c>
      <c r="H26" s="87">
        <f t="shared" si="84"/>
        <v>0</v>
      </c>
      <c r="I26" s="87">
        <f t="shared" si="84"/>
        <v>0</v>
      </c>
      <c r="J26" s="87">
        <f t="shared" si="84"/>
        <v>0</v>
      </c>
      <c r="K26" s="87">
        <f t="shared" si="84"/>
        <v>0</v>
      </c>
      <c r="L26" s="87">
        <f t="shared" si="84"/>
        <v>0</v>
      </c>
      <c r="M26" s="87">
        <f t="shared" si="84"/>
        <v>0</v>
      </c>
      <c r="N26" s="87">
        <f t="shared" si="84"/>
        <v>0</v>
      </c>
      <c r="O26" s="87">
        <f t="shared" si="84"/>
        <v>0</v>
      </c>
      <c r="P26" s="87">
        <f t="shared" si="84"/>
        <v>0</v>
      </c>
      <c r="Q26" s="87">
        <f t="shared" si="84"/>
        <v>0</v>
      </c>
      <c r="R26" s="87">
        <f t="shared" si="84"/>
        <v>0</v>
      </c>
      <c r="S26" s="87">
        <f t="shared" si="84"/>
        <v>0</v>
      </c>
      <c r="T26" s="87">
        <f t="shared" si="84"/>
        <v>0</v>
      </c>
      <c r="U26" s="87">
        <f t="shared" si="84"/>
        <v>376559.890000001</v>
      </c>
      <c r="V26" s="87">
        <f t="shared" si="84"/>
        <v>-188833</v>
      </c>
      <c r="W26" s="87">
        <f>W483</f>
        <v>0</v>
      </c>
      <c r="X26" s="87">
        <f t="shared" ref="X26:AD26" si="85">X483</f>
        <v>0</v>
      </c>
      <c r="Y26" s="87">
        <f>Y483</f>
        <v>0</v>
      </c>
      <c r="Z26" s="87">
        <f t="shared" si="85"/>
        <v>0</v>
      </c>
      <c r="AA26" s="87">
        <f t="shared" si="85"/>
        <v>0</v>
      </c>
      <c r="AB26" s="87">
        <f t="shared" si="85"/>
        <v>0</v>
      </c>
      <c r="AC26" s="87">
        <f t="shared" si="85"/>
        <v>0</v>
      </c>
      <c r="AD26" s="87">
        <f t="shared" si="85"/>
        <v>0</v>
      </c>
      <c r="AE26" s="87">
        <f>AE483</f>
        <v>0</v>
      </c>
      <c r="AF26" s="87">
        <f>AF483</f>
        <v>0</v>
      </c>
      <c r="AG26" s="87">
        <f>AG483</f>
        <v>247150.41459788004</v>
      </c>
      <c r="AH26" s="87">
        <f t="shared" ref="AH26:AL26" si="86">AH483</f>
        <v>0</v>
      </c>
      <c r="AI26" s="87">
        <f t="shared" si="86"/>
        <v>0</v>
      </c>
      <c r="AJ26" s="87">
        <f t="shared" si="86"/>
        <v>0</v>
      </c>
      <c r="AK26" s="87">
        <f t="shared" si="86"/>
        <v>0</v>
      </c>
      <c r="AL26" s="87">
        <f t="shared" si="86"/>
        <v>0</v>
      </c>
      <c r="AM26" s="87">
        <f>AM483</f>
        <v>0</v>
      </c>
      <c r="AN26" s="87">
        <f>AN483</f>
        <v>4262813.3566666655</v>
      </c>
      <c r="AO26" s="87">
        <f>AO483</f>
        <v>0</v>
      </c>
      <c r="AP26" s="87">
        <f>AP483</f>
        <v>1190525</v>
      </c>
      <c r="AQ26" s="87">
        <f>AQ483</f>
        <v>0</v>
      </c>
      <c r="AR26" s="87">
        <f t="shared" ref="AR26" si="87">AR483</f>
        <v>0</v>
      </c>
      <c r="AS26" s="87">
        <f>AS483</f>
        <v>0</v>
      </c>
      <c r="AT26" s="87">
        <f t="shared" ref="AT26:AV26" si="88">AT483</f>
        <v>0</v>
      </c>
      <c r="AU26" s="87">
        <f t="shared" si="88"/>
        <v>0</v>
      </c>
      <c r="AV26" s="87">
        <f t="shared" si="88"/>
        <v>0</v>
      </c>
      <c r="AW26" s="87">
        <f>AW483</f>
        <v>0</v>
      </c>
      <c r="AX26" s="87">
        <f t="shared" ref="AX26:BF26" si="89">AX483</f>
        <v>0</v>
      </c>
      <c r="AY26" s="87">
        <f t="shared" si="89"/>
        <v>0</v>
      </c>
      <c r="AZ26" s="87">
        <f t="shared" si="89"/>
        <v>0</v>
      </c>
      <c r="BA26" s="87">
        <f t="shared" si="89"/>
        <v>0</v>
      </c>
      <c r="BB26" s="87">
        <f t="shared" si="89"/>
        <v>0</v>
      </c>
      <c r="BC26" s="87">
        <f t="shared" si="89"/>
        <v>0</v>
      </c>
      <c r="BD26" s="87">
        <f t="shared" si="89"/>
        <v>0</v>
      </c>
      <c r="BE26" s="87">
        <f t="shared" si="89"/>
        <v>0</v>
      </c>
      <c r="BF26" s="87">
        <f t="shared" si="89"/>
        <v>0</v>
      </c>
    </row>
    <row r="27" spans="1:58" ht="14.1" customHeight="1">
      <c r="A27" s="75">
        <f t="shared" si="16"/>
        <v>21</v>
      </c>
      <c r="B27" s="76" t="s">
        <v>185</v>
      </c>
      <c r="C27" s="80">
        <f>SUM(D27:BF27)</f>
        <v>-132462.65003622149</v>
      </c>
      <c r="D27" s="87">
        <f t="shared" ref="D27:V27" si="90">D505</f>
        <v>122717</v>
      </c>
      <c r="E27" s="87">
        <f t="shared" si="90"/>
        <v>-25818</v>
      </c>
      <c r="F27" s="87">
        <f t="shared" si="90"/>
        <v>7266</v>
      </c>
      <c r="G27" s="87">
        <f t="shared" si="90"/>
        <v>135886</v>
      </c>
      <c r="H27" s="87">
        <f t="shared" si="90"/>
        <v>1653256</v>
      </c>
      <c r="I27" s="87">
        <f t="shared" si="90"/>
        <v>32220</v>
      </c>
      <c r="J27" s="87">
        <f t="shared" si="90"/>
        <v>10222</v>
      </c>
      <c r="K27" s="87">
        <f t="shared" si="90"/>
        <v>-1086300</v>
      </c>
      <c r="L27" s="87">
        <f t="shared" si="90"/>
        <v>-340001</v>
      </c>
      <c r="M27" s="87">
        <f t="shared" si="90"/>
        <v>-661715</v>
      </c>
      <c r="N27" s="87">
        <f t="shared" si="90"/>
        <v>-2897</v>
      </c>
      <c r="O27" s="87">
        <f t="shared" si="90"/>
        <v>0</v>
      </c>
      <c r="P27" s="87">
        <f t="shared" si="90"/>
        <v>0</v>
      </c>
      <c r="Q27" s="87">
        <f t="shared" si="90"/>
        <v>-109171</v>
      </c>
      <c r="R27" s="87">
        <f t="shared" si="90"/>
        <v>-29285</v>
      </c>
      <c r="S27" s="87">
        <f t="shared" si="90"/>
        <v>-500062</v>
      </c>
      <c r="T27" s="87">
        <f t="shared" si="90"/>
        <v>-14655</v>
      </c>
      <c r="U27" s="87">
        <f t="shared" si="90"/>
        <v>-243261</v>
      </c>
      <c r="V27" s="87">
        <f t="shared" si="90"/>
        <v>655562</v>
      </c>
      <c r="W27" s="87">
        <f>W505</f>
        <v>12218</v>
      </c>
      <c r="X27" s="87">
        <f t="shared" ref="X27:AD27" si="91">X505</f>
        <v>-10791</v>
      </c>
      <c r="Y27" s="87">
        <f>Y505</f>
        <v>0</v>
      </c>
      <c r="Z27" s="87">
        <f t="shared" si="91"/>
        <v>-12120</v>
      </c>
      <c r="AA27" s="87">
        <f t="shared" si="91"/>
        <v>2746</v>
      </c>
      <c r="AB27" s="87">
        <f t="shared" si="91"/>
        <v>-5859</v>
      </c>
      <c r="AC27" s="87">
        <f t="shared" si="91"/>
        <v>0</v>
      </c>
      <c r="AD27" s="87">
        <f t="shared" si="91"/>
        <v>3095</v>
      </c>
      <c r="AE27" s="87">
        <f>AE505</f>
        <v>-23319</v>
      </c>
      <c r="AF27" s="87">
        <f>AF505</f>
        <v>154627</v>
      </c>
      <c r="AG27" s="87">
        <f>AG505</f>
        <v>-169230</v>
      </c>
      <c r="AH27" s="87">
        <f t="shared" ref="AH27:AL27" si="92">AH505</f>
        <v>1211</v>
      </c>
      <c r="AI27" s="87">
        <f t="shared" si="92"/>
        <v>0</v>
      </c>
      <c r="AJ27" s="87">
        <f t="shared" si="92"/>
        <v>0</v>
      </c>
      <c r="AK27" s="87">
        <f t="shared" si="92"/>
        <v>-6240</v>
      </c>
      <c r="AL27" s="87">
        <f t="shared" si="92"/>
        <v>-5738</v>
      </c>
      <c r="AM27" s="87">
        <f>AM505</f>
        <v>-294880</v>
      </c>
      <c r="AN27" s="87">
        <f>AN505</f>
        <v>-213554</v>
      </c>
      <c r="AO27" s="87">
        <f>AO505</f>
        <v>0</v>
      </c>
      <c r="AP27" s="87">
        <f>AP505</f>
        <v>-59642</v>
      </c>
      <c r="AQ27" s="87">
        <f>AQ505</f>
        <v>-60727</v>
      </c>
      <c r="AR27" s="87">
        <f t="shared" ref="AR27" si="93">AR505</f>
        <v>84628</v>
      </c>
      <c r="AS27" s="87">
        <f>AS505</f>
        <v>-7052</v>
      </c>
      <c r="AT27" s="87">
        <f t="shared" ref="AT27:AV27" si="94">AT505</f>
        <v>-422112</v>
      </c>
      <c r="AU27" s="87">
        <f t="shared" si="94"/>
        <v>422112</v>
      </c>
      <c r="AV27" s="87">
        <f t="shared" si="94"/>
        <v>279289</v>
      </c>
      <c r="AW27" s="87">
        <f>AW505</f>
        <v>-45887</v>
      </c>
      <c r="AX27" s="87">
        <f t="shared" ref="AX27:BF27" si="95">AX505</f>
        <v>45887</v>
      </c>
      <c r="AY27" s="87">
        <f t="shared" si="95"/>
        <v>0</v>
      </c>
      <c r="AZ27" s="87">
        <f t="shared" si="95"/>
        <v>0</v>
      </c>
      <c r="BA27" s="87">
        <f t="shared" si="95"/>
        <v>594911.34996377851</v>
      </c>
      <c r="BB27" s="87">
        <f t="shared" si="95"/>
        <v>0</v>
      </c>
      <c r="BC27" s="87">
        <f t="shared" si="95"/>
        <v>0</v>
      </c>
      <c r="BD27" s="87">
        <f t="shared" si="95"/>
        <v>0</v>
      </c>
      <c r="BE27" s="87">
        <f t="shared" si="95"/>
        <v>0</v>
      </c>
      <c r="BF27" s="87">
        <f t="shared" si="95"/>
        <v>0</v>
      </c>
    </row>
    <row r="28" spans="1:58" ht="14.1" customHeight="1">
      <c r="A28" s="75">
        <f t="shared" si="16"/>
        <v>22</v>
      </c>
      <c r="B28" s="76" t="s">
        <v>186</v>
      </c>
      <c r="C28" s="80">
        <f>SUM(D28:BF28)</f>
        <v>-243878.88847500016</v>
      </c>
      <c r="D28" s="87">
        <f t="shared" ref="D28:V28" si="96">D490</f>
        <v>0</v>
      </c>
      <c r="E28" s="87">
        <f t="shared" si="96"/>
        <v>0</v>
      </c>
      <c r="F28" s="87">
        <f t="shared" si="96"/>
        <v>0</v>
      </c>
      <c r="G28" s="87">
        <f t="shared" si="96"/>
        <v>0</v>
      </c>
      <c r="H28" s="87">
        <f t="shared" si="96"/>
        <v>0</v>
      </c>
      <c r="I28" s="87">
        <f t="shared" si="96"/>
        <v>0</v>
      </c>
      <c r="J28" s="87">
        <f t="shared" si="96"/>
        <v>0</v>
      </c>
      <c r="K28" s="87">
        <f t="shared" si="96"/>
        <v>0</v>
      </c>
      <c r="L28" s="87">
        <f t="shared" si="96"/>
        <v>0</v>
      </c>
      <c r="M28" s="87">
        <f t="shared" si="96"/>
        <v>0</v>
      </c>
      <c r="N28" s="87">
        <f t="shared" si="96"/>
        <v>0</v>
      </c>
      <c r="O28" s="87">
        <f t="shared" si="96"/>
        <v>0</v>
      </c>
      <c r="P28" s="87">
        <f t="shared" si="96"/>
        <v>0</v>
      </c>
      <c r="Q28" s="87">
        <f t="shared" si="96"/>
        <v>0</v>
      </c>
      <c r="R28" s="87">
        <f t="shared" si="96"/>
        <v>0</v>
      </c>
      <c r="S28" s="87">
        <f t="shared" si="96"/>
        <v>0</v>
      </c>
      <c r="T28" s="87">
        <f t="shared" si="96"/>
        <v>0</v>
      </c>
      <c r="U28" s="87">
        <f t="shared" si="96"/>
        <v>0</v>
      </c>
      <c r="V28" s="87">
        <f t="shared" si="96"/>
        <v>0</v>
      </c>
      <c r="W28" s="87">
        <f>W490</f>
        <v>-243878.88847500016</v>
      </c>
      <c r="X28" s="87">
        <f t="shared" ref="X28:AD28" si="97">X490</f>
        <v>0</v>
      </c>
      <c r="Y28" s="87">
        <f>Y490</f>
        <v>0</v>
      </c>
      <c r="Z28" s="87">
        <f t="shared" si="97"/>
        <v>0</v>
      </c>
      <c r="AA28" s="87">
        <f t="shared" si="97"/>
        <v>0</v>
      </c>
      <c r="AB28" s="87">
        <f t="shared" si="97"/>
        <v>0</v>
      </c>
      <c r="AC28" s="87">
        <f t="shared" si="97"/>
        <v>0</v>
      </c>
      <c r="AD28" s="87">
        <f t="shared" si="97"/>
        <v>0</v>
      </c>
      <c r="AE28" s="87">
        <f>AE490</f>
        <v>0</v>
      </c>
      <c r="AF28" s="87">
        <f>AF490</f>
        <v>0</v>
      </c>
      <c r="AG28" s="87">
        <f>AG490</f>
        <v>0</v>
      </c>
      <c r="AH28" s="87">
        <f t="shared" ref="AH28:AL28" si="98">AH490</f>
        <v>0</v>
      </c>
      <c r="AI28" s="87">
        <f t="shared" si="98"/>
        <v>0</v>
      </c>
      <c r="AJ28" s="87">
        <f t="shared" si="98"/>
        <v>0</v>
      </c>
      <c r="AK28" s="87">
        <f t="shared" si="98"/>
        <v>0</v>
      </c>
      <c r="AL28" s="87">
        <f t="shared" si="98"/>
        <v>0</v>
      </c>
      <c r="AM28" s="87">
        <f>AM490</f>
        <v>0</v>
      </c>
      <c r="AN28" s="87">
        <f>AN490</f>
        <v>0</v>
      </c>
      <c r="AO28" s="87">
        <f>AO490</f>
        <v>0</v>
      </c>
      <c r="AP28" s="87">
        <f>AP490</f>
        <v>0</v>
      </c>
      <c r="AQ28" s="87">
        <f>AQ490</f>
        <v>0</v>
      </c>
      <c r="AR28" s="87">
        <f t="shared" ref="AR28" si="99">AR490</f>
        <v>0</v>
      </c>
      <c r="AS28" s="87">
        <f>AS490</f>
        <v>0</v>
      </c>
      <c r="AT28" s="87">
        <f t="shared" ref="AT28:AV28" si="100">AT490</f>
        <v>0</v>
      </c>
      <c r="AU28" s="87">
        <f t="shared" si="100"/>
        <v>0</v>
      </c>
      <c r="AV28" s="87">
        <f t="shared" si="100"/>
        <v>0</v>
      </c>
      <c r="AW28" s="87">
        <f>AW490</f>
        <v>0</v>
      </c>
      <c r="AX28" s="87">
        <f t="shared" ref="AX28:BF28" si="101">AX490</f>
        <v>0</v>
      </c>
      <c r="AY28" s="87">
        <f t="shared" si="101"/>
        <v>0</v>
      </c>
      <c r="AZ28" s="87">
        <f t="shared" si="101"/>
        <v>0</v>
      </c>
      <c r="BA28" s="87">
        <f t="shared" si="101"/>
        <v>0</v>
      </c>
      <c r="BB28" s="87">
        <f t="shared" si="101"/>
        <v>0</v>
      </c>
      <c r="BC28" s="87">
        <f t="shared" si="101"/>
        <v>0</v>
      </c>
      <c r="BD28" s="87">
        <f t="shared" si="101"/>
        <v>0</v>
      </c>
      <c r="BE28" s="87">
        <f t="shared" si="101"/>
        <v>0</v>
      </c>
      <c r="BF28" s="87">
        <f t="shared" si="101"/>
        <v>0</v>
      </c>
    </row>
    <row r="29" spans="1:58" ht="14.1" customHeight="1">
      <c r="A29" s="75">
        <f t="shared" si="16"/>
        <v>23</v>
      </c>
      <c r="B29" s="90" t="s">
        <v>187</v>
      </c>
      <c r="C29" s="91">
        <f>SUM(D29:BF29)</f>
        <v>153068.90000000008</v>
      </c>
      <c r="D29" s="92">
        <f t="shared" ref="D29:V29" si="102">D501</f>
        <v>0</v>
      </c>
      <c r="E29" s="92">
        <f t="shared" si="102"/>
        <v>0</v>
      </c>
      <c r="F29" s="92">
        <f t="shared" si="102"/>
        <v>0</v>
      </c>
      <c r="G29" s="92">
        <f t="shared" si="102"/>
        <v>0</v>
      </c>
      <c r="H29" s="92">
        <f t="shared" si="102"/>
        <v>0</v>
      </c>
      <c r="I29" s="92">
        <f t="shared" si="102"/>
        <v>0</v>
      </c>
      <c r="J29" s="92">
        <f t="shared" si="102"/>
        <v>0</v>
      </c>
      <c r="K29" s="92">
        <f t="shared" si="102"/>
        <v>0</v>
      </c>
      <c r="L29" s="92">
        <f t="shared" si="102"/>
        <v>0</v>
      </c>
      <c r="M29" s="92">
        <f t="shared" si="102"/>
        <v>0</v>
      </c>
      <c r="N29" s="92">
        <f t="shared" si="102"/>
        <v>0</v>
      </c>
      <c r="O29" s="92">
        <f t="shared" si="102"/>
        <v>0</v>
      </c>
      <c r="P29" s="92">
        <f t="shared" si="102"/>
        <v>0</v>
      </c>
      <c r="Q29" s="92">
        <f t="shared" si="102"/>
        <v>0</v>
      </c>
      <c r="R29" s="92">
        <f t="shared" si="102"/>
        <v>0</v>
      </c>
      <c r="S29" s="92">
        <f t="shared" si="102"/>
        <v>0</v>
      </c>
      <c r="T29" s="92">
        <f t="shared" si="102"/>
        <v>0</v>
      </c>
      <c r="U29" s="92">
        <f t="shared" si="102"/>
        <v>28502.250000000091</v>
      </c>
      <c r="V29" s="92">
        <f t="shared" si="102"/>
        <v>0</v>
      </c>
      <c r="W29" s="92">
        <f>W501</f>
        <v>0</v>
      </c>
      <c r="X29" s="92">
        <f t="shared" ref="X29:AD29" si="103">X501</f>
        <v>0</v>
      </c>
      <c r="Y29" s="92">
        <f>Y501</f>
        <v>0</v>
      </c>
      <c r="Z29" s="92">
        <f t="shared" si="103"/>
        <v>0</v>
      </c>
      <c r="AA29" s="92">
        <f t="shared" si="103"/>
        <v>0</v>
      </c>
      <c r="AB29" s="92">
        <f t="shared" si="103"/>
        <v>0</v>
      </c>
      <c r="AC29" s="92">
        <f t="shared" si="103"/>
        <v>0</v>
      </c>
      <c r="AD29" s="92">
        <f t="shared" si="103"/>
        <v>0</v>
      </c>
      <c r="AE29" s="92">
        <f>AE501</f>
        <v>0</v>
      </c>
      <c r="AF29" s="92">
        <f>AF501</f>
        <v>0</v>
      </c>
      <c r="AG29" s="92">
        <f>AG501</f>
        <v>0</v>
      </c>
      <c r="AH29" s="92">
        <f t="shared" ref="AH29:AL29" si="104">AH501</f>
        <v>0</v>
      </c>
      <c r="AI29" s="92">
        <f t="shared" si="104"/>
        <v>0</v>
      </c>
      <c r="AJ29" s="92">
        <f t="shared" si="104"/>
        <v>0</v>
      </c>
      <c r="AK29" s="92">
        <f t="shared" si="104"/>
        <v>124566.65</v>
      </c>
      <c r="AL29" s="92">
        <f t="shared" si="104"/>
        <v>0</v>
      </c>
      <c r="AM29" s="92">
        <f>AM501</f>
        <v>0</v>
      </c>
      <c r="AN29" s="92">
        <f>AN501</f>
        <v>0</v>
      </c>
      <c r="AO29" s="92">
        <f>AO501</f>
        <v>0</v>
      </c>
      <c r="AP29" s="92">
        <f>AP501</f>
        <v>0</v>
      </c>
      <c r="AQ29" s="92">
        <f>AQ501</f>
        <v>0</v>
      </c>
      <c r="AR29" s="92">
        <f t="shared" ref="AR29" si="105">AR501</f>
        <v>0</v>
      </c>
      <c r="AS29" s="92">
        <f>AS501</f>
        <v>0</v>
      </c>
      <c r="AT29" s="92">
        <f t="shared" ref="AT29:AV29" si="106">AT501</f>
        <v>0</v>
      </c>
      <c r="AU29" s="92">
        <f t="shared" si="106"/>
        <v>0</v>
      </c>
      <c r="AV29" s="92">
        <f t="shared" si="106"/>
        <v>0</v>
      </c>
      <c r="AW29" s="92">
        <f>AW501</f>
        <v>0</v>
      </c>
      <c r="AX29" s="92">
        <f t="shared" ref="AX29:BF29" si="107">AX501</f>
        <v>0</v>
      </c>
      <c r="AY29" s="92">
        <f t="shared" si="107"/>
        <v>0</v>
      </c>
      <c r="AZ29" s="92">
        <f t="shared" si="107"/>
        <v>0</v>
      </c>
      <c r="BA29" s="92">
        <f t="shared" si="107"/>
        <v>0</v>
      </c>
      <c r="BB29" s="92">
        <f t="shared" si="107"/>
        <v>0</v>
      </c>
      <c r="BC29" s="92">
        <f t="shared" si="107"/>
        <v>0</v>
      </c>
      <c r="BD29" s="92">
        <f t="shared" si="107"/>
        <v>0</v>
      </c>
      <c r="BE29" s="92">
        <f t="shared" si="107"/>
        <v>0</v>
      </c>
      <c r="BF29" s="92">
        <f t="shared" si="107"/>
        <v>0</v>
      </c>
    </row>
    <row r="30" spans="1:58" s="95" customFormat="1" ht="14.1" customHeight="1">
      <c r="A30" s="75">
        <f t="shared" si="16"/>
        <v>24</v>
      </c>
      <c r="B30" s="93" t="s">
        <v>188</v>
      </c>
      <c r="C30" s="94">
        <f t="shared" ref="C30" si="108">SUM(C12)-SUM(C23:C29)</f>
        <v>-10283611.164882258</v>
      </c>
      <c r="D30" s="94">
        <f t="shared" ref="D30:W30" si="109">SUM(D12)-SUM(D23:D29)</f>
        <v>2326866</v>
      </c>
      <c r="E30" s="94">
        <f t="shared" si="109"/>
        <v>-489543.63697997667</v>
      </c>
      <c r="F30" s="94">
        <f t="shared" si="109"/>
        <v>137768</v>
      </c>
      <c r="G30" s="94">
        <f t="shared" si="109"/>
        <v>2576563.39</v>
      </c>
      <c r="H30" s="94">
        <f t="shared" si="109"/>
        <v>31347840.547184512</v>
      </c>
      <c r="I30" s="94">
        <f t="shared" si="109"/>
        <v>610928</v>
      </c>
      <c r="J30" s="94">
        <f t="shared" si="109"/>
        <v>193820.13</v>
      </c>
      <c r="K30" s="94">
        <f t="shared" si="109"/>
        <v>-20597630.110950001</v>
      </c>
      <c r="L30" s="94">
        <f t="shared" si="109"/>
        <v>-6446855</v>
      </c>
      <c r="M30" s="94">
        <f t="shared" si="109"/>
        <v>-12546956.85</v>
      </c>
      <c r="N30" s="94">
        <f t="shared" si="109"/>
        <v>-54929.840000000026</v>
      </c>
      <c r="O30" s="94">
        <f t="shared" si="109"/>
        <v>0</v>
      </c>
      <c r="P30" s="94">
        <f t="shared" si="109"/>
        <v>0</v>
      </c>
      <c r="Q30" s="94">
        <f t="shared" si="109"/>
        <v>-2070023.1921026742</v>
      </c>
      <c r="R30" s="94">
        <f t="shared" si="109"/>
        <v>-555277.78923012456</v>
      </c>
      <c r="S30" s="94">
        <f t="shared" si="109"/>
        <v>-9481811</v>
      </c>
      <c r="T30" s="94">
        <f t="shared" si="109"/>
        <v>-277887.07</v>
      </c>
      <c r="U30" s="94">
        <f t="shared" si="109"/>
        <v>-4612531.4358000569</v>
      </c>
      <c r="V30" s="94">
        <f t="shared" si="109"/>
        <v>12430289</v>
      </c>
      <c r="W30" s="94">
        <f t="shared" si="109"/>
        <v>231660.88847500016</v>
      </c>
      <c r="X30" s="94">
        <f t="shared" ref="X30:AD30" si="110">SUM(X12)-SUM(X23:X29)</f>
        <v>-204617.01999999955</v>
      </c>
      <c r="Y30" s="94">
        <f>SUM(Y12)-SUM(Y23:Y29)</f>
        <v>0</v>
      </c>
      <c r="Z30" s="94">
        <f t="shared" si="110"/>
        <v>-229818.96000000002</v>
      </c>
      <c r="AA30" s="94">
        <f t="shared" si="110"/>
        <v>52057.77</v>
      </c>
      <c r="AB30" s="94">
        <f t="shared" si="110"/>
        <v>-111084.45999999996</v>
      </c>
      <c r="AC30" s="94">
        <f t="shared" si="110"/>
        <v>-4985006.8612336004</v>
      </c>
      <c r="AD30" s="94">
        <f t="shared" si="110"/>
        <v>58692</v>
      </c>
      <c r="AE30" s="94">
        <f t="shared" ref="AE30:AF30" si="111">SUM(AE12)-SUM(AE23:AE29)</f>
        <v>-442156.20400000003</v>
      </c>
      <c r="AF30" s="94">
        <f t="shared" si="111"/>
        <v>2931922</v>
      </c>
      <c r="AG30" s="94">
        <f>SUM(AG12)-SUM(AG23:AG29)</f>
        <v>-3208823.2145978799</v>
      </c>
      <c r="AH30" s="94">
        <f t="shared" ref="AH30:AL30" si="112">SUM(AH12)-SUM(AH23:AH29)</f>
        <v>22960.38</v>
      </c>
      <c r="AI30" s="94">
        <f t="shared" si="112"/>
        <v>-3942450</v>
      </c>
      <c r="AJ30" s="94">
        <f t="shared" si="112"/>
        <v>-113368.78</v>
      </c>
      <c r="AK30" s="94">
        <f t="shared" si="112"/>
        <v>-118326.65</v>
      </c>
      <c r="AL30" s="94">
        <f t="shared" si="112"/>
        <v>-108790.71999999997</v>
      </c>
      <c r="AM30" s="94">
        <f>SUM(AM12)-SUM(AM23:AM29)</f>
        <v>294880</v>
      </c>
      <c r="AN30" s="94">
        <f>SUM(AN12)-SUM(AN23:AN29)</f>
        <v>-4049259.3566666655</v>
      </c>
      <c r="AO30" s="94">
        <f>SUM(AO12)-SUM(AO23:AO29)</f>
        <v>0</v>
      </c>
      <c r="AP30" s="94">
        <f>SUM(AP12)-SUM(AP23:AP29)</f>
        <v>-1130883</v>
      </c>
      <c r="AQ30" s="94">
        <f>SUM(AQ12)-SUM(AQ23:AQ29)</f>
        <v>-1151470.6499999999</v>
      </c>
      <c r="AR30" s="94">
        <f t="shared" ref="AR30" si="113">SUM(AR12)-SUM(AR23:AR29)</f>
        <v>1604648</v>
      </c>
      <c r="AS30" s="94">
        <f t="shared" ref="AS30" si="114">SUM(AS12)-SUM(AS23:AS29)</f>
        <v>-133721</v>
      </c>
      <c r="AT30" s="94">
        <f t="shared" ref="AT30:AV30" si="115">SUM(AT12)-SUM(AT23:AT29)</f>
        <v>-745829.90250000171</v>
      </c>
      <c r="AU30" s="94">
        <f t="shared" si="115"/>
        <v>8003783.9834829997</v>
      </c>
      <c r="AV30" s="94">
        <f t="shared" si="115"/>
        <v>5295672.8000000007</v>
      </c>
      <c r="AW30" s="94">
        <f>SUM(AW12)-SUM(AW23:AW29)</f>
        <v>-870081.91411599994</v>
      </c>
      <c r="AX30" s="94">
        <f t="shared" ref="AX30" si="116">SUM(AX12)-SUM(AX23:AX29)</f>
        <v>870081.91411599994</v>
      </c>
      <c r="AY30" s="94">
        <f t="shared" ref="AY30:BF30" si="117">SUM(AY12)-SUM(AY23:AY29)</f>
        <v>0</v>
      </c>
      <c r="AZ30" s="94">
        <f t="shared" si="117"/>
        <v>0</v>
      </c>
      <c r="BA30" s="94">
        <f t="shared" si="117"/>
        <v>-594911.34996377851</v>
      </c>
      <c r="BB30" s="94">
        <f t="shared" si="117"/>
        <v>0</v>
      </c>
      <c r="BC30" s="94">
        <f t="shared" si="117"/>
        <v>0</v>
      </c>
      <c r="BD30" s="94">
        <f t="shared" si="117"/>
        <v>0</v>
      </c>
      <c r="BE30" s="94">
        <f t="shared" si="117"/>
        <v>0</v>
      </c>
      <c r="BF30" s="94">
        <f t="shared" si="117"/>
        <v>0</v>
      </c>
    </row>
    <row r="31" spans="1:58" s="95" customFormat="1" ht="14.1" customHeight="1">
      <c r="A31" s="75">
        <f t="shared" si="16"/>
        <v>25</v>
      </c>
      <c r="B31" s="96" t="s">
        <v>757</v>
      </c>
      <c r="C31" s="94">
        <f t="shared" ref="C31:AU31" si="118">C30+C27</f>
        <v>-10416073.814918479</v>
      </c>
      <c r="D31" s="94">
        <f t="shared" si="118"/>
        <v>2449583</v>
      </c>
      <c r="E31" s="94">
        <f t="shared" si="118"/>
        <v>-515361.63697997667</v>
      </c>
      <c r="F31" s="94">
        <f t="shared" si="118"/>
        <v>145034</v>
      </c>
      <c r="G31" s="94">
        <f t="shared" si="118"/>
        <v>2712449.39</v>
      </c>
      <c r="H31" s="94">
        <f t="shared" si="118"/>
        <v>33001096.547184512</v>
      </c>
      <c r="I31" s="94">
        <f t="shared" si="118"/>
        <v>643148</v>
      </c>
      <c r="J31" s="94">
        <f t="shared" si="118"/>
        <v>204042.13</v>
      </c>
      <c r="K31" s="94">
        <f t="shared" si="118"/>
        <v>-21683930.110950001</v>
      </c>
      <c r="L31" s="94">
        <f t="shared" si="118"/>
        <v>-6786856</v>
      </c>
      <c r="M31" s="94">
        <f t="shared" si="118"/>
        <v>-13208671.85</v>
      </c>
      <c r="N31" s="94">
        <f t="shared" si="118"/>
        <v>-57826.840000000026</v>
      </c>
      <c r="O31" s="94">
        <f t="shared" si="118"/>
        <v>0</v>
      </c>
      <c r="P31" s="94">
        <f t="shared" si="118"/>
        <v>0</v>
      </c>
      <c r="Q31" s="94">
        <f t="shared" si="118"/>
        <v>-2179194.1921026744</v>
      </c>
      <c r="R31" s="94">
        <f t="shared" si="118"/>
        <v>-584562.78923012456</v>
      </c>
      <c r="S31" s="94">
        <f t="shared" si="118"/>
        <v>-9981873</v>
      </c>
      <c r="T31" s="94">
        <f t="shared" si="118"/>
        <v>-292542.07</v>
      </c>
      <c r="U31" s="94">
        <f t="shared" si="118"/>
        <v>-4855792.4358000569</v>
      </c>
      <c r="V31" s="94">
        <f t="shared" si="118"/>
        <v>13085851</v>
      </c>
      <c r="W31" s="94">
        <f t="shared" si="118"/>
        <v>243878.88847500016</v>
      </c>
      <c r="X31" s="94">
        <f t="shared" si="118"/>
        <v>-215408.01999999955</v>
      </c>
      <c r="Y31" s="94">
        <f t="shared" si="118"/>
        <v>0</v>
      </c>
      <c r="Z31" s="94">
        <f t="shared" si="118"/>
        <v>-241938.96000000002</v>
      </c>
      <c r="AA31" s="94">
        <f t="shared" si="118"/>
        <v>54803.77</v>
      </c>
      <c r="AB31" s="94">
        <f t="shared" si="118"/>
        <v>-116943.45999999996</v>
      </c>
      <c r="AC31" s="94">
        <f t="shared" si="118"/>
        <v>-4985006.8612336004</v>
      </c>
      <c r="AD31" s="94">
        <f t="shared" si="118"/>
        <v>61787</v>
      </c>
      <c r="AE31" s="94">
        <f t="shared" si="118"/>
        <v>-465475.20400000003</v>
      </c>
      <c r="AF31" s="94">
        <f t="shared" si="118"/>
        <v>3086549</v>
      </c>
      <c r="AG31" s="94">
        <f t="shared" si="118"/>
        <v>-3378053.2145978799</v>
      </c>
      <c r="AH31" s="94">
        <f t="shared" si="118"/>
        <v>24171.38</v>
      </c>
      <c r="AI31" s="94">
        <f t="shared" si="118"/>
        <v>-3942450</v>
      </c>
      <c r="AJ31" s="94">
        <f t="shared" si="118"/>
        <v>-113368.78</v>
      </c>
      <c r="AK31" s="94">
        <f t="shared" si="118"/>
        <v>-124566.65</v>
      </c>
      <c r="AL31" s="94">
        <f t="shared" si="118"/>
        <v>-114528.71999999997</v>
      </c>
      <c r="AM31" s="94">
        <f t="shared" si="118"/>
        <v>0</v>
      </c>
      <c r="AN31" s="94">
        <f t="shared" si="118"/>
        <v>-4262813.3566666655</v>
      </c>
      <c r="AO31" s="94">
        <f t="shared" si="118"/>
        <v>0</v>
      </c>
      <c r="AP31" s="94">
        <f t="shared" si="118"/>
        <v>-1190525</v>
      </c>
      <c r="AQ31" s="94">
        <f t="shared" si="118"/>
        <v>-1212197.6499999999</v>
      </c>
      <c r="AR31" s="94">
        <f t="shared" si="118"/>
        <v>1689276</v>
      </c>
      <c r="AS31" s="94">
        <f t="shared" si="118"/>
        <v>-140773</v>
      </c>
      <c r="AT31" s="94">
        <f t="shared" si="118"/>
        <v>-1167941.9025000017</v>
      </c>
      <c r="AU31" s="94">
        <f t="shared" si="118"/>
        <v>8425895.9834829997</v>
      </c>
      <c r="AV31" s="94">
        <f>AV30+AV27</f>
        <v>5574961.8000000007</v>
      </c>
      <c r="AW31" s="94">
        <f>AW30+AW27</f>
        <v>-915968.91411599994</v>
      </c>
      <c r="AX31" s="94">
        <f t="shared" ref="AX31:BF31" si="119">AX30+AX27</f>
        <v>915968.91411599994</v>
      </c>
      <c r="AY31" s="94">
        <f t="shared" si="119"/>
        <v>0</v>
      </c>
      <c r="AZ31" s="94">
        <f t="shared" si="119"/>
        <v>0</v>
      </c>
      <c r="BA31" s="94">
        <f t="shared" si="119"/>
        <v>0</v>
      </c>
      <c r="BB31" s="94">
        <f t="shared" si="119"/>
        <v>0</v>
      </c>
      <c r="BC31" s="94">
        <f t="shared" si="119"/>
        <v>0</v>
      </c>
      <c r="BD31" s="94">
        <f t="shared" si="119"/>
        <v>0</v>
      </c>
      <c r="BE31" s="94">
        <f t="shared" si="119"/>
        <v>0</v>
      </c>
      <c r="BF31" s="94">
        <f t="shared" si="119"/>
        <v>0</v>
      </c>
    </row>
    <row r="32" spans="1:58" ht="14.1" customHeight="1">
      <c r="A32" s="75">
        <f t="shared" si="16"/>
        <v>26</v>
      </c>
      <c r="B32" s="81" t="s">
        <v>189</v>
      </c>
      <c r="C32" s="81"/>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row>
    <row r="33" spans="1:58" ht="14.1" customHeight="1">
      <c r="A33" s="75">
        <f t="shared" si="16"/>
        <v>27</v>
      </c>
      <c r="B33" s="76" t="s">
        <v>190</v>
      </c>
      <c r="C33" s="80">
        <f>SUM(D33:BF33)</f>
        <v>-527461.66569704702</v>
      </c>
      <c r="D33" s="87">
        <f t="shared" ref="D33:J36" si="120">D506</f>
        <v>488642</v>
      </c>
      <c r="E33" s="87">
        <f t="shared" si="120"/>
        <v>-102804</v>
      </c>
      <c r="F33" s="87">
        <f t="shared" si="120"/>
        <v>28931</v>
      </c>
      <c r="G33" s="87">
        <f t="shared" si="120"/>
        <v>541078</v>
      </c>
      <c r="H33" s="87">
        <f t="shared" si="120"/>
        <v>6583047</v>
      </c>
      <c r="I33" s="87">
        <f t="shared" si="120"/>
        <v>128295</v>
      </c>
      <c r="J33" s="87">
        <f>J506</f>
        <v>40702</v>
      </c>
      <c r="K33" s="87">
        <f>K506</f>
        <v>-4325502</v>
      </c>
      <c r="L33" s="87">
        <f t="shared" ref="L33:V36" si="121">L506</f>
        <v>-1353840</v>
      </c>
      <c r="M33" s="87">
        <f t="shared" si="121"/>
        <v>-2634861</v>
      </c>
      <c r="N33" s="87">
        <f t="shared" si="121"/>
        <v>-11535</v>
      </c>
      <c r="O33" s="87">
        <f t="shared" si="121"/>
        <v>0</v>
      </c>
      <c r="P33" s="87">
        <f t="shared" si="121"/>
        <v>0</v>
      </c>
      <c r="Q33" s="87">
        <f t="shared" si="121"/>
        <v>-434705</v>
      </c>
      <c r="R33" s="87">
        <f t="shared" si="121"/>
        <v>-116608</v>
      </c>
      <c r="S33" s="87">
        <f t="shared" si="121"/>
        <v>-1991180</v>
      </c>
      <c r="T33" s="87">
        <f>T506</f>
        <v>-58356</v>
      </c>
      <c r="U33" s="87">
        <f>U506</f>
        <v>-968632</v>
      </c>
      <c r="V33" s="87">
        <f>V506</f>
        <v>2610361</v>
      </c>
      <c r="W33" s="87">
        <f>W506</f>
        <v>48649</v>
      </c>
      <c r="X33" s="87">
        <f t="shared" ref="X33:AG36" si="122">X506</f>
        <v>-42970</v>
      </c>
      <c r="Y33" s="87">
        <f>Y506</f>
        <v>0</v>
      </c>
      <c r="Z33" s="87">
        <f t="shared" si="122"/>
        <v>-48262</v>
      </c>
      <c r="AA33" s="87">
        <f t="shared" si="122"/>
        <v>10932</v>
      </c>
      <c r="AB33" s="87">
        <f t="shared" si="122"/>
        <v>-23328</v>
      </c>
      <c r="AC33" s="87">
        <f t="shared" si="122"/>
        <v>0</v>
      </c>
      <c r="AD33" s="87">
        <f t="shared" si="122"/>
        <v>12325</v>
      </c>
      <c r="AE33" s="87">
        <f t="shared" si="122"/>
        <v>-92853</v>
      </c>
      <c r="AF33" s="87">
        <f t="shared" si="122"/>
        <v>615704</v>
      </c>
      <c r="AG33" s="87">
        <f t="shared" si="122"/>
        <v>-673853</v>
      </c>
      <c r="AH33" s="87">
        <f>AH506</f>
        <v>4822</v>
      </c>
      <c r="AI33" s="87">
        <f t="shared" ref="AI33:AL36" si="123">AI506</f>
        <v>0</v>
      </c>
      <c r="AJ33" s="87">
        <f t="shared" si="123"/>
        <v>0</v>
      </c>
      <c r="AK33" s="87">
        <f t="shared" si="123"/>
        <v>-24849</v>
      </c>
      <c r="AL33" s="87">
        <f t="shared" si="123"/>
        <v>-22846</v>
      </c>
      <c r="AM33" s="87">
        <f>AM506</f>
        <v>-1174172</v>
      </c>
      <c r="AN33" s="87">
        <f t="shared" ref="AN33:AP36" si="124">AN506</f>
        <v>-850344</v>
      </c>
      <c r="AO33" s="87">
        <f t="shared" si="124"/>
        <v>0</v>
      </c>
      <c r="AP33" s="87">
        <f t="shared" si="124"/>
        <v>-237485</v>
      </c>
      <c r="AQ33" s="87">
        <f>AQ506</f>
        <v>-241809</v>
      </c>
      <c r="AR33" s="87">
        <f t="shared" ref="AR33:AR36" si="125">AR506</f>
        <v>336976</v>
      </c>
      <c r="AS33" s="87">
        <f>AS506</f>
        <v>-28081</v>
      </c>
      <c r="AT33" s="87">
        <f t="shared" ref="AT33:AU36" si="126">AT506</f>
        <v>-1680795</v>
      </c>
      <c r="AU33" s="87">
        <f>AU506</f>
        <v>1680795</v>
      </c>
      <c r="AV33" s="87">
        <f t="shared" ref="AV33:AZ36" si="127">AV506</f>
        <v>1112091</v>
      </c>
      <c r="AW33" s="87">
        <f t="shared" si="127"/>
        <v>-182717</v>
      </c>
      <c r="AX33" s="87">
        <f t="shared" si="127"/>
        <v>182717</v>
      </c>
      <c r="AY33" s="87">
        <f t="shared" si="127"/>
        <v>0</v>
      </c>
      <c r="AZ33" s="87">
        <f t="shared" si="127"/>
        <v>0</v>
      </c>
      <c r="BA33" s="87">
        <f>BA506</f>
        <v>2368858.334302953</v>
      </c>
      <c r="BB33" s="87">
        <f>BB506</f>
        <v>0</v>
      </c>
      <c r="BC33" s="87">
        <f>BC506</f>
        <v>0</v>
      </c>
      <c r="BD33" s="87">
        <f>BD506</f>
        <v>0</v>
      </c>
      <c r="BE33" s="87">
        <f t="shared" ref="BE33:BF36" si="128">BE506</f>
        <v>0</v>
      </c>
      <c r="BF33" s="87">
        <f t="shared" si="128"/>
        <v>0</v>
      </c>
    </row>
    <row r="34" spans="1:58" ht="14.1" customHeight="1">
      <c r="A34" s="75">
        <f t="shared" si="16"/>
        <v>28</v>
      </c>
      <c r="B34" s="76" t="s">
        <v>191</v>
      </c>
      <c r="C34" s="80">
        <f>SUM(D34:BF34)</f>
        <v>4873835</v>
      </c>
      <c r="D34" s="87">
        <f t="shared" si="120"/>
        <v>0</v>
      </c>
      <c r="E34" s="87">
        <f t="shared" si="120"/>
        <v>0</v>
      </c>
      <c r="F34" s="87">
        <f t="shared" si="120"/>
        <v>0</v>
      </c>
      <c r="G34" s="87">
        <f t="shared" si="120"/>
        <v>0</v>
      </c>
      <c r="H34" s="87">
        <f t="shared" si="120"/>
        <v>0</v>
      </c>
      <c r="I34" s="87">
        <f t="shared" si="120"/>
        <v>0</v>
      </c>
      <c r="J34" s="87">
        <f t="shared" si="120"/>
        <v>0</v>
      </c>
      <c r="K34" s="87">
        <f>K507</f>
        <v>0</v>
      </c>
      <c r="L34" s="87">
        <f t="shared" si="121"/>
        <v>0</v>
      </c>
      <c r="M34" s="87">
        <f t="shared" si="121"/>
        <v>0</v>
      </c>
      <c r="N34" s="87">
        <f t="shared" si="121"/>
        <v>0</v>
      </c>
      <c r="O34" s="87">
        <f t="shared" si="121"/>
        <v>0</v>
      </c>
      <c r="P34" s="87">
        <f t="shared" si="121"/>
        <v>0</v>
      </c>
      <c r="Q34" s="87">
        <f t="shared" si="121"/>
        <v>0</v>
      </c>
      <c r="R34" s="87">
        <f t="shared" si="121"/>
        <v>0</v>
      </c>
      <c r="S34" s="87">
        <f t="shared" si="121"/>
        <v>0</v>
      </c>
      <c r="T34" s="87">
        <f t="shared" si="121"/>
        <v>0</v>
      </c>
      <c r="U34" s="87">
        <f t="shared" si="121"/>
        <v>195366</v>
      </c>
      <c r="V34" s="87">
        <f t="shared" si="121"/>
        <v>0</v>
      </c>
      <c r="W34" s="87">
        <f>W507</f>
        <v>0</v>
      </c>
      <c r="X34" s="87">
        <f t="shared" si="122"/>
        <v>0</v>
      </c>
      <c r="Y34" s="87">
        <f>Y507</f>
        <v>0</v>
      </c>
      <c r="Z34" s="87">
        <f t="shared" si="122"/>
        <v>0</v>
      </c>
      <c r="AA34" s="87">
        <f t="shared" si="122"/>
        <v>0</v>
      </c>
      <c r="AB34" s="87">
        <f t="shared" si="122"/>
        <v>0</v>
      </c>
      <c r="AC34" s="87">
        <f t="shared" si="122"/>
        <v>-1046851</v>
      </c>
      <c r="AD34" s="87">
        <f t="shared" si="122"/>
        <v>0</v>
      </c>
      <c r="AE34" s="87">
        <f t="shared" si="122"/>
        <v>0</v>
      </c>
      <c r="AF34" s="87">
        <f t="shared" si="122"/>
        <v>0</v>
      </c>
      <c r="AG34" s="87">
        <f t="shared" si="122"/>
        <v>0</v>
      </c>
      <c r="AH34" s="87">
        <f>AH507</f>
        <v>0</v>
      </c>
      <c r="AI34" s="87">
        <f t="shared" si="123"/>
        <v>-442599</v>
      </c>
      <c r="AJ34" s="87">
        <f t="shared" si="123"/>
        <v>-23807</v>
      </c>
      <c r="AK34" s="87">
        <f t="shared" si="123"/>
        <v>0</v>
      </c>
      <c r="AL34" s="87">
        <f t="shared" si="123"/>
        <v>0</v>
      </c>
      <c r="AM34" s="87">
        <f>AM507</f>
        <v>1236096</v>
      </c>
      <c r="AN34" s="87">
        <f t="shared" si="124"/>
        <v>0</v>
      </c>
      <c r="AO34" s="87">
        <f t="shared" si="124"/>
        <v>0</v>
      </c>
      <c r="AP34" s="87">
        <f t="shared" si="124"/>
        <v>0</v>
      </c>
      <c r="AQ34" s="87">
        <f>AQ507</f>
        <v>0</v>
      </c>
      <c r="AR34" s="87">
        <f t="shared" si="125"/>
        <v>0</v>
      </c>
      <c r="AS34" s="87">
        <f>AS507</f>
        <v>0</v>
      </c>
      <c r="AT34" s="87">
        <f t="shared" si="126"/>
        <v>1053489</v>
      </c>
      <c r="AU34" s="87">
        <f t="shared" si="126"/>
        <v>0</v>
      </c>
      <c r="AV34" s="87">
        <f t="shared" si="127"/>
        <v>0</v>
      </c>
      <c r="AW34" s="87">
        <f t="shared" si="127"/>
        <v>0</v>
      </c>
      <c r="AX34" s="87">
        <f t="shared" si="127"/>
        <v>0</v>
      </c>
      <c r="AY34" s="87">
        <f t="shared" si="127"/>
        <v>0</v>
      </c>
      <c r="AZ34" s="87">
        <f t="shared" si="127"/>
        <v>3902141</v>
      </c>
      <c r="BA34" s="87">
        <f>BA507</f>
        <v>0</v>
      </c>
      <c r="BB34" s="87">
        <f t="shared" ref="BB34:BD36" si="129">BB507</f>
        <v>0</v>
      </c>
      <c r="BC34" s="87">
        <f t="shared" si="129"/>
        <v>0</v>
      </c>
      <c r="BD34" s="87">
        <f t="shared" si="129"/>
        <v>0</v>
      </c>
      <c r="BE34" s="87">
        <f t="shared" si="128"/>
        <v>0</v>
      </c>
      <c r="BF34" s="87">
        <f t="shared" si="128"/>
        <v>0</v>
      </c>
    </row>
    <row r="35" spans="1:58" ht="14.1" customHeight="1">
      <c r="A35" s="75">
        <f t="shared" si="16"/>
        <v>29</v>
      </c>
      <c r="B35" s="76" t="s">
        <v>192</v>
      </c>
      <c r="C35" s="80">
        <f>SUM(D35:BF35)</f>
        <v>0</v>
      </c>
      <c r="D35" s="87">
        <f t="shared" si="120"/>
        <v>0</v>
      </c>
      <c r="E35" s="87">
        <f t="shared" si="120"/>
        <v>0</v>
      </c>
      <c r="F35" s="87">
        <f t="shared" si="120"/>
        <v>0</v>
      </c>
      <c r="G35" s="87">
        <f t="shared" si="120"/>
        <v>0</v>
      </c>
      <c r="H35" s="87">
        <f t="shared" si="120"/>
        <v>0</v>
      </c>
      <c r="I35" s="87">
        <f t="shared" si="120"/>
        <v>0</v>
      </c>
      <c r="J35" s="87">
        <f t="shared" si="120"/>
        <v>0</v>
      </c>
      <c r="K35" s="87">
        <f>K508</f>
        <v>0</v>
      </c>
      <c r="L35" s="87">
        <f t="shared" si="121"/>
        <v>0</v>
      </c>
      <c r="M35" s="87">
        <f t="shared" si="121"/>
        <v>0</v>
      </c>
      <c r="N35" s="87">
        <f t="shared" si="121"/>
        <v>0</v>
      </c>
      <c r="O35" s="87">
        <f t="shared" si="121"/>
        <v>0</v>
      </c>
      <c r="P35" s="87">
        <f t="shared" si="121"/>
        <v>0</v>
      </c>
      <c r="Q35" s="87">
        <f t="shared" si="121"/>
        <v>0</v>
      </c>
      <c r="R35" s="87">
        <f t="shared" si="121"/>
        <v>0</v>
      </c>
      <c r="S35" s="87">
        <f t="shared" si="121"/>
        <v>0</v>
      </c>
      <c r="T35" s="87">
        <f t="shared" si="121"/>
        <v>0</v>
      </c>
      <c r="U35" s="87">
        <f t="shared" si="121"/>
        <v>0</v>
      </c>
      <c r="V35" s="87">
        <f t="shared" si="121"/>
        <v>0</v>
      </c>
      <c r="W35" s="87">
        <f>W508</f>
        <v>0</v>
      </c>
      <c r="X35" s="87">
        <f t="shared" si="122"/>
        <v>0</v>
      </c>
      <c r="Y35" s="87">
        <f>Y508</f>
        <v>0</v>
      </c>
      <c r="Z35" s="87">
        <f t="shared" si="122"/>
        <v>0</v>
      </c>
      <c r="AA35" s="87">
        <f t="shared" si="122"/>
        <v>0</v>
      </c>
      <c r="AB35" s="87">
        <f t="shared" si="122"/>
        <v>0</v>
      </c>
      <c r="AC35" s="87">
        <f t="shared" si="122"/>
        <v>0</v>
      </c>
      <c r="AD35" s="87">
        <f t="shared" si="122"/>
        <v>0</v>
      </c>
      <c r="AE35" s="87">
        <f t="shared" si="122"/>
        <v>0</v>
      </c>
      <c r="AF35" s="87">
        <f t="shared" si="122"/>
        <v>0</v>
      </c>
      <c r="AG35" s="87">
        <f t="shared" si="122"/>
        <v>0</v>
      </c>
      <c r="AH35" s="87">
        <f>AH508</f>
        <v>0</v>
      </c>
      <c r="AI35" s="87">
        <f t="shared" si="123"/>
        <v>0</v>
      </c>
      <c r="AJ35" s="87">
        <f t="shared" si="123"/>
        <v>0</v>
      </c>
      <c r="AK35" s="87">
        <f t="shared" si="123"/>
        <v>0</v>
      </c>
      <c r="AL35" s="87">
        <f t="shared" si="123"/>
        <v>0</v>
      </c>
      <c r="AM35" s="87">
        <f>AM508</f>
        <v>0</v>
      </c>
      <c r="AN35" s="87">
        <f t="shared" si="124"/>
        <v>0</v>
      </c>
      <c r="AO35" s="87">
        <f t="shared" si="124"/>
        <v>0</v>
      </c>
      <c r="AP35" s="87">
        <f t="shared" si="124"/>
        <v>0</v>
      </c>
      <c r="AQ35" s="87">
        <f>AQ508</f>
        <v>0</v>
      </c>
      <c r="AR35" s="87">
        <f t="shared" si="125"/>
        <v>0</v>
      </c>
      <c r="AS35" s="87">
        <f>AS508</f>
        <v>0</v>
      </c>
      <c r="AT35" s="87">
        <f t="shared" si="126"/>
        <v>0</v>
      </c>
      <c r="AU35" s="87">
        <f t="shared" si="126"/>
        <v>0</v>
      </c>
      <c r="AV35" s="87">
        <f t="shared" si="127"/>
        <v>0</v>
      </c>
      <c r="AW35" s="87">
        <f t="shared" si="127"/>
        <v>0</v>
      </c>
      <c r="AX35" s="87">
        <f t="shared" si="127"/>
        <v>0</v>
      </c>
      <c r="AY35" s="87">
        <f t="shared" si="127"/>
        <v>0</v>
      </c>
      <c r="AZ35" s="87">
        <f t="shared" si="127"/>
        <v>0</v>
      </c>
      <c r="BA35" s="87">
        <f>BA508</f>
        <v>0</v>
      </c>
      <c r="BB35" s="87">
        <f t="shared" si="129"/>
        <v>0</v>
      </c>
      <c r="BC35" s="87">
        <f t="shared" si="129"/>
        <v>0</v>
      </c>
      <c r="BD35" s="87">
        <f t="shared" si="129"/>
        <v>0</v>
      </c>
      <c r="BE35" s="87">
        <f t="shared" si="128"/>
        <v>0</v>
      </c>
      <c r="BF35" s="87">
        <f t="shared" si="128"/>
        <v>0</v>
      </c>
    </row>
    <row r="36" spans="1:58" ht="14.1" customHeight="1">
      <c r="A36" s="75">
        <f t="shared" si="16"/>
        <v>30</v>
      </c>
      <c r="B36" s="90" t="s">
        <v>193</v>
      </c>
      <c r="C36" s="80">
        <f>SUM(D36:BF36)</f>
        <v>0</v>
      </c>
      <c r="D36" s="87">
        <f t="shared" si="120"/>
        <v>0</v>
      </c>
      <c r="E36" s="87">
        <f t="shared" si="120"/>
        <v>0</v>
      </c>
      <c r="F36" s="87">
        <f t="shared" si="120"/>
        <v>0</v>
      </c>
      <c r="G36" s="87">
        <f t="shared" si="120"/>
        <v>0</v>
      </c>
      <c r="H36" s="87">
        <f t="shared" si="120"/>
        <v>0</v>
      </c>
      <c r="I36" s="87">
        <f t="shared" si="120"/>
        <v>0</v>
      </c>
      <c r="J36" s="87">
        <f t="shared" si="120"/>
        <v>0</v>
      </c>
      <c r="K36" s="87">
        <f>K509</f>
        <v>0</v>
      </c>
      <c r="L36" s="87">
        <f t="shared" si="121"/>
        <v>0</v>
      </c>
      <c r="M36" s="87">
        <f t="shared" si="121"/>
        <v>0</v>
      </c>
      <c r="N36" s="87">
        <f t="shared" si="121"/>
        <v>0</v>
      </c>
      <c r="O36" s="87">
        <f t="shared" si="121"/>
        <v>0</v>
      </c>
      <c r="P36" s="87">
        <f t="shared" si="121"/>
        <v>0</v>
      </c>
      <c r="Q36" s="87">
        <f t="shared" si="121"/>
        <v>0</v>
      </c>
      <c r="R36" s="87">
        <f t="shared" si="121"/>
        <v>0</v>
      </c>
      <c r="S36" s="87">
        <f t="shared" si="121"/>
        <v>0</v>
      </c>
      <c r="T36" s="87">
        <f t="shared" si="121"/>
        <v>0</v>
      </c>
      <c r="U36" s="87">
        <f t="shared" si="121"/>
        <v>0</v>
      </c>
      <c r="V36" s="87">
        <f t="shared" si="121"/>
        <v>0</v>
      </c>
      <c r="W36" s="87">
        <f>W509</f>
        <v>0</v>
      </c>
      <c r="X36" s="87">
        <f t="shared" si="122"/>
        <v>0</v>
      </c>
      <c r="Y36" s="87">
        <f>Y509</f>
        <v>0</v>
      </c>
      <c r="Z36" s="87">
        <f t="shared" si="122"/>
        <v>0</v>
      </c>
      <c r="AA36" s="87">
        <f t="shared" si="122"/>
        <v>0</v>
      </c>
      <c r="AB36" s="87">
        <f t="shared" si="122"/>
        <v>0</v>
      </c>
      <c r="AC36" s="87">
        <f t="shared" si="122"/>
        <v>0</v>
      </c>
      <c r="AD36" s="87">
        <f t="shared" si="122"/>
        <v>0</v>
      </c>
      <c r="AE36" s="87">
        <f t="shared" si="122"/>
        <v>0</v>
      </c>
      <c r="AF36" s="87">
        <f t="shared" si="122"/>
        <v>0</v>
      </c>
      <c r="AG36" s="87">
        <f t="shared" si="122"/>
        <v>0</v>
      </c>
      <c r="AH36" s="87">
        <f>AH509</f>
        <v>0</v>
      </c>
      <c r="AI36" s="87">
        <f t="shared" si="123"/>
        <v>0</v>
      </c>
      <c r="AJ36" s="87">
        <f t="shared" si="123"/>
        <v>0</v>
      </c>
      <c r="AK36" s="87">
        <f t="shared" si="123"/>
        <v>0</v>
      </c>
      <c r="AL36" s="87">
        <f t="shared" si="123"/>
        <v>0</v>
      </c>
      <c r="AM36" s="87">
        <f>AM509</f>
        <v>0</v>
      </c>
      <c r="AN36" s="87">
        <f t="shared" si="124"/>
        <v>0</v>
      </c>
      <c r="AO36" s="87">
        <f t="shared" si="124"/>
        <v>0</v>
      </c>
      <c r="AP36" s="87">
        <f t="shared" si="124"/>
        <v>0</v>
      </c>
      <c r="AQ36" s="87">
        <f>AQ509</f>
        <v>0</v>
      </c>
      <c r="AR36" s="87">
        <f t="shared" si="125"/>
        <v>0</v>
      </c>
      <c r="AS36" s="87">
        <f>AS509</f>
        <v>0</v>
      </c>
      <c r="AT36" s="87">
        <f t="shared" si="126"/>
        <v>0</v>
      </c>
      <c r="AU36" s="87">
        <f t="shared" si="126"/>
        <v>0</v>
      </c>
      <c r="AV36" s="87">
        <f t="shared" si="127"/>
        <v>0</v>
      </c>
      <c r="AW36" s="87">
        <f t="shared" si="127"/>
        <v>0</v>
      </c>
      <c r="AX36" s="87">
        <f t="shared" si="127"/>
        <v>0</v>
      </c>
      <c r="AY36" s="87">
        <f t="shared" si="127"/>
        <v>0</v>
      </c>
      <c r="AZ36" s="87">
        <f t="shared" si="127"/>
        <v>0</v>
      </c>
      <c r="BA36" s="87">
        <f>BA509</f>
        <v>0</v>
      </c>
      <c r="BB36" s="87">
        <f t="shared" si="129"/>
        <v>0</v>
      </c>
      <c r="BC36" s="87">
        <f t="shared" si="129"/>
        <v>0</v>
      </c>
      <c r="BD36" s="87">
        <f t="shared" si="129"/>
        <v>0</v>
      </c>
      <c r="BE36" s="87">
        <f t="shared" si="128"/>
        <v>0</v>
      </c>
      <c r="BF36" s="87">
        <f t="shared" si="128"/>
        <v>0</v>
      </c>
    </row>
    <row r="37" spans="1:58" s="95" customFormat="1" ht="14.1" customHeight="1">
      <c r="A37" s="75">
        <f t="shared" si="16"/>
        <v>31</v>
      </c>
      <c r="B37" s="93" t="s">
        <v>194</v>
      </c>
      <c r="C37" s="97">
        <f t="shared" ref="C37:V37" si="130">SUM(C32:C36)</f>
        <v>4346373.3343029525</v>
      </c>
      <c r="D37" s="97">
        <f t="shared" si="130"/>
        <v>488642</v>
      </c>
      <c r="E37" s="97">
        <f t="shared" si="130"/>
        <v>-102804</v>
      </c>
      <c r="F37" s="97">
        <f t="shared" si="130"/>
        <v>28931</v>
      </c>
      <c r="G37" s="97">
        <f t="shared" si="130"/>
        <v>541078</v>
      </c>
      <c r="H37" s="97">
        <f t="shared" si="130"/>
        <v>6583047</v>
      </c>
      <c r="I37" s="97">
        <f t="shared" si="130"/>
        <v>128295</v>
      </c>
      <c r="J37" s="97">
        <f t="shared" si="130"/>
        <v>40702</v>
      </c>
      <c r="K37" s="97">
        <f t="shared" si="130"/>
        <v>-4325502</v>
      </c>
      <c r="L37" s="97">
        <f t="shared" si="130"/>
        <v>-1353840</v>
      </c>
      <c r="M37" s="97">
        <f t="shared" si="130"/>
        <v>-2634861</v>
      </c>
      <c r="N37" s="97">
        <f t="shared" si="130"/>
        <v>-11535</v>
      </c>
      <c r="O37" s="97">
        <f t="shared" si="130"/>
        <v>0</v>
      </c>
      <c r="P37" s="97">
        <f t="shared" si="130"/>
        <v>0</v>
      </c>
      <c r="Q37" s="97">
        <f t="shared" si="130"/>
        <v>-434705</v>
      </c>
      <c r="R37" s="97">
        <f t="shared" si="130"/>
        <v>-116608</v>
      </c>
      <c r="S37" s="97">
        <f t="shared" si="130"/>
        <v>-1991180</v>
      </c>
      <c r="T37" s="97">
        <f t="shared" si="130"/>
        <v>-58356</v>
      </c>
      <c r="U37" s="97">
        <f t="shared" si="130"/>
        <v>-773266</v>
      </c>
      <c r="V37" s="97">
        <f t="shared" si="130"/>
        <v>2610361</v>
      </c>
      <c r="W37" s="97">
        <f>SUM(W32:W36)</f>
        <v>48649</v>
      </c>
      <c r="X37" s="97">
        <f t="shared" ref="X37:AD37" si="131">SUM(X32:X36)</f>
        <v>-42970</v>
      </c>
      <c r="Y37" s="97">
        <f>SUM(Y32:Y36)</f>
        <v>0</v>
      </c>
      <c r="Z37" s="97">
        <f t="shared" si="131"/>
        <v>-48262</v>
      </c>
      <c r="AA37" s="97">
        <f t="shared" si="131"/>
        <v>10932</v>
      </c>
      <c r="AB37" s="97">
        <f t="shared" si="131"/>
        <v>-23328</v>
      </c>
      <c r="AC37" s="97">
        <f t="shared" si="131"/>
        <v>-1046851</v>
      </c>
      <c r="AD37" s="97">
        <f t="shared" si="131"/>
        <v>12325</v>
      </c>
      <c r="AE37" s="97">
        <f>SUM(AE32:AE36)</f>
        <v>-92853</v>
      </c>
      <c r="AF37" s="97">
        <f>SUM(AF32:AF36)</f>
        <v>615704</v>
      </c>
      <c r="AG37" s="97">
        <f>SUM(AG32:AG36)</f>
        <v>-673853</v>
      </c>
      <c r="AH37" s="97">
        <f t="shared" ref="AH37:AL37" si="132">SUM(AH32:AH36)</f>
        <v>4822</v>
      </c>
      <c r="AI37" s="97">
        <f t="shared" si="132"/>
        <v>-442599</v>
      </c>
      <c r="AJ37" s="97">
        <f t="shared" si="132"/>
        <v>-23807</v>
      </c>
      <c r="AK37" s="97">
        <f t="shared" si="132"/>
        <v>-24849</v>
      </c>
      <c r="AL37" s="97">
        <f t="shared" si="132"/>
        <v>-22846</v>
      </c>
      <c r="AM37" s="97">
        <f>SUM(AM32:AM36)</f>
        <v>61924</v>
      </c>
      <c r="AN37" s="97">
        <f>SUM(AN32:AN36)</f>
        <v>-850344</v>
      </c>
      <c r="AO37" s="97">
        <f>SUM(AO32:AO36)</f>
        <v>0</v>
      </c>
      <c r="AP37" s="97">
        <f>SUM(AP32:AP36)</f>
        <v>-237485</v>
      </c>
      <c r="AQ37" s="97">
        <f>SUM(AQ32:AQ36)</f>
        <v>-241809</v>
      </c>
      <c r="AR37" s="97">
        <f t="shared" ref="AR37" si="133">SUM(AR32:AR36)</f>
        <v>336976</v>
      </c>
      <c r="AS37" s="97">
        <f>SUM(AS32:AS36)</f>
        <v>-28081</v>
      </c>
      <c r="AT37" s="97">
        <f t="shared" ref="AT37:AV37" si="134">SUM(AT32:AT36)</f>
        <v>-627306</v>
      </c>
      <c r="AU37" s="97">
        <f t="shared" si="134"/>
        <v>1680795</v>
      </c>
      <c r="AV37" s="97">
        <f t="shared" si="134"/>
        <v>1112091</v>
      </c>
      <c r="AW37" s="97">
        <f>SUM(AW32:AW36)</f>
        <v>-182717</v>
      </c>
      <c r="AX37" s="97">
        <f t="shared" ref="AX37:BF37" si="135">SUM(AX32:AX36)</f>
        <v>182717</v>
      </c>
      <c r="AY37" s="97">
        <f t="shared" si="135"/>
        <v>0</v>
      </c>
      <c r="AZ37" s="97">
        <f t="shared" si="135"/>
        <v>3902141</v>
      </c>
      <c r="BA37" s="97">
        <f t="shared" si="135"/>
        <v>2368858.334302953</v>
      </c>
      <c r="BB37" s="97">
        <f t="shared" si="135"/>
        <v>0</v>
      </c>
      <c r="BC37" s="97">
        <f t="shared" si="135"/>
        <v>0</v>
      </c>
      <c r="BD37" s="97">
        <f t="shared" si="135"/>
        <v>0</v>
      </c>
      <c r="BE37" s="97">
        <f t="shared" si="135"/>
        <v>0</v>
      </c>
      <c r="BF37" s="97">
        <f t="shared" si="135"/>
        <v>0</v>
      </c>
    </row>
    <row r="38" spans="1:58" s="95" customFormat="1" ht="14.1" customHeight="1">
      <c r="A38" s="75">
        <f t="shared" si="16"/>
        <v>32</v>
      </c>
      <c r="B38" s="96"/>
      <c r="C38" s="96"/>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row>
    <row r="39" spans="1:58" s="75" customFormat="1" ht="14.1" customHeight="1">
      <c r="A39" s="75">
        <f t="shared" si="16"/>
        <v>33</v>
      </c>
      <c r="B39" s="98" t="s">
        <v>195</v>
      </c>
      <c r="C39" s="80">
        <f>SUM(D39:BF39)</f>
        <v>-14629984.499185205</v>
      </c>
      <c r="D39" s="87">
        <f t="shared" ref="D39:V39" si="136">D30-D37</f>
        <v>1838224</v>
      </c>
      <c r="E39" s="87">
        <f t="shared" si="136"/>
        <v>-386739.63697997667</v>
      </c>
      <c r="F39" s="87">
        <f t="shared" si="136"/>
        <v>108837</v>
      </c>
      <c r="G39" s="87">
        <f t="shared" si="136"/>
        <v>2035485.3900000001</v>
      </c>
      <c r="H39" s="87">
        <f t="shared" si="136"/>
        <v>24764793.547184512</v>
      </c>
      <c r="I39" s="87">
        <f t="shared" si="136"/>
        <v>482633</v>
      </c>
      <c r="J39" s="87">
        <f t="shared" si="136"/>
        <v>153118.13</v>
      </c>
      <c r="K39" s="87">
        <f t="shared" si="136"/>
        <v>-16272128.110950001</v>
      </c>
      <c r="L39" s="87">
        <f t="shared" si="136"/>
        <v>-5093015</v>
      </c>
      <c r="M39" s="87">
        <f t="shared" si="136"/>
        <v>-9912095.8499999996</v>
      </c>
      <c r="N39" s="87">
        <f t="shared" si="136"/>
        <v>-43394.840000000026</v>
      </c>
      <c r="O39" s="87">
        <f t="shared" si="136"/>
        <v>0</v>
      </c>
      <c r="P39" s="87">
        <f t="shared" si="136"/>
        <v>0</v>
      </c>
      <c r="Q39" s="87">
        <f t="shared" si="136"/>
        <v>-1635318.1921026742</v>
      </c>
      <c r="R39" s="87">
        <f t="shared" si="136"/>
        <v>-438669.78923012456</v>
      </c>
      <c r="S39" s="87">
        <f t="shared" si="136"/>
        <v>-7490631</v>
      </c>
      <c r="T39" s="87">
        <f t="shared" si="136"/>
        <v>-219531.07</v>
      </c>
      <c r="U39" s="87">
        <f t="shared" si="136"/>
        <v>-3839265.4358000569</v>
      </c>
      <c r="V39" s="87">
        <f t="shared" si="136"/>
        <v>9819928</v>
      </c>
      <c r="W39" s="87">
        <f>W30-W37</f>
        <v>183011.88847500016</v>
      </c>
      <c r="X39" s="87">
        <f t="shared" ref="X39:AD39" si="137">X30-X37</f>
        <v>-161647.01999999955</v>
      </c>
      <c r="Y39" s="87">
        <f>Y30-Y37</f>
        <v>0</v>
      </c>
      <c r="Z39" s="87">
        <f t="shared" si="137"/>
        <v>-181556.96000000002</v>
      </c>
      <c r="AA39" s="87">
        <f t="shared" si="137"/>
        <v>41125.769999999997</v>
      </c>
      <c r="AB39" s="87">
        <f t="shared" si="137"/>
        <v>-87756.459999999963</v>
      </c>
      <c r="AC39" s="87">
        <f t="shared" si="137"/>
        <v>-3938155.8612336004</v>
      </c>
      <c r="AD39" s="87">
        <f t="shared" si="137"/>
        <v>46367</v>
      </c>
      <c r="AE39" s="87">
        <f>AE30-AE37</f>
        <v>-349303.20400000003</v>
      </c>
      <c r="AF39" s="87">
        <f>AF30-AF37</f>
        <v>2316218</v>
      </c>
      <c r="AG39" s="87">
        <f>AG30-AG37</f>
        <v>-2534970.2145978799</v>
      </c>
      <c r="AH39" s="87">
        <f t="shared" ref="AH39:AL39" si="138">AH30-AH37</f>
        <v>18138.38</v>
      </c>
      <c r="AI39" s="87">
        <f t="shared" si="138"/>
        <v>-3499851</v>
      </c>
      <c r="AJ39" s="87">
        <f t="shared" si="138"/>
        <v>-89561.78</v>
      </c>
      <c r="AK39" s="87">
        <f t="shared" si="138"/>
        <v>-93477.65</v>
      </c>
      <c r="AL39" s="87">
        <f t="shared" si="138"/>
        <v>-85944.719999999972</v>
      </c>
      <c r="AM39" s="87">
        <f>AM30-AM37</f>
        <v>232956</v>
      </c>
      <c r="AN39" s="87">
        <f>AN30-AN37</f>
        <v>-3198915.3566666655</v>
      </c>
      <c r="AO39" s="87">
        <f>AO30-AO37</f>
        <v>0</v>
      </c>
      <c r="AP39" s="87">
        <f>AP30-AP37</f>
        <v>-893398</v>
      </c>
      <c r="AQ39" s="87">
        <f>AQ30-AQ37</f>
        <v>-909661.64999999991</v>
      </c>
      <c r="AR39" s="87">
        <f t="shared" ref="AR39" si="139">AR30-AR37</f>
        <v>1267672</v>
      </c>
      <c r="AS39" s="87">
        <f>AS30-AS37</f>
        <v>-105640</v>
      </c>
      <c r="AT39" s="87">
        <f t="shared" ref="AT39:AV39" si="140">AT30-AT37</f>
        <v>-118523.90250000171</v>
      </c>
      <c r="AU39" s="87">
        <f t="shared" si="140"/>
        <v>6322988.9834829997</v>
      </c>
      <c r="AV39" s="87">
        <f t="shared" si="140"/>
        <v>4183581.8000000007</v>
      </c>
      <c r="AW39" s="87">
        <f>AW30-AW37</f>
        <v>-687364.91411599994</v>
      </c>
      <c r="AX39" s="87">
        <f t="shared" ref="AX39:BF39" si="141">AX30-AX37</f>
        <v>687364.91411599994</v>
      </c>
      <c r="AY39" s="87">
        <f t="shared" si="141"/>
        <v>0</v>
      </c>
      <c r="AZ39" s="87">
        <f t="shared" si="141"/>
        <v>-3902141</v>
      </c>
      <c r="BA39" s="87">
        <f t="shared" si="141"/>
        <v>-2963769.6842667316</v>
      </c>
      <c r="BB39" s="87">
        <f t="shared" si="141"/>
        <v>0</v>
      </c>
      <c r="BC39" s="87">
        <f t="shared" si="141"/>
        <v>0</v>
      </c>
      <c r="BD39" s="87">
        <f t="shared" si="141"/>
        <v>0</v>
      </c>
      <c r="BE39" s="87">
        <f t="shared" si="141"/>
        <v>0</v>
      </c>
      <c r="BF39" s="87">
        <f t="shared" si="141"/>
        <v>0</v>
      </c>
    </row>
    <row r="40" spans="1:58" s="75" customFormat="1" ht="14.1" customHeight="1">
      <c r="A40" s="75">
        <f t="shared" si="16"/>
        <v>34</v>
      </c>
      <c r="B40" s="99" t="s">
        <v>196</v>
      </c>
      <c r="C40" s="80">
        <f>SUM(D40:BF40)</f>
        <v>4013313.06</v>
      </c>
      <c r="D40" s="92">
        <f>-SUM(D485:D489)</f>
        <v>0</v>
      </c>
      <c r="E40" s="92">
        <f>-SUM(E485:E489)</f>
        <v>0</v>
      </c>
      <c r="F40" s="92">
        <f>-SUM(F485:F489)</f>
        <v>0</v>
      </c>
      <c r="G40" s="92">
        <f>-SUM(G485:G489)</f>
        <v>0</v>
      </c>
      <c r="H40" s="92">
        <f>-H485</f>
        <v>0</v>
      </c>
      <c r="I40" s="92">
        <f t="shared" ref="I40:BE40" si="142">-SUM(I485:I489)</f>
        <v>0</v>
      </c>
      <c r="J40" s="92">
        <f t="shared" si="142"/>
        <v>0</v>
      </c>
      <c r="K40" s="92">
        <f t="shared" si="142"/>
        <v>0</v>
      </c>
      <c r="L40" s="92">
        <f t="shared" si="142"/>
        <v>0</v>
      </c>
      <c r="M40" s="92">
        <f t="shared" si="142"/>
        <v>0</v>
      </c>
      <c r="N40" s="92">
        <f t="shared" si="142"/>
        <v>0</v>
      </c>
      <c r="O40" s="92">
        <f t="shared" si="142"/>
        <v>0</v>
      </c>
      <c r="P40" s="92">
        <f t="shared" si="142"/>
        <v>0</v>
      </c>
      <c r="Q40" s="92">
        <f t="shared" si="142"/>
        <v>0</v>
      </c>
      <c r="R40" s="92">
        <f t="shared" si="142"/>
        <v>0</v>
      </c>
      <c r="S40" s="92">
        <f t="shared" si="142"/>
        <v>0</v>
      </c>
      <c r="T40" s="92">
        <f t="shared" si="142"/>
        <v>0</v>
      </c>
      <c r="U40" s="92">
        <f t="shared" si="142"/>
        <v>72863.060000000027</v>
      </c>
      <c r="V40" s="92">
        <f t="shared" si="142"/>
        <v>0</v>
      </c>
      <c r="W40" s="92">
        <f t="shared" si="142"/>
        <v>0</v>
      </c>
      <c r="X40" s="92">
        <f t="shared" si="142"/>
        <v>0</v>
      </c>
      <c r="Y40" s="92">
        <f t="shared" si="142"/>
        <v>0</v>
      </c>
      <c r="Z40" s="92">
        <f t="shared" si="142"/>
        <v>0</v>
      </c>
      <c r="AA40" s="92">
        <f t="shared" si="142"/>
        <v>0</v>
      </c>
      <c r="AB40" s="92">
        <f t="shared" si="142"/>
        <v>0</v>
      </c>
      <c r="AC40" s="92">
        <f t="shared" si="142"/>
        <v>0</v>
      </c>
      <c r="AD40" s="92">
        <f t="shared" si="142"/>
        <v>0</v>
      </c>
      <c r="AE40" s="92">
        <f t="shared" si="142"/>
        <v>0</v>
      </c>
      <c r="AF40" s="92">
        <f t="shared" si="142"/>
        <v>0</v>
      </c>
      <c r="AG40" s="92">
        <f t="shared" si="142"/>
        <v>0</v>
      </c>
      <c r="AH40" s="92">
        <f t="shared" si="142"/>
        <v>0</v>
      </c>
      <c r="AI40" s="92">
        <f t="shared" si="142"/>
        <v>0</v>
      </c>
      <c r="AJ40" s="92">
        <f t="shared" si="142"/>
        <v>0</v>
      </c>
      <c r="AK40" s="92">
        <f t="shared" si="142"/>
        <v>0</v>
      </c>
      <c r="AL40" s="92">
        <f t="shared" si="142"/>
        <v>0</v>
      </c>
      <c r="AM40" s="92">
        <f t="shared" si="142"/>
        <v>3940450</v>
      </c>
      <c r="AN40" s="92">
        <f t="shared" si="142"/>
        <v>0</v>
      </c>
      <c r="AO40" s="92">
        <f t="shared" si="142"/>
        <v>0</v>
      </c>
      <c r="AP40" s="92">
        <f t="shared" si="142"/>
        <v>0</v>
      </c>
      <c r="AQ40" s="92">
        <f t="shared" si="142"/>
        <v>0</v>
      </c>
      <c r="AR40" s="92">
        <f t="shared" si="142"/>
        <v>0</v>
      </c>
      <c r="AS40" s="92">
        <f t="shared" si="142"/>
        <v>0</v>
      </c>
      <c r="AT40" s="92">
        <f t="shared" si="142"/>
        <v>0</v>
      </c>
      <c r="AU40" s="92">
        <f t="shared" si="142"/>
        <v>0</v>
      </c>
      <c r="AV40" s="92">
        <f t="shared" si="142"/>
        <v>0</v>
      </c>
      <c r="AW40" s="92">
        <f t="shared" si="142"/>
        <v>0</v>
      </c>
      <c r="AX40" s="92">
        <f t="shared" si="142"/>
        <v>0</v>
      </c>
      <c r="AY40" s="92">
        <f t="shared" si="142"/>
        <v>0</v>
      </c>
      <c r="AZ40" s="92">
        <f t="shared" si="142"/>
        <v>0</v>
      </c>
      <c r="BA40" s="92">
        <f t="shared" si="142"/>
        <v>0</v>
      </c>
      <c r="BB40" s="92">
        <f t="shared" si="142"/>
        <v>0</v>
      </c>
      <c r="BC40" s="92">
        <f t="shared" si="142"/>
        <v>0</v>
      </c>
      <c r="BD40" s="92">
        <f t="shared" si="142"/>
        <v>0</v>
      </c>
      <c r="BE40" s="92">
        <f t="shared" si="142"/>
        <v>0</v>
      </c>
      <c r="BF40" s="92">
        <f>-SUM(BF485:BF489)</f>
        <v>0</v>
      </c>
    </row>
    <row r="41" spans="1:58" s="75" customFormat="1" ht="14.1" customHeight="1" thickBot="1">
      <c r="A41" s="75">
        <f t="shared" si="16"/>
        <v>35</v>
      </c>
      <c r="B41" s="100" t="s">
        <v>197</v>
      </c>
      <c r="C41" s="101">
        <f t="shared" ref="C41:V41" si="143">C40+C39</f>
        <v>-10616671.439185204</v>
      </c>
      <c r="D41" s="101">
        <f t="shared" si="143"/>
        <v>1838224</v>
      </c>
      <c r="E41" s="101">
        <f t="shared" si="143"/>
        <v>-386739.63697997667</v>
      </c>
      <c r="F41" s="101">
        <f t="shared" si="143"/>
        <v>108837</v>
      </c>
      <c r="G41" s="101">
        <f t="shared" si="143"/>
        <v>2035485.3900000001</v>
      </c>
      <c r="H41" s="101">
        <f t="shared" si="143"/>
        <v>24764793.547184512</v>
      </c>
      <c r="I41" s="101">
        <f t="shared" si="143"/>
        <v>482633</v>
      </c>
      <c r="J41" s="101">
        <f t="shared" si="143"/>
        <v>153118.13</v>
      </c>
      <c r="K41" s="101">
        <f t="shared" si="143"/>
        <v>-16272128.110950001</v>
      </c>
      <c r="L41" s="101">
        <f t="shared" si="143"/>
        <v>-5093015</v>
      </c>
      <c r="M41" s="101">
        <f t="shared" si="143"/>
        <v>-9912095.8499999996</v>
      </c>
      <c r="N41" s="101">
        <f t="shared" si="143"/>
        <v>-43394.840000000026</v>
      </c>
      <c r="O41" s="101">
        <f t="shared" si="143"/>
        <v>0</v>
      </c>
      <c r="P41" s="101">
        <f t="shared" si="143"/>
        <v>0</v>
      </c>
      <c r="Q41" s="101">
        <f t="shared" si="143"/>
        <v>-1635318.1921026742</v>
      </c>
      <c r="R41" s="101">
        <f t="shared" si="143"/>
        <v>-438669.78923012456</v>
      </c>
      <c r="S41" s="101">
        <f t="shared" si="143"/>
        <v>-7490631</v>
      </c>
      <c r="T41" s="101">
        <f t="shared" si="143"/>
        <v>-219531.07</v>
      </c>
      <c r="U41" s="101">
        <f t="shared" si="143"/>
        <v>-3766402.3758000568</v>
      </c>
      <c r="V41" s="101">
        <f t="shared" si="143"/>
        <v>9819928</v>
      </c>
      <c r="W41" s="101">
        <f>W40+W39</f>
        <v>183011.88847500016</v>
      </c>
      <c r="X41" s="101">
        <f t="shared" ref="X41:AD41" si="144">X40+X39</f>
        <v>-161647.01999999955</v>
      </c>
      <c r="Y41" s="101">
        <f>Y40+Y39</f>
        <v>0</v>
      </c>
      <c r="Z41" s="101">
        <f t="shared" si="144"/>
        <v>-181556.96000000002</v>
      </c>
      <c r="AA41" s="101">
        <f t="shared" si="144"/>
        <v>41125.769999999997</v>
      </c>
      <c r="AB41" s="101">
        <f t="shared" si="144"/>
        <v>-87756.459999999963</v>
      </c>
      <c r="AC41" s="101">
        <f t="shared" si="144"/>
        <v>-3938155.8612336004</v>
      </c>
      <c r="AD41" s="101">
        <f t="shared" si="144"/>
        <v>46367</v>
      </c>
      <c r="AE41" s="101">
        <f>AE40+AE39</f>
        <v>-349303.20400000003</v>
      </c>
      <c r="AF41" s="101">
        <f>AF40+AF39</f>
        <v>2316218</v>
      </c>
      <c r="AG41" s="101">
        <f>AG40+AG39</f>
        <v>-2534970.2145978799</v>
      </c>
      <c r="AH41" s="101">
        <f t="shared" ref="AH41:AL41" si="145">AH40+AH39</f>
        <v>18138.38</v>
      </c>
      <c r="AI41" s="101">
        <f t="shared" si="145"/>
        <v>-3499851</v>
      </c>
      <c r="AJ41" s="101">
        <f t="shared" si="145"/>
        <v>-89561.78</v>
      </c>
      <c r="AK41" s="101">
        <f t="shared" si="145"/>
        <v>-93477.65</v>
      </c>
      <c r="AL41" s="101">
        <f t="shared" si="145"/>
        <v>-85944.719999999972</v>
      </c>
      <c r="AM41" s="101">
        <f>AM40+AM39</f>
        <v>4173406</v>
      </c>
      <c r="AN41" s="101">
        <f>AN40+AN39</f>
        <v>-3198915.3566666655</v>
      </c>
      <c r="AO41" s="101">
        <f>AO40+AO39</f>
        <v>0</v>
      </c>
      <c r="AP41" s="101">
        <f>AP40+AP39</f>
        <v>-893398</v>
      </c>
      <c r="AQ41" s="101">
        <f>AQ40+AQ39</f>
        <v>-909661.64999999991</v>
      </c>
      <c r="AR41" s="101">
        <f t="shared" ref="AR41" si="146">AR40+AR39</f>
        <v>1267672</v>
      </c>
      <c r="AS41" s="101">
        <f>AS40+AS39</f>
        <v>-105640</v>
      </c>
      <c r="AT41" s="101">
        <f t="shared" ref="AT41:AV41" si="147">AT40+AT39</f>
        <v>-118523.90250000171</v>
      </c>
      <c r="AU41" s="101">
        <f t="shared" si="147"/>
        <v>6322988.9834829997</v>
      </c>
      <c r="AV41" s="101">
        <f t="shared" si="147"/>
        <v>4183581.8000000007</v>
      </c>
      <c r="AW41" s="101">
        <f>AW40+AW39</f>
        <v>-687364.91411599994</v>
      </c>
      <c r="AX41" s="101">
        <f t="shared" ref="AX41:BF41" si="148">AX40+AX39</f>
        <v>687364.91411599994</v>
      </c>
      <c r="AY41" s="101">
        <f t="shared" si="148"/>
        <v>0</v>
      </c>
      <c r="AZ41" s="101">
        <f t="shared" si="148"/>
        <v>-3902141</v>
      </c>
      <c r="BA41" s="101">
        <f t="shared" si="148"/>
        <v>-2963769.6842667316</v>
      </c>
      <c r="BB41" s="101">
        <f t="shared" si="148"/>
        <v>0</v>
      </c>
      <c r="BC41" s="101">
        <f t="shared" si="148"/>
        <v>0</v>
      </c>
      <c r="BD41" s="101">
        <f t="shared" si="148"/>
        <v>0</v>
      </c>
      <c r="BE41" s="101">
        <f t="shared" si="148"/>
        <v>0</v>
      </c>
      <c r="BF41" s="101">
        <f t="shared" si="148"/>
        <v>0</v>
      </c>
    </row>
    <row r="42" spans="1:58" s="75" customFormat="1" ht="14.1" customHeight="1" thickTop="1">
      <c r="A42" s="75">
        <f t="shared" si="16"/>
        <v>36</v>
      </c>
      <c r="B42" s="98"/>
      <c r="C42" s="98"/>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row>
    <row r="43" spans="1:58" ht="14.1" customHeight="1">
      <c r="A43" s="75">
        <f t="shared" si="16"/>
        <v>37</v>
      </c>
      <c r="B43" s="76" t="s">
        <v>198</v>
      </c>
      <c r="C43" s="80">
        <f t="shared" ref="C43:C52" si="149">SUM(D43:BF43)</f>
        <v>-601498841.80999994</v>
      </c>
      <c r="D43" s="87">
        <f t="shared" ref="D43:V43" si="150">D172</f>
        <v>0</v>
      </c>
      <c r="E43" s="87">
        <f t="shared" si="150"/>
        <v>0</v>
      </c>
      <c r="F43" s="87">
        <f t="shared" si="150"/>
        <v>0</v>
      </c>
      <c r="G43" s="87">
        <f t="shared" si="150"/>
        <v>0</v>
      </c>
      <c r="H43" s="87">
        <f t="shared" si="150"/>
        <v>0</v>
      </c>
      <c r="I43" s="87">
        <f t="shared" si="150"/>
        <v>0</v>
      </c>
      <c r="J43" s="87">
        <f t="shared" si="150"/>
        <v>0</v>
      </c>
      <c r="K43" s="87">
        <f t="shared" si="150"/>
        <v>0</v>
      </c>
      <c r="L43" s="87">
        <f t="shared" si="150"/>
        <v>0</v>
      </c>
      <c r="M43" s="87">
        <f t="shared" si="150"/>
        <v>0</v>
      </c>
      <c r="N43" s="87">
        <f t="shared" si="150"/>
        <v>0</v>
      </c>
      <c r="O43" s="87">
        <f t="shared" si="150"/>
        <v>0</v>
      </c>
      <c r="P43" s="87">
        <f t="shared" si="150"/>
        <v>0</v>
      </c>
      <c r="Q43" s="87">
        <f t="shared" si="150"/>
        <v>0</v>
      </c>
      <c r="R43" s="87">
        <f t="shared" si="150"/>
        <v>0</v>
      </c>
      <c r="S43" s="87">
        <f t="shared" si="150"/>
        <v>0</v>
      </c>
      <c r="T43" s="87">
        <f t="shared" si="150"/>
        <v>0</v>
      </c>
      <c r="U43" s="87">
        <f t="shared" si="150"/>
        <v>36802837.620000079</v>
      </c>
      <c r="V43" s="87">
        <f t="shared" si="150"/>
        <v>0</v>
      </c>
      <c r="W43" s="87">
        <f>W172</f>
        <v>0</v>
      </c>
      <c r="X43" s="87">
        <f t="shared" ref="X43:AD43" si="151">X172</f>
        <v>0</v>
      </c>
      <c r="Y43" s="87">
        <f>Y172</f>
        <v>0</v>
      </c>
      <c r="Z43" s="87">
        <f t="shared" si="151"/>
        <v>0</v>
      </c>
      <c r="AA43" s="87">
        <f t="shared" si="151"/>
        <v>0</v>
      </c>
      <c r="AB43" s="87">
        <f t="shared" si="151"/>
        <v>0</v>
      </c>
      <c r="AC43" s="87">
        <f t="shared" si="151"/>
        <v>0</v>
      </c>
      <c r="AD43" s="87">
        <f t="shared" si="151"/>
        <v>0</v>
      </c>
      <c r="AE43" s="87">
        <f>AE172</f>
        <v>0</v>
      </c>
      <c r="AF43" s="87">
        <f>AF172</f>
        <v>0</v>
      </c>
      <c r="AG43" s="87">
        <f>AG172</f>
        <v>0</v>
      </c>
      <c r="AH43" s="87">
        <f t="shared" ref="AH43:AL43" si="152">AH172</f>
        <v>0</v>
      </c>
      <c r="AI43" s="87">
        <f t="shared" si="152"/>
        <v>0</v>
      </c>
      <c r="AJ43" s="87">
        <f t="shared" si="152"/>
        <v>0</v>
      </c>
      <c r="AK43" s="87">
        <f t="shared" si="152"/>
        <v>0</v>
      </c>
      <c r="AL43" s="87">
        <f t="shared" si="152"/>
        <v>0</v>
      </c>
      <c r="AM43" s="87">
        <f>AM172</f>
        <v>0</v>
      </c>
      <c r="AN43" s="87">
        <f>AN172</f>
        <v>0</v>
      </c>
      <c r="AO43" s="87">
        <f>AO172</f>
        <v>0</v>
      </c>
      <c r="AP43" s="87">
        <f>AP172</f>
        <v>0</v>
      </c>
      <c r="AQ43" s="87">
        <f>AQ172</f>
        <v>0</v>
      </c>
      <c r="AR43" s="87">
        <f t="shared" ref="AR43" si="153">AR172</f>
        <v>0</v>
      </c>
      <c r="AS43" s="87">
        <f>AS172</f>
        <v>0</v>
      </c>
      <c r="AT43" s="87">
        <f t="shared" ref="AT43:AV43" si="154">AT172</f>
        <v>0</v>
      </c>
      <c r="AU43" s="87">
        <f t="shared" si="154"/>
        <v>-327699887.42999995</v>
      </c>
      <c r="AV43" s="87">
        <f t="shared" si="154"/>
        <v>18000000</v>
      </c>
      <c r="AW43" s="87">
        <f>AW172</f>
        <v>60391028.620000005</v>
      </c>
      <c r="AX43" s="87">
        <f t="shared" ref="AX43:BF43" si="155">AX172</f>
        <v>-60391028.620000005</v>
      </c>
      <c r="AY43" s="87">
        <f t="shared" si="155"/>
        <v>0</v>
      </c>
      <c r="AZ43" s="87">
        <f t="shared" si="155"/>
        <v>0</v>
      </c>
      <c r="BA43" s="87">
        <f t="shared" si="155"/>
        <v>0</v>
      </c>
      <c r="BB43" s="87">
        <f t="shared" si="155"/>
        <v>0</v>
      </c>
      <c r="BC43" s="87">
        <f t="shared" si="155"/>
        <v>0</v>
      </c>
      <c r="BD43" s="87">
        <f t="shared" si="155"/>
        <v>-324570749</v>
      </c>
      <c r="BE43" s="87">
        <f t="shared" si="155"/>
        <v>-4031043</v>
      </c>
      <c r="BF43" s="87">
        <f t="shared" si="155"/>
        <v>0</v>
      </c>
    </row>
    <row r="44" spans="1:58" ht="14.1" customHeight="1">
      <c r="A44" s="75">
        <f t="shared" si="16"/>
        <v>38</v>
      </c>
      <c r="B44" s="76" t="s">
        <v>199</v>
      </c>
      <c r="C44" s="80">
        <f t="shared" si="149"/>
        <v>354370732.91999996</v>
      </c>
      <c r="D44" s="87">
        <f t="shared" ref="D44:V44" si="156">-D179-D187-D190</f>
        <v>0</v>
      </c>
      <c r="E44" s="87">
        <f t="shared" si="156"/>
        <v>0</v>
      </c>
      <c r="F44" s="87">
        <f t="shared" si="156"/>
        <v>0</v>
      </c>
      <c r="G44" s="87">
        <f t="shared" si="156"/>
        <v>0</v>
      </c>
      <c r="H44" s="87">
        <f t="shared" si="156"/>
        <v>0</v>
      </c>
      <c r="I44" s="87">
        <f t="shared" si="156"/>
        <v>0</v>
      </c>
      <c r="J44" s="87">
        <f t="shared" si="156"/>
        <v>0</v>
      </c>
      <c r="K44" s="87">
        <f t="shared" si="156"/>
        <v>0</v>
      </c>
      <c r="L44" s="87">
        <f t="shared" si="156"/>
        <v>0</v>
      </c>
      <c r="M44" s="87">
        <f t="shared" si="156"/>
        <v>0</v>
      </c>
      <c r="N44" s="87">
        <f t="shared" si="156"/>
        <v>0</v>
      </c>
      <c r="O44" s="87">
        <f t="shared" si="156"/>
        <v>0</v>
      </c>
      <c r="P44" s="87">
        <f t="shared" si="156"/>
        <v>0</v>
      </c>
      <c r="Q44" s="87">
        <f t="shared" si="156"/>
        <v>0</v>
      </c>
      <c r="R44" s="87">
        <f t="shared" si="156"/>
        <v>0</v>
      </c>
      <c r="S44" s="87">
        <f t="shared" si="156"/>
        <v>0</v>
      </c>
      <c r="T44" s="87">
        <f t="shared" si="156"/>
        <v>0</v>
      </c>
      <c r="U44" s="87">
        <f t="shared" si="156"/>
        <v>-15976575.080000035</v>
      </c>
      <c r="V44" s="87">
        <f t="shared" si="156"/>
        <v>0</v>
      </c>
      <c r="W44" s="87">
        <f>-W179-W187-W190</f>
        <v>0</v>
      </c>
      <c r="X44" s="87">
        <f t="shared" ref="X44:AD44" si="157">-X179-X187-X190</f>
        <v>0</v>
      </c>
      <c r="Y44" s="87">
        <f>-Y179-Y187-Y190</f>
        <v>0</v>
      </c>
      <c r="Z44" s="87">
        <f t="shared" si="157"/>
        <v>0</v>
      </c>
      <c r="AA44" s="87">
        <f t="shared" si="157"/>
        <v>0</v>
      </c>
      <c r="AB44" s="87">
        <f t="shared" si="157"/>
        <v>0</v>
      </c>
      <c r="AC44" s="87">
        <f t="shared" si="157"/>
        <v>0</v>
      </c>
      <c r="AD44" s="87">
        <f t="shared" si="157"/>
        <v>0</v>
      </c>
      <c r="AE44" s="87">
        <f>-AE179-AE187-AE190</f>
        <v>0</v>
      </c>
      <c r="AF44" s="87">
        <f>-AF179-AF187-AF190</f>
        <v>0</v>
      </c>
      <c r="AG44" s="87">
        <f>-AG179-AG187-AG190</f>
        <v>0</v>
      </c>
      <c r="AH44" s="87">
        <f t="shared" ref="AH44:AL44" si="158">-AH179-AH187-AH190</f>
        <v>0</v>
      </c>
      <c r="AI44" s="87">
        <f t="shared" si="158"/>
        <v>0</v>
      </c>
      <c r="AJ44" s="87">
        <f t="shared" si="158"/>
        <v>0</v>
      </c>
      <c r="AK44" s="87">
        <f t="shared" si="158"/>
        <v>0</v>
      </c>
      <c r="AL44" s="87">
        <f t="shared" si="158"/>
        <v>0</v>
      </c>
      <c r="AM44" s="87">
        <f>-AM179-AM187-AM190</f>
        <v>0</v>
      </c>
      <c r="AN44" s="87">
        <f>-AN179-AN187-AN190</f>
        <v>0</v>
      </c>
      <c r="AO44" s="87">
        <f>-AO179-AO187-AO190</f>
        <v>0</v>
      </c>
      <c r="AP44" s="87">
        <f>-AP179-AP187-AP190</f>
        <v>0</v>
      </c>
      <c r="AQ44" s="87">
        <f>-AQ179-AQ187-AQ190</f>
        <v>0</v>
      </c>
      <c r="AR44" s="87">
        <f t="shared" ref="AR44" si="159">-AR179-AR187-AR190</f>
        <v>0</v>
      </c>
      <c r="AS44" s="87">
        <f>-AS179-AS187-AS190</f>
        <v>0</v>
      </c>
      <c r="AT44" s="87">
        <f t="shared" ref="AT44:AV44" si="160">-AT179-AT187-AT190</f>
        <v>0</v>
      </c>
      <c r="AU44" s="87">
        <f t="shared" si="160"/>
        <v>200045017</v>
      </c>
      <c r="AV44" s="87">
        <f t="shared" si="160"/>
        <v>0</v>
      </c>
      <c r="AW44" s="87">
        <f>-AW179-AW187-AW190</f>
        <v>-2147169.65</v>
      </c>
      <c r="AX44" s="87">
        <f t="shared" ref="AX44:BF44" si="161">-AX179-AX187-AX190</f>
        <v>2147169.65</v>
      </c>
      <c r="AY44" s="87">
        <f t="shared" si="161"/>
        <v>0</v>
      </c>
      <c r="AZ44" s="87">
        <f t="shared" si="161"/>
        <v>0</v>
      </c>
      <c r="BA44" s="87">
        <f t="shared" si="161"/>
        <v>0</v>
      </c>
      <c r="BB44" s="87">
        <f t="shared" si="161"/>
        <v>0</v>
      </c>
      <c r="BC44" s="87">
        <f t="shared" si="161"/>
        <v>0</v>
      </c>
      <c r="BD44" s="87">
        <f t="shared" si="161"/>
        <v>166612406</v>
      </c>
      <c r="BE44" s="87">
        <f t="shared" si="161"/>
        <v>3689885</v>
      </c>
      <c r="BF44" s="87">
        <f t="shared" si="161"/>
        <v>0</v>
      </c>
    </row>
    <row r="45" spans="1:58" ht="14.1" customHeight="1">
      <c r="A45" s="75">
        <f t="shared" si="16"/>
        <v>39</v>
      </c>
      <c r="B45" s="81" t="s">
        <v>758</v>
      </c>
      <c r="C45" s="80">
        <f t="shared" si="149"/>
        <v>-247128108.8899999</v>
      </c>
      <c r="D45" s="80">
        <f t="shared" ref="D45:I45" si="162">SUM(D43:D44)</f>
        <v>0</v>
      </c>
      <c r="E45" s="80">
        <f t="shared" si="162"/>
        <v>0</v>
      </c>
      <c r="F45" s="80">
        <f t="shared" si="162"/>
        <v>0</v>
      </c>
      <c r="G45" s="80">
        <f t="shared" si="162"/>
        <v>0</v>
      </c>
      <c r="H45" s="80">
        <f t="shared" si="162"/>
        <v>0</v>
      </c>
      <c r="I45" s="80">
        <f t="shared" si="162"/>
        <v>0</v>
      </c>
      <c r="J45" s="80">
        <f t="shared" ref="J45:V45" si="163">SUM(J43:J44)</f>
        <v>0</v>
      </c>
      <c r="K45" s="80">
        <f t="shared" si="163"/>
        <v>0</v>
      </c>
      <c r="L45" s="80">
        <f t="shared" si="163"/>
        <v>0</v>
      </c>
      <c r="M45" s="80">
        <f t="shared" si="163"/>
        <v>0</v>
      </c>
      <c r="N45" s="80">
        <f t="shared" si="163"/>
        <v>0</v>
      </c>
      <c r="O45" s="80">
        <f t="shared" si="163"/>
        <v>0</v>
      </c>
      <c r="P45" s="80">
        <f t="shared" si="163"/>
        <v>0</v>
      </c>
      <c r="Q45" s="80">
        <f t="shared" si="163"/>
        <v>0</v>
      </c>
      <c r="R45" s="80">
        <f t="shared" si="163"/>
        <v>0</v>
      </c>
      <c r="S45" s="80">
        <f t="shared" si="163"/>
        <v>0</v>
      </c>
      <c r="T45" s="80">
        <f t="shared" si="163"/>
        <v>0</v>
      </c>
      <c r="U45" s="80">
        <f t="shared" si="163"/>
        <v>20826262.540000044</v>
      </c>
      <c r="V45" s="80">
        <f t="shared" si="163"/>
        <v>0</v>
      </c>
      <c r="W45" s="80">
        <f>SUM(W43:W44)</f>
        <v>0</v>
      </c>
      <c r="X45" s="80">
        <f t="shared" ref="X45:AD45" si="164">SUM(X43:X44)</f>
        <v>0</v>
      </c>
      <c r="Y45" s="80">
        <f>SUM(Y43:Y44)</f>
        <v>0</v>
      </c>
      <c r="Z45" s="80">
        <f t="shared" si="164"/>
        <v>0</v>
      </c>
      <c r="AA45" s="80">
        <f t="shared" si="164"/>
        <v>0</v>
      </c>
      <c r="AB45" s="80">
        <f t="shared" si="164"/>
        <v>0</v>
      </c>
      <c r="AC45" s="80">
        <f t="shared" si="164"/>
        <v>0</v>
      </c>
      <c r="AD45" s="80">
        <f t="shared" si="164"/>
        <v>0</v>
      </c>
      <c r="AE45" s="80">
        <f>SUM(AE43:AE44)</f>
        <v>0</v>
      </c>
      <c r="AF45" s="80">
        <f>SUM(AF43:AF44)</f>
        <v>0</v>
      </c>
      <c r="AG45" s="80">
        <f>SUM(AG43:AG44)</f>
        <v>0</v>
      </c>
      <c r="AH45" s="80">
        <f t="shared" ref="AH45:AL45" si="165">SUM(AH43:AH44)</f>
        <v>0</v>
      </c>
      <c r="AI45" s="80">
        <f t="shared" si="165"/>
        <v>0</v>
      </c>
      <c r="AJ45" s="80">
        <f t="shared" si="165"/>
        <v>0</v>
      </c>
      <c r="AK45" s="80">
        <f t="shared" si="165"/>
        <v>0</v>
      </c>
      <c r="AL45" s="80">
        <f t="shared" si="165"/>
        <v>0</v>
      </c>
      <c r="AM45" s="80">
        <f>SUM(AM43:AM44)</f>
        <v>0</v>
      </c>
      <c r="AN45" s="80">
        <f>SUM(AN43:AN44)</f>
        <v>0</v>
      </c>
      <c r="AO45" s="80">
        <f>SUM(AO43:AO44)</f>
        <v>0</v>
      </c>
      <c r="AP45" s="80">
        <f>SUM(AP43:AP44)</f>
        <v>0</v>
      </c>
      <c r="AQ45" s="80">
        <f>SUM(AQ43:AQ44)</f>
        <v>0</v>
      </c>
      <c r="AR45" s="80">
        <f t="shared" ref="AR45" si="166">SUM(AR43:AR44)</f>
        <v>0</v>
      </c>
      <c r="AS45" s="80">
        <f>SUM(AS43:AS44)</f>
        <v>0</v>
      </c>
      <c r="AT45" s="80">
        <f t="shared" ref="AT45:AV45" si="167">SUM(AT43:AT44)</f>
        <v>0</v>
      </c>
      <c r="AU45" s="80">
        <f t="shared" si="167"/>
        <v>-127654870.42999995</v>
      </c>
      <c r="AV45" s="80">
        <f t="shared" si="167"/>
        <v>18000000</v>
      </c>
      <c r="AW45" s="80">
        <f>SUM(AW43:AW44)</f>
        <v>58243858.970000006</v>
      </c>
      <c r="AX45" s="80">
        <f t="shared" ref="AX45:BF45" si="168">SUM(AX43:AX44)</f>
        <v>-58243858.970000006</v>
      </c>
      <c r="AY45" s="80">
        <f t="shared" si="168"/>
        <v>0</v>
      </c>
      <c r="AZ45" s="80">
        <f t="shared" si="168"/>
        <v>0</v>
      </c>
      <c r="BA45" s="80">
        <f t="shared" si="168"/>
        <v>0</v>
      </c>
      <c r="BB45" s="80">
        <f t="shared" si="168"/>
        <v>0</v>
      </c>
      <c r="BC45" s="80">
        <f t="shared" si="168"/>
        <v>0</v>
      </c>
      <c r="BD45" s="80">
        <f t="shared" si="168"/>
        <v>-157958343</v>
      </c>
      <c r="BE45" s="80">
        <f t="shared" si="168"/>
        <v>-341158</v>
      </c>
      <c r="BF45" s="80">
        <f t="shared" si="168"/>
        <v>0</v>
      </c>
    </row>
    <row r="46" spans="1:58" ht="14.1" customHeight="1">
      <c r="A46" s="75">
        <f t="shared" si="16"/>
        <v>40</v>
      </c>
      <c r="B46" s="76" t="s">
        <v>201</v>
      </c>
      <c r="C46" s="80">
        <f t="shared" si="149"/>
        <v>801.20999999996275</v>
      </c>
      <c r="D46" s="87">
        <f t="shared" ref="D46:V46" si="169">D224</f>
        <v>0</v>
      </c>
      <c r="E46" s="87">
        <f t="shared" si="169"/>
        <v>0</v>
      </c>
      <c r="F46" s="87">
        <f t="shared" si="169"/>
        <v>0</v>
      </c>
      <c r="G46" s="87">
        <f t="shared" si="169"/>
        <v>0</v>
      </c>
      <c r="H46" s="87">
        <f t="shared" si="169"/>
        <v>0</v>
      </c>
      <c r="I46" s="87">
        <f t="shared" si="169"/>
        <v>0</v>
      </c>
      <c r="J46" s="87">
        <f t="shared" si="169"/>
        <v>0</v>
      </c>
      <c r="K46" s="87">
        <f t="shared" si="169"/>
        <v>0</v>
      </c>
      <c r="L46" s="87">
        <f t="shared" si="169"/>
        <v>0</v>
      </c>
      <c r="M46" s="87">
        <f t="shared" si="169"/>
        <v>0</v>
      </c>
      <c r="N46" s="87">
        <f t="shared" si="169"/>
        <v>0</v>
      </c>
      <c r="O46" s="87">
        <f t="shared" si="169"/>
        <v>0</v>
      </c>
      <c r="P46" s="87">
        <f t="shared" si="169"/>
        <v>0</v>
      </c>
      <c r="Q46" s="87">
        <f t="shared" si="169"/>
        <v>0</v>
      </c>
      <c r="R46" s="87">
        <f t="shared" si="169"/>
        <v>0</v>
      </c>
      <c r="S46" s="87">
        <f t="shared" si="169"/>
        <v>0</v>
      </c>
      <c r="T46" s="87">
        <f t="shared" si="169"/>
        <v>0</v>
      </c>
      <c r="U46" s="87">
        <f t="shared" si="169"/>
        <v>801.20999999996275</v>
      </c>
      <c r="V46" s="87">
        <f t="shared" si="169"/>
        <v>0</v>
      </c>
      <c r="W46" s="87">
        <f>W224</f>
        <v>0</v>
      </c>
      <c r="X46" s="87">
        <f t="shared" ref="X46:AD46" si="170">X224</f>
        <v>0</v>
      </c>
      <c r="Y46" s="87">
        <f>Y224</f>
        <v>0</v>
      </c>
      <c r="Z46" s="87">
        <f t="shared" si="170"/>
        <v>0</v>
      </c>
      <c r="AA46" s="87">
        <f t="shared" si="170"/>
        <v>0</v>
      </c>
      <c r="AB46" s="87">
        <f t="shared" si="170"/>
        <v>0</v>
      </c>
      <c r="AC46" s="87">
        <f t="shared" si="170"/>
        <v>0</v>
      </c>
      <c r="AD46" s="87">
        <f t="shared" si="170"/>
        <v>0</v>
      </c>
      <c r="AE46" s="87">
        <f>AE224</f>
        <v>0</v>
      </c>
      <c r="AF46" s="87">
        <f>AF224</f>
        <v>0</v>
      </c>
      <c r="AG46" s="87">
        <f>AG224</f>
        <v>0</v>
      </c>
      <c r="AH46" s="87">
        <f t="shared" ref="AH46:AL46" si="171">AH224</f>
        <v>0</v>
      </c>
      <c r="AI46" s="87">
        <f t="shared" si="171"/>
        <v>0</v>
      </c>
      <c r="AJ46" s="87">
        <f t="shared" si="171"/>
        <v>0</v>
      </c>
      <c r="AK46" s="87">
        <f t="shared" si="171"/>
        <v>0</v>
      </c>
      <c r="AL46" s="87">
        <f t="shared" si="171"/>
        <v>0</v>
      </c>
      <c r="AM46" s="87">
        <f>AM224</f>
        <v>0</v>
      </c>
      <c r="AN46" s="87">
        <f>AN224</f>
        <v>0</v>
      </c>
      <c r="AO46" s="87">
        <f>AO224</f>
        <v>0</v>
      </c>
      <c r="AP46" s="87">
        <f>AP224</f>
        <v>0</v>
      </c>
      <c r="AQ46" s="87">
        <f>AQ224</f>
        <v>0</v>
      </c>
      <c r="AR46" s="87">
        <f t="shared" ref="AR46" si="172">AR224</f>
        <v>0</v>
      </c>
      <c r="AS46" s="87">
        <f>AS224</f>
        <v>0</v>
      </c>
      <c r="AT46" s="87">
        <f t="shared" ref="AT46:AV46" si="173">AT224</f>
        <v>0</v>
      </c>
      <c r="AU46" s="87">
        <f t="shared" si="173"/>
        <v>0</v>
      </c>
      <c r="AV46" s="87">
        <f t="shared" si="173"/>
        <v>0</v>
      </c>
      <c r="AW46" s="87">
        <f>AW224</f>
        <v>0</v>
      </c>
      <c r="AX46" s="87">
        <f t="shared" ref="AX46:BF46" si="174">AX224</f>
        <v>0</v>
      </c>
      <c r="AY46" s="87">
        <f t="shared" si="174"/>
        <v>0</v>
      </c>
      <c r="AZ46" s="87">
        <f t="shared" si="174"/>
        <v>0</v>
      </c>
      <c r="BA46" s="87">
        <f t="shared" si="174"/>
        <v>0</v>
      </c>
      <c r="BB46" s="87">
        <f t="shared" si="174"/>
        <v>0</v>
      </c>
      <c r="BC46" s="87">
        <f t="shared" si="174"/>
        <v>0</v>
      </c>
      <c r="BD46" s="87">
        <f t="shared" si="174"/>
        <v>0</v>
      </c>
      <c r="BE46" s="87">
        <f t="shared" si="174"/>
        <v>0</v>
      </c>
      <c r="BF46" s="87">
        <f t="shared" si="174"/>
        <v>0</v>
      </c>
    </row>
    <row r="47" spans="1:58" ht="14.1" customHeight="1">
      <c r="A47" s="75">
        <f t="shared" si="16"/>
        <v>41</v>
      </c>
      <c r="B47" s="76" t="s">
        <v>202</v>
      </c>
      <c r="C47" s="80">
        <f t="shared" si="149"/>
        <v>28641.75</v>
      </c>
      <c r="D47" s="87">
        <f t="shared" ref="D47:V47" si="175">D235+D236</f>
        <v>0</v>
      </c>
      <c r="E47" s="87">
        <f t="shared" si="175"/>
        <v>0</v>
      </c>
      <c r="F47" s="87">
        <f t="shared" si="175"/>
        <v>0</v>
      </c>
      <c r="G47" s="87">
        <f t="shared" si="175"/>
        <v>0</v>
      </c>
      <c r="H47" s="87">
        <f t="shared" si="175"/>
        <v>0</v>
      </c>
      <c r="I47" s="87">
        <f t="shared" si="175"/>
        <v>0</v>
      </c>
      <c r="J47" s="87">
        <f t="shared" si="175"/>
        <v>0</v>
      </c>
      <c r="K47" s="87">
        <f t="shared" si="175"/>
        <v>0</v>
      </c>
      <c r="L47" s="87">
        <f t="shared" si="175"/>
        <v>0</v>
      </c>
      <c r="M47" s="87">
        <f t="shared" si="175"/>
        <v>0</v>
      </c>
      <c r="N47" s="87">
        <f t="shared" si="175"/>
        <v>0</v>
      </c>
      <c r="O47" s="87">
        <f t="shared" si="175"/>
        <v>0</v>
      </c>
      <c r="P47" s="87">
        <f t="shared" si="175"/>
        <v>0</v>
      </c>
      <c r="Q47" s="87">
        <f t="shared" si="175"/>
        <v>0</v>
      </c>
      <c r="R47" s="87">
        <f t="shared" si="175"/>
        <v>0</v>
      </c>
      <c r="S47" s="87">
        <f t="shared" si="175"/>
        <v>0</v>
      </c>
      <c r="T47" s="87">
        <f t="shared" si="175"/>
        <v>0</v>
      </c>
      <c r="U47" s="87">
        <f t="shared" si="175"/>
        <v>28641.75</v>
      </c>
      <c r="V47" s="87">
        <f t="shared" si="175"/>
        <v>0</v>
      </c>
      <c r="W47" s="87">
        <f>W235+W236</f>
        <v>0</v>
      </c>
      <c r="X47" s="87">
        <f t="shared" ref="X47:AD47" si="176">X235+X236</f>
        <v>0</v>
      </c>
      <c r="Y47" s="87">
        <f>Y235+Y236</f>
        <v>0</v>
      </c>
      <c r="Z47" s="87">
        <f t="shared" si="176"/>
        <v>0</v>
      </c>
      <c r="AA47" s="87">
        <f t="shared" si="176"/>
        <v>0</v>
      </c>
      <c r="AB47" s="87">
        <f t="shared" si="176"/>
        <v>0</v>
      </c>
      <c r="AC47" s="87">
        <f t="shared" si="176"/>
        <v>0</v>
      </c>
      <c r="AD47" s="87">
        <f t="shared" si="176"/>
        <v>0</v>
      </c>
      <c r="AE47" s="87">
        <f>AE235+AE236</f>
        <v>0</v>
      </c>
      <c r="AF47" s="87">
        <f>AF235+AF236</f>
        <v>0</v>
      </c>
      <c r="AG47" s="87">
        <f>AG235+AG236</f>
        <v>0</v>
      </c>
      <c r="AH47" s="87">
        <f t="shared" ref="AH47:AL47" si="177">AH235+AH236</f>
        <v>0</v>
      </c>
      <c r="AI47" s="87">
        <f t="shared" si="177"/>
        <v>0</v>
      </c>
      <c r="AJ47" s="87">
        <f t="shared" si="177"/>
        <v>0</v>
      </c>
      <c r="AK47" s="87">
        <f t="shared" si="177"/>
        <v>0</v>
      </c>
      <c r="AL47" s="87">
        <f t="shared" si="177"/>
        <v>0</v>
      </c>
      <c r="AM47" s="87">
        <f>AM235+AM236</f>
        <v>0</v>
      </c>
      <c r="AN47" s="87">
        <f>AN235+AN236</f>
        <v>0</v>
      </c>
      <c r="AO47" s="87">
        <f>AO235+AO236</f>
        <v>0</v>
      </c>
      <c r="AP47" s="87">
        <f>AP235+AP236</f>
        <v>0</v>
      </c>
      <c r="AQ47" s="87">
        <f>AQ235+AQ236</f>
        <v>0</v>
      </c>
      <c r="AR47" s="87">
        <f t="shared" ref="AR47" si="178">AR235+AR236</f>
        <v>0</v>
      </c>
      <c r="AS47" s="87">
        <f>AS235+AS236</f>
        <v>0</v>
      </c>
      <c r="AT47" s="87">
        <f t="shared" ref="AT47:AV47" si="179">AT235+AT236</f>
        <v>0</v>
      </c>
      <c r="AU47" s="87">
        <f t="shared" si="179"/>
        <v>0</v>
      </c>
      <c r="AV47" s="87">
        <f t="shared" si="179"/>
        <v>0</v>
      </c>
      <c r="AW47" s="87">
        <f>AW235+AW236</f>
        <v>0</v>
      </c>
      <c r="AX47" s="87">
        <f t="shared" ref="AX47:BF47" si="180">AX235+AX236</f>
        <v>0</v>
      </c>
      <c r="AY47" s="87">
        <f t="shared" si="180"/>
        <v>0</v>
      </c>
      <c r="AZ47" s="87">
        <f t="shared" si="180"/>
        <v>0</v>
      </c>
      <c r="BA47" s="87">
        <f t="shared" si="180"/>
        <v>0</v>
      </c>
      <c r="BB47" s="87">
        <f t="shared" si="180"/>
        <v>0</v>
      </c>
      <c r="BC47" s="87">
        <f t="shared" si="180"/>
        <v>0</v>
      </c>
      <c r="BD47" s="87">
        <f t="shared" si="180"/>
        <v>0</v>
      </c>
      <c r="BE47" s="87">
        <f t="shared" si="180"/>
        <v>0</v>
      </c>
      <c r="BF47" s="87">
        <f t="shared" si="180"/>
        <v>0</v>
      </c>
    </row>
    <row r="48" spans="1:58" ht="14.1" customHeight="1">
      <c r="A48" s="75">
        <f t="shared" si="16"/>
        <v>42</v>
      </c>
      <c r="B48" s="76" t="s">
        <v>203</v>
      </c>
      <c r="C48" s="80">
        <f t="shared" si="149"/>
        <v>184807.44199999282</v>
      </c>
      <c r="D48" s="87">
        <f t="shared" ref="D48:V48" si="181">SUM(D227:D231)</f>
        <v>0</v>
      </c>
      <c r="E48" s="87">
        <f t="shared" si="181"/>
        <v>0</v>
      </c>
      <c r="F48" s="87">
        <f t="shared" si="181"/>
        <v>0</v>
      </c>
      <c r="G48" s="87">
        <f t="shared" si="181"/>
        <v>0</v>
      </c>
      <c r="H48" s="87">
        <f t="shared" si="181"/>
        <v>0</v>
      </c>
      <c r="I48" s="87">
        <f t="shared" si="181"/>
        <v>0</v>
      </c>
      <c r="J48" s="87">
        <f t="shared" si="181"/>
        <v>0</v>
      </c>
      <c r="K48" s="87">
        <f t="shared" si="181"/>
        <v>0</v>
      </c>
      <c r="L48" s="87">
        <f t="shared" si="181"/>
        <v>0</v>
      </c>
      <c r="M48" s="87">
        <f t="shared" si="181"/>
        <v>0</v>
      </c>
      <c r="N48" s="87">
        <f t="shared" si="181"/>
        <v>0</v>
      </c>
      <c r="O48" s="87">
        <f t="shared" si="181"/>
        <v>0</v>
      </c>
      <c r="P48" s="87">
        <f t="shared" si="181"/>
        <v>0</v>
      </c>
      <c r="Q48" s="87">
        <f t="shared" si="181"/>
        <v>0</v>
      </c>
      <c r="R48" s="87">
        <f t="shared" si="181"/>
        <v>0</v>
      </c>
      <c r="S48" s="87">
        <f t="shared" si="181"/>
        <v>0</v>
      </c>
      <c r="T48" s="87">
        <f t="shared" si="181"/>
        <v>0</v>
      </c>
      <c r="U48" s="87">
        <f t="shared" si="181"/>
        <v>1209867.4419999928</v>
      </c>
      <c r="V48" s="87">
        <f t="shared" si="181"/>
        <v>0</v>
      </c>
      <c r="W48" s="87">
        <f>SUM(W227:W231)</f>
        <v>0</v>
      </c>
      <c r="X48" s="87">
        <f t="shared" ref="X48:AD48" si="182">SUM(X227:X231)</f>
        <v>0</v>
      </c>
      <c r="Y48" s="87">
        <f>SUM(Y227:Y231)</f>
        <v>0</v>
      </c>
      <c r="Z48" s="87">
        <f t="shared" si="182"/>
        <v>0</v>
      </c>
      <c r="AA48" s="87">
        <f t="shared" si="182"/>
        <v>0</v>
      </c>
      <c r="AB48" s="87">
        <f t="shared" si="182"/>
        <v>0</v>
      </c>
      <c r="AC48" s="87">
        <f t="shared" si="182"/>
        <v>0</v>
      </c>
      <c r="AD48" s="87">
        <f t="shared" si="182"/>
        <v>0</v>
      </c>
      <c r="AE48" s="87">
        <f>SUM(AE227:AE231)</f>
        <v>0</v>
      </c>
      <c r="AF48" s="87">
        <f>SUM(AF227:AF231)</f>
        <v>0</v>
      </c>
      <c r="AG48" s="87">
        <f>SUM(AG227:AG231)</f>
        <v>0</v>
      </c>
      <c r="AH48" s="87">
        <f t="shared" ref="AH48:AL48" si="183">SUM(AH227:AH231)</f>
        <v>0</v>
      </c>
      <c r="AI48" s="87">
        <f t="shared" si="183"/>
        <v>0</v>
      </c>
      <c r="AJ48" s="87">
        <f t="shared" si="183"/>
        <v>0</v>
      </c>
      <c r="AK48" s="87">
        <f t="shared" si="183"/>
        <v>0</v>
      </c>
      <c r="AL48" s="87">
        <f t="shared" si="183"/>
        <v>0</v>
      </c>
      <c r="AM48" s="87">
        <f>SUM(AM227:AM231)</f>
        <v>0</v>
      </c>
      <c r="AN48" s="87">
        <f>SUM(AN227:AN231)</f>
        <v>0</v>
      </c>
      <c r="AO48" s="87">
        <f>SUM(AO227:AO231)</f>
        <v>0</v>
      </c>
      <c r="AP48" s="87">
        <f>SUM(AP227:AP231)</f>
        <v>0</v>
      </c>
      <c r="AQ48" s="87">
        <f>SUM(AQ227:AQ231)</f>
        <v>0</v>
      </c>
      <c r="AR48" s="87">
        <f t="shared" ref="AR48" si="184">SUM(AR227:AR231)</f>
        <v>0</v>
      </c>
      <c r="AS48" s="87">
        <f>SUM(AS227:AS231)</f>
        <v>0</v>
      </c>
      <c r="AT48" s="87">
        <f t="shared" ref="AT48:AV48" si="185">SUM(AT227:AT231)</f>
        <v>0</v>
      </c>
      <c r="AU48" s="87">
        <f t="shared" si="185"/>
        <v>0</v>
      </c>
      <c r="AV48" s="87">
        <f t="shared" si="185"/>
        <v>0</v>
      </c>
      <c r="AW48" s="87">
        <f>SUM(AW227:AW231)</f>
        <v>0</v>
      </c>
      <c r="AX48" s="87">
        <f t="shared" ref="AX48:BF48" si="186">SUM(AX227:AX231)</f>
        <v>0</v>
      </c>
      <c r="AY48" s="87">
        <f t="shared" si="186"/>
        <v>0</v>
      </c>
      <c r="AZ48" s="87">
        <f t="shared" si="186"/>
        <v>0</v>
      </c>
      <c r="BA48" s="87">
        <f t="shared" si="186"/>
        <v>0</v>
      </c>
      <c r="BB48" s="87">
        <f t="shared" si="186"/>
        <v>0</v>
      </c>
      <c r="BC48" s="87">
        <f t="shared" si="186"/>
        <v>0</v>
      </c>
      <c r="BD48" s="87">
        <f t="shared" si="186"/>
        <v>-1025060</v>
      </c>
      <c r="BE48" s="87">
        <f t="shared" si="186"/>
        <v>0</v>
      </c>
      <c r="BF48" s="87">
        <f t="shared" si="186"/>
        <v>0</v>
      </c>
    </row>
    <row r="49" spans="1:59" ht="14.1" customHeight="1">
      <c r="A49" s="75">
        <f t="shared" si="16"/>
        <v>43</v>
      </c>
      <c r="B49" s="76" t="s">
        <v>204</v>
      </c>
      <c r="C49" s="80">
        <f t="shared" si="149"/>
        <v>-60772164.879299641</v>
      </c>
      <c r="D49" s="87">
        <f t="shared" ref="D49:V49" si="187">D442</f>
        <v>0</v>
      </c>
      <c r="E49" s="87">
        <f t="shared" si="187"/>
        <v>0</v>
      </c>
      <c r="F49" s="87">
        <f t="shared" si="187"/>
        <v>0</v>
      </c>
      <c r="G49" s="87">
        <f t="shared" si="187"/>
        <v>0</v>
      </c>
      <c r="H49" s="87">
        <f t="shared" si="187"/>
        <v>0</v>
      </c>
      <c r="I49" s="87">
        <f t="shared" si="187"/>
        <v>0</v>
      </c>
      <c r="J49" s="87">
        <f t="shared" si="187"/>
        <v>0</v>
      </c>
      <c r="K49" s="87">
        <f t="shared" si="187"/>
        <v>0</v>
      </c>
      <c r="L49" s="87">
        <f t="shared" si="187"/>
        <v>0</v>
      </c>
      <c r="M49" s="87">
        <f t="shared" si="187"/>
        <v>0</v>
      </c>
      <c r="N49" s="87">
        <f t="shared" si="187"/>
        <v>0</v>
      </c>
      <c r="O49" s="87">
        <f t="shared" si="187"/>
        <v>0</v>
      </c>
      <c r="P49" s="87">
        <f t="shared" si="187"/>
        <v>0</v>
      </c>
      <c r="Q49" s="87">
        <f t="shared" si="187"/>
        <v>0</v>
      </c>
      <c r="R49" s="87">
        <f t="shared" si="187"/>
        <v>0</v>
      </c>
      <c r="S49" s="87">
        <f t="shared" si="187"/>
        <v>0</v>
      </c>
      <c r="T49" s="87">
        <f t="shared" si="187"/>
        <v>0</v>
      </c>
      <c r="U49" s="87">
        <f t="shared" si="187"/>
        <v>0</v>
      </c>
      <c r="V49" s="87">
        <f t="shared" si="187"/>
        <v>0</v>
      </c>
      <c r="W49" s="87">
        <f>W442</f>
        <v>0</v>
      </c>
      <c r="X49" s="87">
        <f t="shared" ref="X49:AD49" si="188">X442</f>
        <v>0</v>
      </c>
      <c r="Y49" s="87">
        <f>Y442</f>
        <v>0</v>
      </c>
      <c r="Z49" s="87">
        <f t="shared" si="188"/>
        <v>0</v>
      </c>
      <c r="AA49" s="87">
        <f t="shared" si="188"/>
        <v>0</v>
      </c>
      <c r="AB49" s="87">
        <f t="shared" si="188"/>
        <v>0</v>
      </c>
      <c r="AC49" s="87">
        <f t="shared" si="188"/>
        <v>0</v>
      </c>
      <c r="AD49" s="87">
        <f t="shared" si="188"/>
        <v>0</v>
      </c>
      <c r="AE49" s="87">
        <f>AE442</f>
        <v>0</v>
      </c>
      <c r="AF49" s="87">
        <f>AF442</f>
        <v>0</v>
      </c>
      <c r="AG49" s="87">
        <f>AG442</f>
        <v>0</v>
      </c>
      <c r="AH49" s="87">
        <f t="shared" ref="AH49:AL49" si="189">AH442</f>
        <v>0</v>
      </c>
      <c r="AI49" s="87">
        <f t="shared" si="189"/>
        <v>0</v>
      </c>
      <c r="AJ49" s="87">
        <f t="shared" si="189"/>
        <v>0</v>
      </c>
      <c r="AK49" s="87">
        <f t="shared" si="189"/>
        <v>0</v>
      </c>
      <c r="AL49" s="87">
        <f t="shared" si="189"/>
        <v>0</v>
      </c>
      <c r="AM49" s="87">
        <f>AM442</f>
        <v>0</v>
      </c>
      <c r="AN49" s="87">
        <f>AN442</f>
        <v>0</v>
      </c>
      <c r="AO49" s="87">
        <f>AO442</f>
        <v>0</v>
      </c>
      <c r="AP49" s="87">
        <f>AP442</f>
        <v>0</v>
      </c>
      <c r="AQ49" s="87">
        <f>AQ442</f>
        <v>0</v>
      </c>
      <c r="AR49" s="87">
        <f t="shared" ref="AR49" si="190">AR442</f>
        <v>0</v>
      </c>
      <c r="AS49" s="87">
        <f>AS442</f>
        <v>0</v>
      </c>
      <c r="AT49" s="87">
        <f t="shared" ref="AT49:AV49" si="191">AT442</f>
        <v>0</v>
      </c>
      <c r="AU49" s="87">
        <f t="shared" si="191"/>
        <v>0</v>
      </c>
      <c r="AV49" s="87">
        <f t="shared" si="191"/>
        <v>0</v>
      </c>
      <c r="AW49" s="87">
        <f>AW442</f>
        <v>0</v>
      </c>
      <c r="AX49" s="87">
        <f t="shared" ref="AX49:BF49" si="192">AX442</f>
        <v>0</v>
      </c>
      <c r="AY49" s="87">
        <f t="shared" si="192"/>
        <v>0</v>
      </c>
      <c r="AZ49" s="87">
        <f t="shared" si="192"/>
        <v>0</v>
      </c>
      <c r="BA49" s="87">
        <f t="shared" si="192"/>
        <v>0</v>
      </c>
      <c r="BB49" s="87">
        <f t="shared" si="192"/>
        <v>0</v>
      </c>
      <c r="BC49" s="87">
        <f t="shared" si="192"/>
        <v>-60772164.879299641</v>
      </c>
      <c r="BD49" s="87">
        <f t="shared" si="192"/>
        <v>0</v>
      </c>
      <c r="BE49" s="87">
        <f t="shared" si="192"/>
        <v>0</v>
      </c>
      <c r="BF49" s="87">
        <f t="shared" si="192"/>
        <v>0</v>
      </c>
    </row>
    <row r="50" spans="1:59" ht="14.1" customHeight="1">
      <c r="A50" s="75">
        <f t="shared" si="16"/>
        <v>44</v>
      </c>
      <c r="B50" s="76" t="s">
        <v>759</v>
      </c>
      <c r="C50" s="80">
        <f t="shared" si="149"/>
        <v>1649477.659999996</v>
      </c>
      <c r="D50" s="87">
        <f t="shared" ref="D50:V50" si="193">D201+D205+D209+D213</f>
        <v>0</v>
      </c>
      <c r="E50" s="87">
        <f t="shared" si="193"/>
        <v>0</v>
      </c>
      <c r="F50" s="87">
        <f t="shared" si="193"/>
        <v>0</v>
      </c>
      <c r="G50" s="87">
        <f t="shared" si="193"/>
        <v>0</v>
      </c>
      <c r="H50" s="87">
        <f t="shared" si="193"/>
        <v>0</v>
      </c>
      <c r="I50" s="87">
        <f t="shared" si="193"/>
        <v>0</v>
      </c>
      <c r="J50" s="87">
        <f t="shared" si="193"/>
        <v>0</v>
      </c>
      <c r="K50" s="87">
        <f t="shared" si="193"/>
        <v>0</v>
      </c>
      <c r="L50" s="87">
        <f t="shared" si="193"/>
        <v>0</v>
      </c>
      <c r="M50" s="87">
        <f t="shared" si="193"/>
        <v>0</v>
      </c>
      <c r="N50" s="87">
        <f t="shared" si="193"/>
        <v>0</v>
      </c>
      <c r="O50" s="87">
        <f t="shared" si="193"/>
        <v>0</v>
      </c>
      <c r="P50" s="87">
        <f t="shared" si="193"/>
        <v>0</v>
      </c>
      <c r="Q50" s="87">
        <f t="shared" si="193"/>
        <v>0</v>
      </c>
      <c r="R50" s="87">
        <f t="shared" si="193"/>
        <v>0</v>
      </c>
      <c r="S50" s="87">
        <f t="shared" si="193"/>
        <v>0</v>
      </c>
      <c r="T50" s="87">
        <f t="shared" si="193"/>
        <v>0</v>
      </c>
      <c r="U50" s="87">
        <f t="shared" si="193"/>
        <v>1649477.659999996</v>
      </c>
      <c r="V50" s="87">
        <f t="shared" si="193"/>
        <v>0</v>
      </c>
      <c r="W50" s="87">
        <f>W201+W205+W209+W213</f>
        <v>0</v>
      </c>
      <c r="X50" s="87">
        <f t="shared" ref="X50:AD50" si="194">X201+X205+X209+X213</f>
        <v>0</v>
      </c>
      <c r="Y50" s="87">
        <f>Y201+Y205+Y209+Y213</f>
        <v>0</v>
      </c>
      <c r="Z50" s="87">
        <f t="shared" si="194"/>
        <v>0</v>
      </c>
      <c r="AA50" s="87">
        <f t="shared" si="194"/>
        <v>0</v>
      </c>
      <c r="AB50" s="87">
        <f t="shared" si="194"/>
        <v>0</v>
      </c>
      <c r="AC50" s="87">
        <f t="shared" si="194"/>
        <v>0</v>
      </c>
      <c r="AD50" s="87">
        <f t="shared" si="194"/>
        <v>0</v>
      </c>
      <c r="AE50" s="87">
        <f>AE201+AE205+AE209+AE213</f>
        <v>0</v>
      </c>
      <c r="AF50" s="87">
        <f>AF201+AF205+AF209+AF213</f>
        <v>0</v>
      </c>
      <c r="AG50" s="87">
        <f>AG201+AG205+AG209+AG213</f>
        <v>0</v>
      </c>
      <c r="AH50" s="87">
        <f t="shared" ref="AH50:AL50" si="195">AH201+AH205+AH209+AH213</f>
        <v>0</v>
      </c>
      <c r="AI50" s="87">
        <f t="shared" si="195"/>
        <v>0</v>
      </c>
      <c r="AJ50" s="87">
        <f t="shared" si="195"/>
        <v>0</v>
      </c>
      <c r="AK50" s="87">
        <f t="shared" si="195"/>
        <v>0</v>
      </c>
      <c r="AL50" s="87">
        <f t="shared" si="195"/>
        <v>0</v>
      </c>
      <c r="AM50" s="87">
        <f>AM201+AM205+AM209+AM213</f>
        <v>0</v>
      </c>
      <c r="AN50" s="87">
        <f>AN201+AN205+AN209+AN213</f>
        <v>0</v>
      </c>
      <c r="AO50" s="87">
        <f>AO201+AO205+AO209+AO213</f>
        <v>0</v>
      </c>
      <c r="AP50" s="87">
        <f>AP201+AP205+AP209+AP213</f>
        <v>0</v>
      </c>
      <c r="AQ50" s="87">
        <f>AQ201+AQ205+AQ209+AQ213</f>
        <v>0</v>
      </c>
      <c r="AR50" s="87">
        <f t="shared" ref="AR50" si="196">AR201+AR205+AR209+AR213</f>
        <v>0</v>
      </c>
      <c r="AS50" s="87">
        <f>AS201+AS205+AS209+AS213</f>
        <v>0</v>
      </c>
      <c r="AT50" s="87">
        <f t="shared" ref="AT50:AV50" si="197">AT201+AT205+AT209+AT213</f>
        <v>0</v>
      </c>
      <c r="AU50" s="87">
        <f t="shared" si="197"/>
        <v>0</v>
      </c>
      <c r="AV50" s="87">
        <f t="shared" si="197"/>
        <v>0</v>
      </c>
      <c r="AW50" s="87">
        <f>AW201+AW205+AW209+AW213</f>
        <v>0</v>
      </c>
      <c r="AX50" s="87">
        <f t="shared" ref="AX50:BF50" si="198">AX201+AX205+AX209+AX213</f>
        <v>0</v>
      </c>
      <c r="AY50" s="87">
        <f t="shared" si="198"/>
        <v>0</v>
      </c>
      <c r="AZ50" s="87">
        <f t="shared" si="198"/>
        <v>0</v>
      </c>
      <c r="BA50" s="87">
        <f t="shared" si="198"/>
        <v>0</v>
      </c>
      <c r="BB50" s="87">
        <f t="shared" si="198"/>
        <v>0</v>
      </c>
      <c r="BC50" s="87">
        <f t="shared" si="198"/>
        <v>0</v>
      </c>
      <c r="BD50" s="87">
        <f t="shared" si="198"/>
        <v>0</v>
      </c>
      <c r="BE50" s="87">
        <f t="shared" si="198"/>
        <v>0</v>
      </c>
      <c r="BF50" s="87">
        <f t="shared" si="198"/>
        <v>0</v>
      </c>
    </row>
    <row r="51" spans="1:59" ht="14.1" customHeight="1">
      <c r="A51" s="75">
        <f t="shared" si="16"/>
        <v>45</v>
      </c>
      <c r="B51" s="76" t="s">
        <v>206</v>
      </c>
      <c r="C51" s="80">
        <f t="shared" si="149"/>
        <v>10000000</v>
      </c>
      <c r="D51" s="87">
        <f t="shared" ref="D51:BG51" si="199">(D244+D245+D246+D247)</f>
        <v>0</v>
      </c>
      <c r="E51" s="87">
        <f t="shared" si="199"/>
        <v>0</v>
      </c>
      <c r="F51" s="87">
        <f t="shared" si="199"/>
        <v>0</v>
      </c>
      <c r="G51" s="87">
        <f t="shared" si="199"/>
        <v>0</v>
      </c>
      <c r="H51" s="87">
        <f t="shared" si="199"/>
        <v>0</v>
      </c>
      <c r="I51" s="87">
        <f t="shared" si="199"/>
        <v>0</v>
      </c>
      <c r="J51" s="87">
        <f t="shared" si="199"/>
        <v>0</v>
      </c>
      <c r="K51" s="87">
        <f t="shared" si="199"/>
        <v>0</v>
      </c>
      <c r="L51" s="87">
        <f t="shared" si="199"/>
        <v>0</v>
      </c>
      <c r="M51" s="87">
        <f t="shared" si="199"/>
        <v>0</v>
      </c>
      <c r="N51" s="87">
        <f t="shared" si="199"/>
        <v>0</v>
      </c>
      <c r="O51" s="87">
        <f t="shared" si="199"/>
        <v>0</v>
      </c>
      <c r="P51" s="87">
        <f t="shared" si="199"/>
        <v>0</v>
      </c>
      <c r="Q51" s="87">
        <f t="shared" si="199"/>
        <v>0</v>
      </c>
      <c r="R51" s="87">
        <f t="shared" si="199"/>
        <v>0</v>
      </c>
      <c r="S51" s="87">
        <f t="shared" si="199"/>
        <v>0</v>
      </c>
      <c r="T51" s="87">
        <f t="shared" si="199"/>
        <v>0</v>
      </c>
      <c r="U51" s="87">
        <f t="shared" si="199"/>
        <v>0</v>
      </c>
      <c r="V51" s="87">
        <f t="shared" si="199"/>
        <v>0</v>
      </c>
      <c r="W51" s="87">
        <f t="shared" si="199"/>
        <v>0</v>
      </c>
      <c r="X51" s="87">
        <f t="shared" si="199"/>
        <v>0</v>
      </c>
      <c r="Y51" s="87">
        <f t="shared" si="199"/>
        <v>0</v>
      </c>
      <c r="Z51" s="87">
        <f t="shared" si="199"/>
        <v>0</v>
      </c>
      <c r="AA51" s="87">
        <f t="shared" si="199"/>
        <v>0</v>
      </c>
      <c r="AB51" s="87">
        <f t="shared" si="199"/>
        <v>0</v>
      </c>
      <c r="AC51" s="87">
        <f t="shared" si="199"/>
        <v>0</v>
      </c>
      <c r="AD51" s="87">
        <f t="shared" si="199"/>
        <v>0</v>
      </c>
      <c r="AE51" s="87">
        <f t="shared" si="199"/>
        <v>0</v>
      </c>
      <c r="AF51" s="87">
        <f t="shared" si="199"/>
        <v>0</v>
      </c>
      <c r="AG51" s="87">
        <f t="shared" si="199"/>
        <v>0</v>
      </c>
      <c r="AH51" s="87">
        <f t="shared" si="199"/>
        <v>0</v>
      </c>
      <c r="AI51" s="87">
        <f t="shared" si="199"/>
        <v>0</v>
      </c>
      <c r="AJ51" s="87">
        <f t="shared" si="199"/>
        <v>0</v>
      </c>
      <c r="AK51" s="87">
        <f t="shared" si="199"/>
        <v>0</v>
      </c>
      <c r="AL51" s="87">
        <f t="shared" si="199"/>
        <v>0</v>
      </c>
      <c r="AM51" s="87">
        <f t="shared" si="199"/>
        <v>0</v>
      </c>
      <c r="AN51" s="87">
        <f t="shared" si="199"/>
        <v>0</v>
      </c>
      <c r="AO51" s="87">
        <f t="shared" si="199"/>
        <v>0</v>
      </c>
      <c r="AP51" s="87">
        <f t="shared" si="199"/>
        <v>0</v>
      </c>
      <c r="AQ51" s="87">
        <f t="shared" si="199"/>
        <v>0</v>
      </c>
      <c r="AR51" s="87">
        <f t="shared" si="199"/>
        <v>0</v>
      </c>
      <c r="AS51" s="87">
        <f t="shared" si="199"/>
        <v>0</v>
      </c>
      <c r="AT51" s="87">
        <f t="shared" si="199"/>
        <v>0</v>
      </c>
      <c r="AU51" s="87">
        <f t="shared" si="199"/>
        <v>0</v>
      </c>
      <c r="AV51" s="87">
        <f t="shared" si="199"/>
        <v>0</v>
      </c>
      <c r="AW51" s="87">
        <f t="shared" si="199"/>
        <v>0</v>
      </c>
      <c r="AX51" s="87">
        <f t="shared" si="199"/>
        <v>0</v>
      </c>
      <c r="AY51" s="87">
        <f t="shared" si="199"/>
        <v>10000000</v>
      </c>
      <c r="AZ51" s="87">
        <f t="shared" si="199"/>
        <v>0</v>
      </c>
      <c r="BA51" s="87">
        <f t="shared" si="199"/>
        <v>0</v>
      </c>
      <c r="BB51" s="87">
        <f t="shared" si="199"/>
        <v>0</v>
      </c>
      <c r="BC51" s="87">
        <f t="shared" si="199"/>
        <v>0</v>
      </c>
      <c r="BD51" s="87">
        <f t="shared" si="199"/>
        <v>0</v>
      </c>
      <c r="BE51" s="87">
        <f t="shared" si="199"/>
        <v>0</v>
      </c>
      <c r="BF51" s="87">
        <f>(BF244+BF245+BF246+BF247)</f>
        <v>0</v>
      </c>
      <c r="BG51" s="87">
        <f t="shared" si="199"/>
        <v>0</v>
      </c>
    </row>
    <row r="52" spans="1:59" ht="14.1" customHeight="1">
      <c r="A52" s="75">
        <f t="shared" si="16"/>
        <v>46</v>
      </c>
      <c r="B52" s="90" t="s">
        <v>207</v>
      </c>
      <c r="C52" s="91">
        <f t="shared" si="149"/>
        <v>93977971.09415172</v>
      </c>
      <c r="D52" s="92">
        <f t="shared" ref="D52:V52" si="200">D241</f>
        <v>0</v>
      </c>
      <c r="E52" s="92">
        <f t="shared" si="200"/>
        <v>0</v>
      </c>
      <c r="F52" s="92">
        <f t="shared" si="200"/>
        <v>0</v>
      </c>
      <c r="G52" s="92">
        <f t="shared" si="200"/>
        <v>0</v>
      </c>
      <c r="H52" s="92">
        <f t="shared" si="200"/>
        <v>0</v>
      </c>
      <c r="I52" s="92">
        <f t="shared" si="200"/>
        <v>0</v>
      </c>
      <c r="J52" s="92">
        <f t="shared" si="200"/>
        <v>0</v>
      </c>
      <c r="K52" s="92">
        <f t="shared" si="200"/>
        <v>0</v>
      </c>
      <c r="L52" s="92">
        <f t="shared" si="200"/>
        <v>0</v>
      </c>
      <c r="M52" s="92">
        <f t="shared" si="200"/>
        <v>0</v>
      </c>
      <c r="N52" s="92">
        <f t="shared" si="200"/>
        <v>0</v>
      </c>
      <c r="O52" s="92">
        <f t="shared" si="200"/>
        <v>0</v>
      </c>
      <c r="P52" s="92">
        <f t="shared" si="200"/>
        <v>0</v>
      </c>
      <c r="Q52" s="92">
        <f t="shared" si="200"/>
        <v>0</v>
      </c>
      <c r="R52" s="92">
        <f t="shared" si="200"/>
        <v>0</v>
      </c>
      <c r="S52" s="92">
        <f t="shared" si="200"/>
        <v>0</v>
      </c>
      <c r="T52" s="92">
        <f t="shared" si="200"/>
        <v>0</v>
      </c>
      <c r="U52" s="92">
        <f t="shared" si="200"/>
        <v>-5514295.8700000355</v>
      </c>
      <c r="V52" s="92">
        <f t="shared" si="200"/>
        <v>0</v>
      </c>
      <c r="W52" s="92">
        <f>W241</f>
        <v>0</v>
      </c>
      <c r="X52" s="92">
        <f t="shared" ref="X52:AD52" si="201">X241</f>
        <v>0</v>
      </c>
      <c r="Y52" s="92">
        <f>Y241</f>
        <v>0</v>
      </c>
      <c r="Z52" s="92">
        <f t="shared" si="201"/>
        <v>0</v>
      </c>
      <c r="AA52" s="92">
        <f t="shared" si="201"/>
        <v>0</v>
      </c>
      <c r="AB52" s="92">
        <f t="shared" si="201"/>
        <v>0</v>
      </c>
      <c r="AC52" s="92">
        <f t="shared" si="201"/>
        <v>0</v>
      </c>
      <c r="AD52" s="92">
        <f t="shared" si="201"/>
        <v>0</v>
      </c>
      <c r="AE52" s="92">
        <f>AE241</f>
        <v>0</v>
      </c>
      <c r="AF52" s="92">
        <f>AF241</f>
        <v>0</v>
      </c>
      <c r="AG52" s="92">
        <f>AG241</f>
        <v>0</v>
      </c>
      <c r="AH52" s="92">
        <f t="shared" ref="AH52:AV52" si="202">AH241</f>
        <v>0</v>
      </c>
      <c r="AI52" s="92">
        <f t="shared" si="202"/>
        <v>0</v>
      </c>
      <c r="AJ52" s="92">
        <f t="shared" si="202"/>
        <v>0</v>
      </c>
      <c r="AK52" s="92">
        <f t="shared" si="202"/>
        <v>0</v>
      </c>
      <c r="AL52" s="92">
        <f t="shared" si="202"/>
        <v>0</v>
      </c>
      <c r="AM52" s="92">
        <f t="shared" si="202"/>
        <v>0</v>
      </c>
      <c r="AN52" s="92">
        <f t="shared" si="202"/>
        <v>0</v>
      </c>
      <c r="AO52" s="92">
        <f t="shared" si="202"/>
        <v>0</v>
      </c>
      <c r="AP52" s="92">
        <f t="shared" si="202"/>
        <v>0</v>
      </c>
      <c r="AQ52" s="92">
        <f t="shared" si="202"/>
        <v>0</v>
      </c>
      <c r="AR52" s="92">
        <f t="shared" si="202"/>
        <v>0</v>
      </c>
      <c r="AS52" s="92">
        <f t="shared" si="202"/>
        <v>0</v>
      </c>
      <c r="AT52" s="92">
        <f t="shared" si="202"/>
        <v>0</v>
      </c>
      <c r="AU52" s="92">
        <f t="shared" si="202"/>
        <v>0</v>
      </c>
      <c r="AV52" s="92">
        <f t="shared" si="202"/>
        <v>0</v>
      </c>
      <c r="AW52" s="92">
        <f>AW241</f>
        <v>0</v>
      </c>
      <c r="AX52" s="92">
        <f t="shared" ref="AX52:BF52" si="203">AX241</f>
        <v>0</v>
      </c>
      <c r="AY52" s="92">
        <f t="shared" si="203"/>
        <v>0</v>
      </c>
      <c r="AZ52" s="92">
        <f t="shared" si="203"/>
        <v>0</v>
      </c>
      <c r="BA52" s="92">
        <f t="shared" si="203"/>
        <v>0</v>
      </c>
      <c r="BB52" s="92">
        <f t="shared" si="203"/>
        <v>54614594.964151755</v>
      </c>
      <c r="BC52" s="92">
        <f t="shared" si="203"/>
        <v>0</v>
      </c>
      <c r="BD52" s="92">
        <f t="shared" si="203"/>
        <v>44877672</v>
      </c>
      <c r="BE52" s="92">
        <f t="shared" si="203"/>
        <v>0</v>
      </c>
      <c r="BF52" s="92">
        <f t="shared" si="203"/>
        <v>0</v>
      </c>
    </row>
    <row r="53" spans="1:59" s="95" customFormat="1" ht="18" customHeight="1" thickBot="1">
      <c r="A53" s="75">
        <f t="shared" si="16"/>
        <v>47</v>
      </c>
      <c r="B53" s="102" t="s">
        <v>208</v>
      </c>
      <c r="C53" s="103">
        <f t="shared" ref="C53:I53" si="204">SUM(C45:C52)</f>
        <v>-202058574.61314785</v>
      </c>
      <c r="D53" s="103">
        <f t="shared" si="204"/>
        <v>0</v>
      </c>
      <c r="E53" s="103">
        <f t="shared" si="204"/>
        <v>0</v>
      </c>
      <c r="F53" s="103">
        <f t="shared" si="204"/>
        <v>0</v>
      </c>
      <c r="G53" s="103">
        <f t="shared" si="204"/>
        <v>0</v>
      </c>
      <c r="H53" s="103">
        <f t="shared" si="204"/>
        <v>0</v>
      </c>
      <c r="I53" s="103">
        <f t="shared" si="204"/>
        <v>0</v>
      </c>
      <c r="J53" s="103">
        <f t="shared" ref="J53:V53" si="205">SUM(J45:J52)</f>
        <v>0</v>
      </c>
      <c r="K53" s="103">
        <f t="shared" si="205"/>
        <v>0</v>
      </c>
      <c r="L53" s="103">
        <f t="shared" si="205"/>
        <v>0</v>
      </c>
      <c r="M53" s="103">
        <f t="shared" si="205"/>
        <v>0</v>
      </c>
      <c r="N53" s="103">
        <f t="shared" si="205"/>
        <v>0</v>
      </c>
      <c r="O53" s="103">
        <f t="shared" si="205"/>
        <v>0</v>
      </c>
      <c r="P53" s="103">
        <f t="shared" si="205"/>
        <v>0</v>
      </c>
      <c r="Q53" s="103">
        <f t="shared" si="205"/>
        <v>0</v>
      </c>
      <c r="R53" s="103">
        <f t="shared" si="205"/>
        <v>0</v>
      </c>
      <c r="S53" s="103">
        <f t="shared" si="205"/>
        <v>0</v>
      </c>
      <c r="T53" s="103">
        <f t="shared" si="205"/>
        <v>0</v>
      </c>
      <c r="U53" s="103">
        <f t="shared" si="205"/>
        <v>18200754.732000001</v>
      </c>
      <c r="V53" s="103">
        <f t="shared" si="205"/>
        <v>0</v>
      </c>
      <c r="W53" s="103">
        <f>SUM(W45:W52)</f>
        <v>0</v>
      </c>
      <c r="X53" s="103">
        <f t="shared" ref="X53:AD53" si="206">SUM(X45:X52)</f>
        <v>0</v>
      </c>
      <c r="Y53" s="103">
        <f>SUM(Y45:Y52)</f>
        <v>0</v>
      </c>
      <c r="Z53" s="103">
        <f t="shared" si="206"/>
        <v>0</v>
      </c>
      <c r="AA53" s="103">
        <f t="shared" si="206"/>
        <v>0</v>
      </c>
      <c r="AB53" s="103">
        <f t="shared" si="206"/>
        <v>0</v>
      </c>
      <c r="AC53" s="103">
        <f t="shared" si="206"/>
        <v>0</v>
      </c>
      <c r="AD53" s="103">
        <f t="shared" si="206"/>
        <v>0</v>
      </c>
      <c r="AE53" s="103">
        <f>SUM(AE45:AE52)</f>
        <v>0</v>
      </c>
      <c r="AF53" s="103">
        <f>SUM(AF45:AF52)</f>
        <v>0</v>
      </c>
      <c r="AG53" s="103">
        <f>SUM(AG45:AG52)</f>
        <v>0</v>
      </c>
      <c r="AH53" s="103">
        <f t="shared" ref="AH53:AL53" si="207">SUM(AH45:AH52)</f>
        <v>0</v>
      </c>
      <c r="AI53" s="103">
        <f t="shared" si="207"/>
        <v>0</v>
      </c>
      <c r="AJ53" s="103">
        <f t="shared" si="207"/>
        <v>0</v>
      </c>
      <c r="AK53" s="103">
        <f t="shared" si="207"/>
        <v>0</v>
      </c>
      <c r="AL53" s="103">
        <f t="shared" si="207"/>
        <v>0</v>
      </c>
      <c r="AM53" s="103">
        <f>SUM(AM45:AM52)</f>
        <v>0</v>
      </c>
      <c r="AN53" s="103">
        <f>SUM(AN45:AN52)</f>
        <v>0</v>
      </c>
      <c r="AO53" s="103">
        <f>SUM(AO45:AO52)</f>
        <v>0</v>
      </c>
      <c r="AP53" s="103">
        <f>SUM(AP45:AP52)</f>
        <v>0</v>
      </c>
      <c r="AQ53" s="103">
        <f>SUM(AQ45:AQ52)</f>
        <v>0</v>
      </c>
      <c r="AR53" s="103">
        <f t="shared" ref="AR53" si="208">SUM(AR45:AR52)</f>
        <v>0</v>
      </c>
      <c r="AS53" s="103">
        <f>SUM(AS45:AS52)</f>
        <v>0</v>
      </c>
      <c r="AT53" s="103">
        <f t="shared" ref="AT53:AV53" si="209">SUM(AT45:AT52)</f>
        <v>0</v>
      </c>
      <c r="AU53" s="103">
        <f t="shared" si="209"/>
        <v>-127654870.42999995</v>
      </c>
      <c r="AV53" s="103">
        <f t="shared" si="209"/>
        <v>18000000</v>
      </c>
      <c r="AW53" s="103">
        <f>SUM(AW45:AW52)</f>
        <v>58243858.970000006</v>
      </c>
      <c r="AX53" s="103">
        <f t="shared" ref="AX53:BF53" si="210">SUM(AX45:AX52)</f>
        <v>-58243858.970000006</v>
      </c>
      <c r="AY53" s="103">
        <f t="shared" si="210"/>
        <v>10000000</v>
      </c>
      <c r="AZ53" s="103">
        <f t="shared" si="210"/>
        <v>0</v>
      </c>
      <c r="BA53" s="103">
        <f t="shared" si="210"/>
        <v>0</v>
      </c>
      <c r="BB53" s="103">
        <f t="shared" si="210"/>
        <v>54614594.964151755</v>
      </c>
      <c r="BC53" s="103">
        <f t="shared" si="210"/>
        <v>-60772164.879299641</v>
      </c>
      <c r="BD53" s="103">
        <f t="shared" si="210"/>
        <v>-114105731</v>
      </c>
      <c r="BE53" s="103">
        <f t="shared" si="210"/>
        <v>-341158</v>
      </c>
      <c r="BF53" s="103">
        <f t="shared" si="210"/>
        <v>0</v>
      </c>
    </row>
    <row r="54" spans="1:59" s="95" customFormat="1" ht="14.1" customHeight="1" thickTop="1">
      <c r="A54" s="75">
        <f t="shared" si="16"/>
        <v>48</v>
      </c>
      <c r="B54" s="96"/>
      <c r="C54" s="10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row>
    <row r="55" spans="1:59" s="95" customFormat="1" ht="14.1" customHeight="1">
      <c r="A55" s="75">
        <f t="shared" si="16"/>
        <v>49</v>
      </c>
      <c r="B55" s="93"/>
      <c r="C55" s="93"/>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row>
    <row r="56" spans="1:59" s="95" customFormat="1" ht="14.1" customHeight="1">
      <c r="A56" s="75">
        <f t="shared" si="16"/>
        <v>50</v>
      </c>
      <c r="B56" s="96"/>
      <c r="C56" s="9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106"/>
      <c r="AJ56" s="106"/>
      <c r="AK56" s="106"/>
      <c r="AL56" s="106"/>
      <c r="AM56" s="106"/>
      <c r="AN56" s="106"/>
      <c r="AO56" s="106"/>
      <c r="AP56" s="106"/>
      <c r="AQ56" s="106"/>
      <c r="AR56" s="106"/>
      <c r="AS56" s="106"/>
      <c r="AT56" s="106"/>
      <c r="AU56" s="106"/>
      <c r="AV56" s="106"/>
      <c r="AW56" s="106"/>
      <c r="AX56" s="106"/>
      <c r="AY56" s="106"/>
      <c r="AZ56" s="106"/>
      <c r="BA56" s="106"/>
      <c r="BB56" s="106"/>
      <c r="BC56" s="106"/>
      <c r="BD56" s="106"/>
      <c r="BE56" s="106"/>
      <c r="BF56" s="106"/>
    </row>
    <row r="57" spans="1:59" ht="13.5" customHeight="1">
      <c r="A57" s="75">
        <f t="shared" si="16"/>
        <v>51</v>
      </c>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row>
    <row r="58" spans="1:59" s="89" customFormat="1" ht="14.1" customHeight="1">
      <c r="A58" s="75">
        <f t="shared" si="16"/>
        <v>52</v>
      </c>
      <c r="B58" s="107" t="s">
        <v>211</v>
      </c>
      <c r="C58" s="108"/>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row>
    <row r="59" spans="1:59" ht="14.1" customHeight="1">
      <c r="A59" s="75">
        <f t="shared" si="16"/>
        <v>53</v>
      </c>
      <c r="B59" s="109" t="s">
        <v>212</v>
      </c>
      <c r="C59" s="109"/>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row>
    <row r="60" spans="1:59" ht="14.1" customHeight="1">
      <c r="A60" s="75">
        <f t="shared" si="16"/>
        <v>54</v>
      </c>
      <c r="B60" s="76" t="s">
        <v>213</v>
      </c>
      <c r="C60" s="80">
        <f>SUM(D60:BF60)</f>
        <v>-4029984.82</v>
      </c>
      <c r="D60" s="87">
        <v>0</v>
      </c>
      <c r="E60" s="87">
        <v>0</v>
      </c>
      <c r="F60" s="87">
        <v>0</v>
      </c>
      <c r="G60" s="87">
        <v>0</v>
      </c>
      <c r="H60" s="87">
        <v>0</v>
      </c>
      <c r="I60" s="87">
        <v>0</v>
      </c>
      <c r="J60" s="87">
        <v>0</v>
      </c>
      <c r="K60" s="87">
        <v>0</v>
      </c>
      <c r="L60" s="87">
        <v>0</v>
      </c>
      <c r="M60" s="87">
        <v>0</v>
      </c>
      <c r="N60" s="87">
        <v>0</v>
      </c>
      <c r="O60" s="87">
        <v>0</v>
      </c>
      <c r="P60" s="87">
        <v>0</v>
      </c>
      <c r="Q60" s="87">
        <v>0</v>
      </c>
      <c r="R60" s="87">
        <v>0</v>
      </c>
      <c r="S60" s="87">
        <v>0</v>
      </c>
      <c r="T60" s="87">
        <v>0</v>
      </c>
      <c r="U60" s="87">
        <v>1058.1800000000003</v>
      </c>
      <c r="V60" s="87">
        <v>0</v>
      </c>
      <c r="W60" s="87">
        <v>0</v>
      </c>
      <c r="X60" s="87">
        <v>0</v>
      </c>
      <c r="Y60" s="87">
        <v>0</v>
      </c>
      <c r="Z60" s="87">
        <v>0</v>
      </c>
      <c r="AA60" s="87">
        <v>0</v>
      </c>
      <c r="AB60" s="87">
        <v>0</v>
      </c>
      <c r="AC60" s="87">
        <v>0</v>
      </c>
      <c r="AD60" s="87">
        <v>0</v>
      </c>
      <c r="AE60" s="87">
        <v>0</v>
      </c>
      <c r="AF60" s="87">
        <v>0</v>
      </c>
      <c r="AG60" s="87">
        <v>0</v>
      </c>
      <c r="AH60" s="87">
        <v>0</v>
      </c>
      <c r="AI60" s="87">
        <v>0</v>
      </c>
      <c r="AJ60" s="87">
        <v>0</v>
      </c>
      <c r="AK60" s="87">
        <v>0</v>
      </c>
      <c r="AL60" s="87">
        <v>0</v>
      </c>
      <c r="AM60" s="87">
        <v>0</v>
      </c>
      <c r="AN60" s="87">
        <v>0</v>
      </c>
      <c r="AO60" s="87">
        <v>0</v>
      </c>
      <c r="AP60" s="87">
        <v>0</v>
      </c>
      <c r="AQ60" s="87">
        <v>0</v>
      </c>
      <c r="AR60" s="87">
        <v>0</v>
      </c>
      <c r="AS60" s="87">
        <v>0</v>
      </c>
      <c r="AT60" s="87">
        <v>0</v>
      </c>
      <c r="AU60" s="87">
        <v>0</v>
      </c>
      <c r="AV60" s="87">
        <v>0</v>
      </c>
      <c r="AW60" s="87">
        <v>0</v>
      </c>
      <c r="AX60" s="87">
        <v>0</v>
      </c>
      <c r="AY60" s="87">
        <v>0</v>
      </c>
      <c r="AZ60" s="87">
        <v>0</v>
      </c>
      <c r="BA60" s="87">
        <v>0</v>
      </c>
      <c r="BB60" s="87">
        <v>0</v>
      </c>
      <c r="BC60" s="87">
        <v>0</v>
      </c>
      <c r="BD60" s="87">
        <v>0</v>
      </c>
      <c r="BE60" s="87">
        <v>-4031043</v>
      </c>
      <c r="BF60" s="87">
        <v>0</v>
      </c>
    </row>
    <row r="61" spans="1:59" ht="14.1" customHeight="1">
      <c r="A61" s="75">
        <f t="shared" si="16"/>
        <v>55</v>
      </c>
      <c r="B61" s="90" t="s">
        <v>215</v>
      </c>
      <c r="C61" s="80">
        <f>SUM(D61:BF61)</f>
        <v>0</v>
      </c>
      <c r="D61" s="87">
        <v>0</v>
      </c>
      <c r="E61" s="87">
        <v>0</v>
      </c>
      <c r="F61" s="87">
        <v>0</v>
      </c>
      <c r="G61" s="87">
        <v>0</v>
      </c>
      <c r="H61" s="87">
        <v>0</v>
      </c>
      <c r="I61" s="87">
        <v>0</v>
      </c>
      <c r="J61" s="87">
        <v>0</v>
      </c>
      <c r="K61" s="87">
        <v>0</v>
      </c>
      <c r="L61" s="87">
        <v>0</v>
      </c>
      <c r="M61" s="87">
        <v>0</v>
      </c>
      <c r="N61" s="87">
        <v>0</v>
      </c>
      <c r="O61" s="87">
        <v>0</v>
      </c>
      <c r="P61" s="87">
        <v>0</v>
      </c>
      <c r="Q61" s="87">
        <v>0</v>
      </c>
      <c r="R61" s="87">
        <v>0</v>
      </c>
      <c r="S61" s="87">
        <v>0</v>
      </c>
      <c r="T61" s="87">
        <v>0</v>
      </c>
      <c r="U61" s="87">
        <v>0</v>
      </c>
      <c r="V61" s="87">
        <v>0</v>
      </c>
      <c r="W61" s="87">
        <v>0</v>
      </c>
      <c r="X61" s="87">
        <v>0</v>
      </c>
      <c r="Y61" s="87">
        <v>0</v>
      </c>
      <c r="Z61" s="87">
        <v>0</v>
      </c>
      <c r="AA61" s="87">
        <v>0</v>
      </c>
      <c r="AB61" s="87">
        <v>0</v>
      </c>
      <c r="AC61" s="87">
        <v>0</v>
      </c>
      <c r="AD61" s="87">
        <v>0</v>
      </c>
      <c r="AE61" s="87">
        <v>0</v>
      </c>
      <c r="AF61" s="87">
        <v>0</v>
      </c>
      <c r="AG61" s="87">
        <v>0</v>
      </c>
      <c r="AH61" s="87">
        <v>0</v>
      </c>
      <c r="AI61" s="87">
        <v>0</v>
      </c>
      <c r="AJ61" s="87">
        <v>0</v>
      </c>
      <c r="AK61" s="87">
        <v>0</v>
      </c>
      <c r="AL61" s="87">
        <v>0</v>
      </c>
      <c r="AM61" s="87">
        <v>0</v>
      </c>
      <c r="AN61" s="87">
        <v>0</v>
      </c>
      <c r="AO61" s="87">
        <v>0</v>
      </c>
      <c r="AP61" s="87">
        <v>0</v>
      </c>
      <c r="AQ61" s="87">
        <v>0</v>
      </c>
      <c r="AR61" s="87">
        <v>0</v>
      </c>
      <c r="AS61" s="87">
        <v>0</v>
      </c>
      <c r="AT61" s="87">
        <v>0</v>
      </c>
      <c r="AU61" s="87">
        <v>0</v>
      </c>
      <c r="AV61" s="87">
        <v>0</v>
      </c>
      <c r="AW61" s="87">
        <v>0</v>
      </c>
      <c r="AX61" s="87">
        <v>0</v>
      </c>
      <c r="AY61" s="87">
        <v>0</v>
      </c>
      <c r="AZ61" s="87">
        <v>0</v>
      </c>
      <c r="BA61" s="87">
        <v>0</v>
      </c>
      <c r="BB61" s="87">
        <v>0</v>
      </c>
      <c r="BC61" s="87">
        <v>0</v>
      </c>
      <c r="BD61" s="87">
        <v>0</v>
      </c>
      <c r="BE61" s="87">
        <v>0</v>
      </c>
      <c r="BF61" s="87">
        <v>0</v>
      </c>
    </row>
    <row r="62" spans="1:59" ht="14.1" customHeight="1">
      <c r="A62" s="75">
        <f t="shared" si="16"/>
        <v>56</v>
      </c>
      <c r="B62" s="81" t="s">
        <v>352</v>
      </c>
      <c r="C62" s="110">
        <f t="shared" ref="C62:V62" si="211">SUM(C60:C61)</f>
        <v>-4029984.82</v>
      </c>
      <c r="D62" s="110">
        <f t="shared" si="211"/>
        <v>0</v>
      </c>
      <c r="E62" s="110">
        <f t="shared" si="211"/>
        <v>0</v>
      </c>
      <c r="F62" s="110">
        <f t="shared" si="211"/>
        <v>0</v>
      </c>
      <c r="G62" s="110">
        <f t="shared" si="211"/>
        <v>0</v>
      </c>
      <c r="H62" s="110">
        <f t="shared" si="211"/>
        <v>0</v>
      </c>
      <c r="I62" s="110">
        <f t="shared" si="211"/>
        <v>0</v>
      </c>
      <c r="J62" s="110">
        <f t="shared" si="211"/>
        <v>0</v>
      </c>
      <c r="K62" s="110">
        <f t="shared" si="211"/>
        <v>0</v>
      </c>
      <c r="L62" s="110">
        <f t="shared" si="211"/>
        <v>0</v>
      </c>
      <c r="M62" s="110">
        <f t="shared" si="211"/>
        <v>0</v>
      </c>
      <c r="N62" s="110">
        <f t="shared" si="211"/>
        <v>0</v>
      </c>
      <c r="O62" s="110">
        <f t="shared" si="211"/>
        <v>0</v>
      </c>
      <c r="P62" s="110">
        <f t="shared" si="211"/>
        <v>0</v>
      </c>
      <c r="Q62" s="110">
        <f t="shared" si="211"/>
        <v>0</v>
      </c>
      <c r="R62" s="110">
        <f t="shared" si="211"/>
        <v>0</v>
      </c>
      <c r="S62" s="110">
        <f t="shared" si="211"/>
        <v>0</v>
      </c>
      <c r="T62" s="110">
        <f t="shared" si="211"/>
        <v>0</v>
      </c>
      <c r="U62" s="110">
        <f t="shared" si="211"/>
        <v>1058.1800000000003</v>
      </c>
      <c r="V62" s="110">
        <f t="shared" si="211"/>
        <v>0</v>
      </c>
      <c r="W62" s="110">
        <f>SUM(W60:W61)</f>
        <v>0</v>
      </c>
      <c r="X62" s="110">
        <f t="shared" ref="X62:AD62" si="212">SUM(X60:X61)</f>
        <v>0</v>
      </c>
      <c r="Y62" s="110">
        <f>SUM(Y60:Y61)</f>
        <v>0</v>
      </c>
      <c r="Z62" s="110">
        <f t="shared" si="212"/>
        <v>0</v>
      </c>
      <c r="AA62" s="110">
        <f t="shared" si="212"/>
        <v>0</v>
      </c>
      <c r="AB62" s="110">
        <f t="shared" si="212"/>
        <v>0</v>
      </c>
      <c r="AC62" s="110">
        <f t="shared" si="212"/>
        <v>0</v>
      </c>
      <c r="AD62" s="110">
        <f t="shared" si="212"/>
        <v>0</v>
      </c>
      <c r="AE62" s="110">
        <f>SUM(AE60:AE61)</f>
        <v>0</v>
      </c>
      <c r="AF62" s="110">
        <f>SUM(AF60:AF61)</f>
        <v>0</v>
      </c>
      <c r="AG62" s="110">
        <f>SUM(AG60:AG61)</f>
        <v>0</v>
      </c>
      <c r="AH62" s="110">
        <f t="shared" ref="AH62:AL62" si="213">SUM(AH60:AH61)</f>
        <v>0</v>
      </c>
      <c r="AI62" s="110">
        <f t="shared" si="213"/>
        <v>0</v>
      </c>
      <c r="AJ62" s="110">
        <f t="shared" si="213"/>
        <v>0</v>
      </c>
      <c r="AK62" s="110">
        <f t="shared" si="213"/>
        <v>0</v>
      </c>
      <c r="AL62" s="110">
        <f t="shared" si="213"/>
        <v>0</v>
      </c>
      <c r="AM62" s="110">
        <f>SUM(AM60:AM61)</f>
        <v>0</v>
      </c>
      <c r="AN62" s="110">
        <f>SUM(AN60:AN61)</f>
        <v>0</v>
      </c>
      <c r="AO62" s="110">
        <f>SUM(AO60:AO61)</f>
        <v>0</v>
      </c>
      <c r="AP62" s="110">
        <f>SUM(AP60:AP61)</f>
        <v>0</v>
      </c>
      <c r="AQ62" s="110">
        <f>SUM(AQ60:AQ61)</f>
        <v>0</v>
      </c>
      <c r="AR62" s="110">
        <f t="shared" ref="AR62" si="214">SUM(AR60:AR61)</f>
        <v>0</v>
      </c>
      <c r="AS62" s="110">
        <f>SUM(AS60:AS61)</f>
        <v>0</v>
      </c>
      <c r="AT62" s="110">
        <f t="shared" ref="AT62:AV62" si="215">SUM(AT60:AT61)</f>
        <v>0</v>
      </c>
      <c r="AU62" s="110">
        <f t="shared" si="215"/>
        <v>0</v>
      </c>
      <c r="AV62" s="110">
        <f t="shared" si="215"/>
        <v>0</v>
      </c>
      <c r="AW62" s="110">
        <f>SUM(AW60:AW61)</f>
        <v>0</v>
      </c>
      <c r="AX62" s="110">
        <f t="shared" ref="AX62:BF62" si="216">SUM(AX60:AX61)</f>
        <v>0</v>
      </c>
      <c r="AY62" s="110">
        <f t="shared" si="216"/>
        <v>0</v>
      </c>
      <c r="AZ62" s="110">
        <f t="shared" si="216"/>
        <v>0</v>
      </c>
      <c r="BA62" s="110">
        <f t="shared" si="216"/>
        <v>0</v>
      </c>
      <c r="BB62" s="110">
        <f t="shared" si="216"/>
        <v>0</v>
      </c>
      <c r="BC62" s="110">
        <f t="shared" si="216"/>
        <v>0</v>
      </c>
      <c r="BD62" s="110">
        <f t="shared" si="216"/>
        <v>0</v>
      </c>
      <c r="BE62" s="110">
        <f t="shared" si="216"/>
        <v>-4031043</v>
      </c>
      <c r="BF62" s="110">
        <f t="shared" si="216"/>
        <v>0</v>
      </c>
    </row>
    <row r="63" spans="1:59" ht="14.1" customHeight="1">
      <c r="A63" s="75">
        <f t="shared" si="16"/>
        <v>57</v>
      </c>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1"/>
      <c r="BA63" s="111"/>
      <c r="BB63" s="111"/>
      <c r="BC63" s="111"/>
      <c r="BD63" s="111"/>
      <c r="BE63" s="111"/>
      <c r="BF63" s="111"/>
    </row>
    <row r="64" spans="1:59" ht="14.1" customHeight="1">
      <c r="A64" s="75">
        <f t="shared" si="16"/>
        <v>58</v>
      </c>
      <c r="B64" s="81" t="s">
        <v>218</v>
      </c>
      <c r="C64" s="81"/>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c r="BF64" s="87"/>
    </row>
    <row r="65" spans="1:58" ht="14.1" customHeight="1">
      <c r="A65" s="75">
        <f t="shared" si="16"/>
        <v>59</v>
      </c>
      <c r="B65" s="81" t="s">
        <v>219</v>
      </c>
      <c r="C65" s="81"/>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c r="BF65" s="87"/>
    </row>
    <row r="66" spans="1:58" ht="14.1" customHeight="1">
      <c r="A66" s="75">
        <f t="shared" si="16"/>
        <v>60</v>
      </c>
      <c r="B66" s="76" t="s">
        <v>220</v>
      </c>
      <c r="C66" s="80">
        <f t="shared" ref="C66:C73" si="217">SUM(D66:BF66)</f>
        <v>-2780439.54</v>
      </c>
      <c r="D66" s="87">
        <v>0</v>
      </c>
      <c r="E66" s="87">
        <v>0</v>
      </c>
      <c r="F66" s="87">
        <v>0</v>
      </c>
      <c r="G66" s="87">
        <v>0</v>
      </c>
      <c r="H66" s="87">
        <v>0</v>
      </c>
      <c r="I66" s="87">
        <v>0</v>
      </c>
      <c r="J66" s="87">
        <v>0</v>
      </c>
      <c r="K66" s="87">
        <v>0</v>
      </c>
      <c r="L66" s="87">
        <v>0</v>
      </c>
      <c r="M66" s="87">
        <v>0</v>
      </c>
      <c r="N66" s="87">
        <v>0</v>
      </c>
      <c r="O66" s="87">
        <v>0</v>
      </c>
      <c r="P66" s="87">
        <v>0</v>
      </c>
      <c r="Q66" s="87">
        <v>0</v>
      </c>
      <c r="R66" s="87">
        <v>0</v>
      </c>
      <c r="S66" s="87">
        <v>0</v>
      </c>
      <c r="T66" s="87">
        <v>0</v>
      </c>
      <c r="U66" s="87">
        <v>74791.299999999814</v>
      </c>
      <c r="V66" s="87">
        <v>0</v>
      </c>
      <c r="W66" s="87">
        <v>0</v>
      </c>
      <c r="X66" s="87">
        <v>0</v>
      </c>
      <c r="Y66" s="87">
        <v>0</v>
      </c>
      <c r="Z66" s="87">
        <v>0</v>
      </c>
      <c r="AA66" s="87">
        <v>0</v>
      </c>
      <c r="AB66" s="87">
        <v>0</v>
      </c>
      <c r="AC66" s="87">
        <v>0</v>
      </c>
      <c r="AD66" s="87">
        <v>0</v>
      </c>
      <c r="AE66" s="87">
        <v>0</v>
      </c>
      <c r="AF66" s="87">
        <v>0</v>
      </c>
      <c r="AG66" s="87">
        <v>0</v>
      </c>
      <c r="AH66" s="87">
        <v>0</v>
      </c>
      <c r="AI66" s="87">
        <v>0</v>
      </c>
      <c r="AJ66" s="87">
        <v>0</v>
      </c>
      <c r="AK66" s="87">
        <v>0</v>
      </c>
      <c r="AL66" s="87">
        <v>0</v>
      </c>
      <c r="AM66" s="87">
        <v>0</v>
      </c>
      <c r="AN66" s="87">
        <v>0</v>
      </c>
      <c r="AO66" s="87">
        <v>0</v>
      </c>
      <c r="AP66" s="87">
        <v>0</v>
      </c>
      <c r="AQ66" s="87">
        <v>0</v>
      </c>
      <c r="AR66" s="87">
        <v>0</v>
      </c>
      <c r="AS66" s="87">
        <v>0</v>
      </c>
      <c r="AT66" s="87">
        <v>0</v>
      </c>
      <c r="AU66" s="87">
        <v>-2855230.84</v>
      </c>
      <c r="AV66" s="87">
        <v>0</v>
      </c>
      <c r="AW66" s="87">
        <v>0</v>
      </c>
      <c r="AX66" s="87">
        <v>0</v>
      </c>
      <c r="AY66" s="87">
        <v>0</v>
      </c>
      <c r="AZ66" s="87">
        <v>0</v>
      </c>
      <c r="BA66" s="87">
        <v>0</v>
      </c>
      <c r="BB66" s="87">
        <v>0</v>
      </c>
      <c r="BC66" s="87">
        <v>0</v>
      </c>
      <c r="BD66" s="87">
        <v>0</v>
      </c>
      <c r="BE66" s="87">
        <v>0</v>
      </c>
      <c r="BF66" s="87">
        <v>0</v>
      </c>
    </row>
    <row r="67" spans="1:58" ht="14.1" customHeight="1">
      <c r="A67" s="75">
        <f t="shared" si="16"/>
        <v>61</v>
      </c>
      <c r="B67" s="76" t="s">
        <v>222</v>
      </c>
      <c r="C67" s="80">
        <f t="shared" si="217"/>
        <v>-30319477.320000004</v>
      </c>
      <c r="D67" s="87">
        <v>0</v>
      </c>
      <c r="E67" s="87">
        <v>0</v>
      </c>
      <c r="F67" s="87">
        <v>0</v>
      </c>
      <c r="G67" s="87">
        <v>0</v>
      </c>
      <c r="H67" s="87">
        <v>0</v>
      </c>
      <c r="I67" s="87">
        <v>0</v>
      </c>
      <c r="J67" s="87">
        <v>0</v>
      </c>
      <c r="K67" s="87">
        <v>0</v>
      </c>
      <c r="L67" s="87">
        <v>0</v>
      </c>
      <c r="M67" s="87">
        <v>0</v>
      </c>
      <c r="N67" s="87">
        <v>0</v>
      </c>
      <c r="O67" s="87">
        <v>0</v>
      </c>
      <c r="P67" s="87">
        <v>0</v>
      </c>
      <c r="Q67" s="87">
        <v>0</v>
      </c>
      <c r="R67" s="87">
        <v>0</v>
      </c>
      <c r="S67" s="87">
        <v>0</v>
      </c>
      <c r="T67" s="87">
        <v>0</v>
      </c>
      <c r="U67" s="87">
        <v>1207833.6599999964</v>
      </c>
      <c r="V67" s="87">
        <v>0</v>
      </c>
      <c r="W67" s="87">
        <v>0</v>
      </c>
      <c r="X67" s="87">
        <v>0</v>
      </c>
      <c r="Y67" s="87">
        <v>0</v>
      </c>
      <c r="Z67" s="87">
        <v>0</v>
      </c>
      <c r="AA67" s="87">
        <v>0</v>
      </c>
      <c r="AB67" s="87">
        <v>0</v>
      </c>
      <c r="AC67" s="87">
        <v>0</v>
      </c>
      <c r="AD67" s="87">
        <v>0</v>
      </c>
      <c r="AE67" s="87">
        <v>0</v>
      </c>
      <c r="AF67" s="87">
        <v>0</v>
      </c>
      <c r="AG67" s="87">
        <v>0</v>
      </c>
      <c r="AH67" s="87">
        <v>0</v>
      </c>
      <c r="AI67" s="87">
        <v>0</v>
      </c>
      <c r="AJ67" s="87">
        <v>0</v>
      </c>
      <c r="AK67" s="87">
        <v>0</v>
      </c>
      <c r="AL67" s="87">
        <v>0</v>
      </c>
      <c r="AM67" s="87">
        <v>0</v>
      </c>
      <c r="AN67" s="87">
        <v>0</v>
      </c>
      <c r="AO67" s="87">
        <v>0</v>
      </c>
      <c r="AP67" s="87">
        <v>0</v>
      </c>
      <c r="AQ67" s="87">
        <v>0</v>
      </c>
      <c r="AR67" s="87">
        <v>0</v>
      </c>
      <c r="AS67" s="87">
        <v>0</v>
      </c>
      <c r="AT67" s="87">
        <v>0</v>
      </c>
      <c r="AU67" s="87">
        <v>-31527310.98</v>
      </c>
      <c r="AV67" s="87">
        <v>0</v>
      </c>
      <c r="AW67" s="87">
        <f>3363486.46</f>
        <v>3363486.46</v>
      </c>
      <c r="AX67" s="87">
        <v>-3363486.46</v>
      </c>
      <c r="AY67" s="87">
        <v>0</v>
      </c>
      <c r="AZ67" s="87">
        <v>0</v>
      </c>
      <c r="BA67" s="87">
        <v>0</v>
      </c>
      <c r="BB67" s="87">
        <v>0</v>
      </c>
      <c r="BC67" s="87">
        <v>0</v>
      </c>
      <c r="BD67" s="87">
        <v>0</v>
      </c>
      <c r="BE67" s="87">
        <v>0</v>
      </c>
      <c r="BF67" s="87">
        <v>0</v>
      </c>
    </row>
    <row r="68" spans="1:58" ht="14.1" customHeight="1">
      <c r="A68" s="75">
        <f t="shared" si="16"/>
        <v>62</v>
      </c>
      <c r="B68" s="76" t="s">
        <v>223</v>
      </c>
      <c r="C68" s="80">
        <f t="shared" si="217"/>
        <v>-517583705.8599999</v>
      </c>
      <c r="D68" s="87">
        <v>0</v>
      </c>
      <c r="E68" s="87">
        <v>0</v>
      </c>
      <c r="F68" s="87">
        <v>0</v>
      </c>
      <c r="G68" s="87">
        <v>0</v>
      </c>
      <c r="H68" s="87">
        <v>0</v>
      </c>
      <c r="I68" s="87">
        <v>0</v>
      </c>
      <c r="J68" s="87">
        <v>0</v>
      </c>
      <c r="K68" s="87">
        <v>0</v>
      </c>
      <c r="L68" s="87">
        <v>0</v>
      </c>
      <c r="M68" s="87">
        <v>0</v>
      </c>
      <c r="N68" s="87">
        <v>0</v>
      </c>
      <c r="O68" s="87">
        <v>0</v>
      </c>
      <c r="P68" s="87">
        <v>0</v>
      </c>
      <c r="Q68" s="87">
        <v>0</v>
      </c>
      <c r="R68" s="87">
        <v>0</v>
      </c>
      <c r="S68" s="87">
        <v>0</v>
      </c>
      <c r="T68" s="87">
        <v>0</v>
      </c>
      <c r="U68" s="87">
        <v>14488885.180000067</v>
      </c>
      <c r="V68" s="87">
        <v>0</v>
      </c>
      <c r="W68" s="87">
        <v>0</v>
      </c>
      <c r="X68" s="87">
        <v>0</v>
      </c>
      <c r="Y68" s="87">
        <v>0</v>
      </c>
      <c r="Z68" s="87">
        <v>0</v>
      </c>
      <c r="AA68" s="87">
        <v>0</v>
      </c>
      <c r="AB68" s="87">
        <v>0</v>
      </c>
      <c r="AC68" s="87">
        <v>0</v>
      </c>
      <c r="AD68" s="87">
        <v>0</v>
      </c>
      <c r="AE68" s="87">
        <v>0</v>
      </c>
      <c r="AF68" s="87">
        <v>0</v>
      </c>
      <c r="AG68" s="87">
        <v>0</v>
      </c>
      <c r="AH68" s="87">
        <v>0</v>
      </c>
      <c r="AI68" s="87">
        <v>0</v>
      </c>
      <c r="AJ68" s="87">
        <v>0</v>
      </c>
      <c r="AK68" s="87">
        <v>0</v>
      </c>
      <c r="AL68" s="87">
        <v>0</v>
      </c>
      <c r="AM68" s="87">
        <v>0</v>
      </c>
      <c r="AN68" s="87">
        <v>0</v>
      </c>
      <c r="AO68" s="87">
        <v>0</v>
      </c>
      <c r="AP68" s="87">
        <v>0</v>
      </c>
      <c r="AQ68" s="87">
        <v>0</v>
      </c>
      <c r="AR68" s="87">
        <v>0</v>
      </c>
      <c r="AS68" s="87">
        <v>0</v>
      </c>
      <c r="AT68" s="87">
        <v>0</v>
      </c>
      <c r="AU68" s="87">
        <v>-207501842.03999999</v>
      </c>
      <c r="AV68" s="87">
        <v>0</v>
      </c>
      <c r="AW68" s="87">
        <f>23555190.22</f>
        <v>23555190.219999999</v>
      </c>
      <c r="AX68" s="87">
        <v>-23555190.219999999</v>
      </c>
      <c r="AY68" s="87">
        <v>0</v>
      </c>
      <c r="AZ68" s="87">
        <v>0</v>
      </c>
      <c r="BA68" s="87">
        <v>0</v>
      </c>
      <c r="BB68" s="87">
        <v>0</v>
      </c>
      <c r="BC68" s="87">
        <v>0</v>
      </c>
      <c r="BD68" s="87">
        <v>-324570749</v>
      </c>
      <c r="BE68" s="87">
        <v>0</v>
      </c>
      <c r="BF68" s="87">
        <v>0</v>
      </c>
    </row>
    <row r="69" spans="1:58" ht="14.1" customHeight="1">
      <c r="A69" s="75">
        <f t="shared" si="16"/>
        <v>63</v>
      </c>
      <c r="B69" s="76" t="s">
        <v>224</v>
      </c>
      <c r="C69" s="80">
        <f t="shared" si="217"/>
        <v>0</v>
      </c>
      <c r="D69" s="87">
        <v>0</v>
      </c>
      <c r="E69" s="87">
        <v>0</v>
      </c>
      <c r="F69" s="87">
        <v>0</v>
      </c>
      <c r="G69" s="87">
        <v>0</v>
      </c>
      <c r="H69" s="87">
        <v>0</v>
      </c>
      <c r="I69" s="87">
        <v>0</v>
      </c>
      <c r="J69" s="87">
        <v>0</v>
      </c>
      <c r="K69" s="87">
        <v>0</v>
      </c>
      <c r="L69" s="87">
        <v>0</v>
      </c>
      <c r="M69" s="87">
        <v>0</v>
      </c>
      <c r="N69" s="87">
        <v>0</v>
      </c>
      <c r="O69" s="87">
        <v>0</v>
      </c>
      <c r="P69" s="87">
        <v>0</v>
      </c>
      <c r="Q69" s="87">
        <v>0</v>
      </c>
      <c r="R69" s="87">
        <v>0</v>
      </c>
      <c r="S69" s="87">
        <v>0</v>
      </c>
      <c r="T69" s="87">
        <v>0</v>
      </c>
      <c r="U69" s="87">
        <v>0</v>
      </c>
      <c r="V69" s="87">
        <v>0</v>
      </c>
      <c r="W69" s="87">
        <v>0</v>
      </c>
      <c r="X69" s="87">
        <v>0</v>
      </c>
      <c r="Y69" s="87">
        <v>0</v>
      </c>
      <c r="Z69" s="87">
        <v>0</v>
      </c>
      <c r="AA69" s="87">
        <v>0</v>
      </c>
      <c r="AB69" s="87">
        <v>0</v>
      </c>
      <c r="AC69" s="87">
        <v>0</v>
      </c>
      <c r="AD69" s="87">
        <v>0</v>
      </c>
      <c r="AE69" s="87">
        <v>0</v>
      </c>
      <c r="AF69" s="87">
        <v>0</v>
      </c>
      <c r="AG69" s="87">
        <v>0</v>
      </c>
      <c r="AH69" s="87">
        <v>0</v>
      </c>
      <c r="AI69" s="87">
        <v>0</v>
      </c>
      <c r="AJ69" s="87">
        <v>0</v>
      </c>
      <c r="AK69" s="87">
        <v>0</v>
      </c>
      <c r="AL69" s="87">
        <v>0</v>
      </c>
      <c r="AM69" s="87">
        <v>0</v>
      </c>
      <c r="AN69" s="87">
        <v>0</v>
      </c>
      <c r="AO69" s="87">
        <v>0</v>
      </c>
      <c r="AP69" s="87">
        <v>0</v>
      </c>
      <c r="AQ69" s="87">
        <v>0</v>
      </c>
      <c r="AR69" s="87">
        <v>0</v>
      </c>
      <c r="AS69" s="87">
        <v>0</v>
      </c>
      <c r="AT69" s="87">
        <v>0</v>
      </c>
      <c r="AU69" s="87">
        <v>0</v>
      </c>
      <c r="AV69" s="87">
        <v>0</v>
      </c>
      <c r="AW69" s="87">
        <v>0</v>
      </c>
      <c r="AX69" s="87">
        <v>0</v>
      </c>
      <c r="AY69" s="87">
        <v>0</v>
      </c>
      <c r="AZ69" s="87">
        <v>0</v>
      </c>
      <c r="BA69" s="87">
        <v>0</v>
      </c>
      <c r="BB69" s="87">
        <v>0</v>
      </c>
      <c r="BC69" s="87">
        <v>0</v>
      </c>
      <c r="BD69" s="87">
        <v>0</v>
      </c>
      <c r="BE69" s="87">
        <v>0</v>
      </c>
      <c r="BF69" s="87">
        <v>0</v>
      </c>
    </row>
    <row r="70" spans="1:58" ht="14.1" customHeight="1">
      <c r="A70" s="75">
        <f t="shared" si="16"/>
        <v>64</v>
      </c>
      <c r="B70" s="76" t="s">
        <v>225</v>
      </c>
      <c r="C70" s="80">
        <f t="shared" si="217"/>
        <v>-54489291.460000008</v>
      </c>
      <c r="D70" s="87">
        <v>0</v>
      </c>
      <c r="E70" s="87">
        <v>0</v>
      </c>
      <c r="F70" s="87">
        <v>0</v>
      </c>
      <c r="G70" s="87">
        <v>0</v>
      </c>
      <c r="H70" s="87">
        <v>0</v>
      </c>
      <c r="I70" s="87">
        <v>0</v>
      </c>
      <c r="J70" s="87">
        <v>0</v>
      </c>
      <c r="K70" s="87">
        <v>0</v>
      </c>
      <c r="L70" s="87">
        <v>0</v>
      </c>
      <c r="M70" s="87">
        <v>0</v>
      </c>
      <c r="N70" s="87">
        <v>0</v>
      </c>
      <c r="O70" s="87">
        <v>0</v>
      </c>
      <c r="P70" s="87">
        <v>0</v>
      </c>
      <c r="Q70" s="87">
        <v>0</v>
      </c>
      <c r="R70" s="87">
        <v>0</v>
      </c>
      <c r="S70" s="87">
        <v>0</v>
      </c>
      <c r="T70" s="87">
        <v>0</v>
      </c>
      <c r="U70" s="87">
        <v>1802325.099999994</v>
      </c>
      <c r="V70" s="87">
        <v>0</v>
      </c>
      <c r="W70" s="87">
        <v>0</v>
      </c>
      <c r="X70" s="87">
        <v>0</v>
      </c>
      <c r="Y70" s="87">
        <v>0</v>
      </c>
      <c r="Z70" s="87">
        <v>0</v>
      </c>
      <c r="AA70" s="87">
        <v>0</v>
      </c>
      <c r="AB70" s="87">
        <v>0</v>
      </c>
      <c r="AC70" s="87">
        <v>0</v>
      </c>
      <c r="AD70" s="87">
        <v>0</v>
      </c>
      <c r="AE70" s="87">
        <v>0</v>
      </c>
      <c r="AF70" s="87">
        <v>0</v>
      </c>
      <c r="AG70" s="87">
        <v>0</v>
      </c>
      <c r="AH70" s="87">
        <v>0</v>
      </c>
      <c r="AI70" s="87">
        <v>0</v>
      </c>
      <c r="AJ70" s="87">
        <v>0</v>
      </c>
      <c r="AK70" s="87">
        <v>0</v>
      </c>
      <c r="AL70" s="87">
        <v>0</v>
      </c>
      <c r="AM70" s="87">
        <v>0</v>
      </c>
      <c r="AN70" s="87">
        <v>0</v>
      </c>
      <c r="AO70" s="87">
        <v>0</v>
      </c>
      <c r="AP70" s="87">
        <v>0</v>
      </c>
      <c r="AQ70" s="87">
        <v>0</v>
      </c>
      <c r="AR70" s="87">
        <v>0</v>
      </c>
      <c r="AS70" s="87">
        <v>0</v>
      </c>
      <c r="AT70" s="87">
        <v>0</v>
      </c>
      <c r="AU70" s="87">
        <v>-56291616.560000002</v>
      </c>
      <c r="AV70" s="87">
        <v>0</v>
      </c>
      <c r="AW70" s="87">
        <f>5164479.5</f>
        <v>5164479.5</v>
      </c>
      <c r="AX70" s="87">
        <v>-5164479.5</v>
      </c>
      <c r="AY70" s="87">
        <v>0</v>
      </c>
      <c r="AZ70" s="87">
        <v>0</v>
      </c>
      <c r="BA70" s="87">
        <v>0</v>
      </c>
      <c r="BB70" s="87">
        <v>0</v>
      </c>
      <c r="BC70" s="87">
        <v>0</v>
      </c>
      <c r="BD70" s="87">
        <v>0</v>
      </c>
      <c r="BE70" s="87">
        <v>0</v>
      </c>
      <c r="BF70" s="87">
        <v>0</v>
      </c>
    </row>
    <row r="71" spans="1:58" ht="14.1" customHeight="1">
      <c r="A71" s="75">
        <f t="shared" si="16"/>
        <v>65</v>
      </c>
      <c r="B71" s="76" t="s">
        <v>226</v>
      </c>
      <c r="C71" s="80">
        <f t="shared" si="217"/>
        <v>-21412522.949999999</v>
      </c>
      <c r="D71" s="87">
        <v>0</v>
      </c>
      <c r="E71" s="87">
        <v>0</v>
      </c>
      <c r="F71" s="87">
        <v>0</v>
      </c>
      <c r="G71" s="87">
        <v>0</v>
      </c>
      <c r="H71" s="87">
        <v>0</v>
      </c>
      <c r="I71" s="87">
        <v>0</v>
      </c>
      <c r="J71" s="87">
        <v>0</v>
      </c>
      <c r="K71" s="87">
        <v>0</v>
      </c>
      <c r="L71" s="87">
        <v>0</v>
      </c>
      <c r="M71" s="87">
        <v>0</v>
      </c>
      <c r="N71" s="87">
        <v>0</v>
      </c>
      <c r="O71" s="87">
        <v>0</v>
      </c>
      <c r="P71" s="87">
        <v>0</v>
      </c>
      <c r="Q71" s="87">
        <v>0</v>
      </c>
      <c r="R71" s="87">
        <v>0</v>
      </c>
      <c r="S71" s="87">
        <v>0</v>
      </c>
      <c r="T71" s="87">
        <v>0</v>
      </c>
      <c r="U71" s="87">
        <v>519911.6400000006</v>
      </c>
      <c r="V71" s="87">
        <v>0</v>
      </c>
      <c r="W71" s="87">
        <v>0</v>
      </c>
      <c r="X71" s="87">
        <v>0</v>
      </c>
      <c r="Y71" s="87">
        <v>0</v>
      </c>
      <c r="Z71" s="87">
        <v>0</v>
      </c>
      <c r="AA71" s="87">
        <v>0</v>
      </c>
      <c r="AB71" s="87">
        <v>0</v>
      </c>
      <c r="AC71" s="87">
        <v>0</v>
      </c>
      <c r="AD71" s="87">
        <v>0</v>
      </c>
      <c r="AE71" s="87">
        <v>0</v>
      </c>
      <c r="AF71" s="87">
        <v>0</v>
      </c>
      <c r="AG71" s="87">
        <v>0</v>
      </c>
      <c r="AH71" s="87">
        <v>0</v>
      </c>
      <c r="AI71" s="87">
        <v>0</v>
      </c>
      <c r="AJ71" s="87">
        <v>0</v>
      </c>
      <c r="AK71" s="87">
        <v>0</v>
      </c>
      <c r="AL71" s="87">
        <v>0</v>
      </c>
      <c r="AM71" s="87">
        <v>0</v>
      </c>
      <c r="AN71" s="87">
        <v>0</v>
      </c>
      <c r="AO71" s="87">
        <v>0</v>
      </c>
      <c r="AP71" s="87">
        <v>0</v>
      </c>
      <c r="AQ71" s="87">
        <v>0</v>
      </c>
      <c r="AR71" s="87">
        <v>0</v>
      </c>
      <c r="AS71" s="87">
        <v>0</v>
      </c>
      <c r="AT71" s="87">
        <v>0</v>
      </c>
      <c r="AU71" s="87">
        <f>-(21823291.59+25728+83415)</f>
        <v>-21932434.59</v>
      </c>
      <c r="AV71" s="87">
        <v>0</v>
      </c>
      <c r="AW71" s="87">
        <f>652764.43</f>
        <v>652764.43000000005</v>
      </c>
      <c r="AX71" s="87">
        <v>-652764.43000000005</v>
      </c>
      <c r="AY71" s="87">
        <v>0</v>
      </c>
      <c r="AZ71" s="87">
        <v>0</v>
      </c>
      <c r="BA71" s="87">
        <v>0</v>
      </c>
      <c r="BB71" s="87">
        <v>0</v>
      </c>
      <c r="BC71" s="87">
        <v>0</v>
      </c>
      <c r="BD71" s="87">
        <v>0</v>
      </c>
      <c r="BE71" s="87">
        <v>0</v>
      </c>
      <c r="BF71" s="87">
        <v>0</v>
      </c>
    </row>
    <row r="72" spans="1:58" ht="14.1" customHeight="1">
      <c r="A72" s="75">
        <f t="shared" si="16"/>
        <v>66</v>
      </c>
      <c r="B72" s="76" t="s">
        <v>227</v>
      </c>
      <c r="C72" s="80">
        <f t="shared" si="217"/>
        <v>-7380003.4000000004</v>
      </c>
      <c r="D72" s="87">
        <v>0</v>
      </c>
      <c r="E72" s="87">
        <v>0</v>
      </c>
      <c r="F72" s="87">
        <v>0</v>
      </c>
      <c r="G72" s="87">
        <v>0</v>
      </c>
      <c r="H72" s="87">
        <v>0</v>
      </c>
      <c r="I72" s="87">
        <v>0</v>
      </c>
      <c r="J72" s="87">
        <v>0</v>
      </c>
      <c r="K72" s="87">
        <v>0</v>
      </c>
      <c r="L72" s="87">
        <v>0</v>
      </c>
      <c r="M72" s="87">
        <v>0</v>
      </c>
      <c r="N72" s="87">
        <v>0</v>
      </c>
      <c r="O72" s="87">
        <v>0</v>
      </c>
      <c r="P72" s="87">
        <v>0</v>
      </c>
      <c r="Q72" s="87">
        <v>0</v>
      </c>
      <c r="R72" s="87">
        <v>0</v>
      </c>
      <c r="S72" s="87">
        <v>0</v>
      </c>
      <c r="T72" s="87">
        <v>0</v>
      </c>
      <c r="U72" s="87">
        <v>211449.01999999955</v>
      </c>
      <c r="V72" s="87">
        <v>0</v>
      </c>
      <c r="W72" s="87">
        <v>0</v>
      </c>
      <c r="X72" s="87">
        <v>0</v>
      </c>
      <c r="Y72" s="87">
        <v>0</v>
      </c>
      <c r="Z72" s="87">
        <v>0</v>
      </c>
      <c r="AA72" s="87">
        <v>0</v>
      </c>
      <c r="AB72" s="87">
        <v>0</v>
      </c>
      <c r="AC72" s="87">
        <v>0</v>
      </c>
      <c r="AD72" s="87">
        <v>0</v>
      </c>
      <c r="AE72" s="87">
        <v>0</v>
      </c>
      <c r="AF72" s="87">
        <v>0</v>
      </c>
      <c r="AG72" s="87">
        <v>0</v>
      </c>
      <c r="AH72" s="87">
        <v>0</v>
      </c>
      <c r="AI72" s="87">
        <v>0</v>
      </c>
      <c r="AJ72" s="87">
        <v>0</v>
      </c>
      <c r="AK72" s="87">
        <v>0</v>
      </c>
      <c r="AL72" s="87">
        <v>0</v>
      </c>
      <c r="AM72" s="87">
        <v>0</v>
      </c>
      <c r="AN72" s="87">
        <v>0</v>
      </c>
      <c r="AO72" s="87">
        <v>0</v>
      </c>
      <c r="AP72" s="87">
        <v>0</v>
      </c>
      <c r="AQ72" s="87">
        <v>0</v>
      </c>
      <c r="AR72" s="87">
        <v>0</v>
      </c>
      <c r="AS72" s="87">
        <v>0</v>
      </c>
      <c r="AT72" s="87">
        <v>0</v>
      </c>
      <c r="AU72" s="87">
        <v>-7591452.4199999999</v>
      </c>
      <c r="AV72" s="87">
        <v>0</v>
      </c>
      <c r="AW72" s="87">
        <f>1090094.25</f>
        <v>1090094.25</v>
      </c>
      <c r="AX72" s="87">
        <v>-1090094.25</v>
      </c>
      <c r="AY72" s="87">
        <v>0</v>
      </c>
      <c r="AZ72" s="87">
        <v>0</v>
      </c>
      <c r="BA72" s="87">
        <v>0</v>
      </c>
      <c r="BB72" s="87">
        <v>0</v>
      </c>
      <c r="BC72" s="87">
        <v>0</v>
      </c>
      <c r="BD72" s="87">
        <v>0</v>
      </c>
      <c r="BE72" s="87">
        <v>0</v>
      </c>
      <c r="BF72" s="87">
        <v>0</v>
      </c>
    </row>
    <row r="73" spans="1:58" ht="14.1" customHeight="1">
      <c r="A73" s="75">
        <f t="shared" si="16"/>
        <v>67</v>
      </c>
      <c r="B73" s="90" t="s">
        <v>228</v>
      </c>
      <c r="C73" s="80">
        <f t="shared" si="217"/>
        <v>0</v>
      </c>
      <c r="D73" s="87">
        <v>0</v>
      </c>
      <c r="E73" s="87">
        <v>0</v>
      </c>
      <c r="F73" s="87">
        <v>0</v>
      </c>
      <c r="G73" s="87">
        <v>0</v>
      </c>
      <c r="H73" s="87">
        <v>0</v>
      </c>
      <c r="I73" s="87">
        <v>0</v>
      </c>
      <c r="J73" s="87">
        <v>0</v>
      </c>
      <c r="K73" s="87">
        <v>0</v>
      </c>
      <c r="L73" s="87">
        <v>0</v>
      </c>
      <c r="M73" s="87">
        <v>0</v>
      </c>
      <c r="N73" s="87">
        <v>0</v>
      </c>
      <c r="O73" s="87">
        <v>0</v>
      </c>
      <c r="P73" s="87">
        <v>0</v>
      </c>
      <c r="Q73" s="87">
        <v>0</v>
      </c>
      <c r="R73" s="87">
        <v>0</v>
      </c>
      <c r="S73" s="87">
        <v>0</v>
      </c>
      <c r="T73" s="87">
        <v>0</v>
      </c>
      <c r="U73" s="87">
        <v>0</v>
      </c>
      <c r="V73" s="87">
        <v>0</v>
      </c>
      <c r="W73" s="87">
        <v>0</v>
      </c>
      <c r="X73" s="87">
        <v>0</v>
      </c>
      <c r="Y73" s="87">
        <v>0</v>
      </c>
      <c r="Z73" s="87">
        <v>0</v>
      </c>
      <c r="AA73" s="87">
        <v>0</v>
      </c>
      <c r="AB73" s="87">
        <v>0</v>
      </c>
      <c r="AC73" s="87">
        <v>0</v>
      </c>
      <c r="AD73" s="87">
        <v>0</v>
      </c>
      <c r="AE73" s="87">
        <v>0</v>
      </c>
      <c r="AF73" s="87">
        <v>0</v>
      </c>
      <c r="AG73" s="87">
        <v>0</v>
      </c>
      <c r="AH73" s="87">
        <v>0</v>
      </c>
      <c r="AI73" s="87">
        <v>0</v>
      </c>
      <c r="AJ73" s="87">
        <v>0</v>
      </c>
      <c r="AK73" s="87">
        <v>0</v>
      </c>
      <c r="AL73" s="87">
        <v>0</v>
      </c>
      <c r="AM73" s="87">
        <v>0</v>
      </c>
      <c r="AN73" s="87">
        <v>0</v>
      </c>
      <c r="AO73" s="87">
        <v>0</v>
      </c>
      <c r="AP73" s="87">
        <v>0</v>
      </c>
      <c r="AQ73" s="87">
        <v>0</v>
      </c>
      <c r="AR73" s="87">
        <v>0</v>
      </c>
      <c r="AS73" s="87">
        <v>0</v>
      </c>
      <c r="AT73" s="87">
        <v>0</v>
      </c>
      <c r="AU73" s="87">
        <v>0</v>
      </c>
      <c r="AV73" s="87">
        <v>0</v>
      </c>
      <c r="AW73" s="87">
        <v>0</v>
      </c>
      <c r="AX73" s="87">
        <v>0</v>
      </c>
      <c r="AY73" s="87">
        <v>0</v>
      </c>
      <c r="AZ73" s="87">
        <v>0</v>
      </c>
      <c r="BA73" s="87">
        <v>0</v>
      </c>
      <c r="BB73" s="87">
        <v>0</v>
      </c>
      <c r="BC73" s="87">
        <v>0</v>
      </c>
      <c r="BD73" s="87">
        <v>0</v>
      </c>
      <c r="BE73" s="87">
        <v>0</v>
      </c>
      <c r="BF73" s="87">
        <v>0</v>
      </c>
    </row>
    <row r="74" spans="1:58" s="95" customFormat="1" ht="14.1" customHeight="1">
      <c r="A74" s="75">
        <f t="shared" si="16"/>
        <v>68</v>
      </c>
      <c r="B74" s="93" t="s">
        <v>760</v>
      </c>
      <c r="C74" s="97">
        <f t="shared" ref="C74:AD74" si="218">SUM(C66:C73)</f>
        <v>-633965440.52999997</v>
      </c>
      <c r="D74" s="97">
        <f t="shared" si="218"/>
        <v>0</v>
      </c>
      <c r="E74" s="97">
        <f t="shared" si="218"/>
        <v>0</v>
      </c>
      <c r="F74" s="97">
        <f t="shared" si="218"/>
        <v>0</v>
      </c>
      <c r="G74" s="97">
        <f t="shared" si="218"/>
        <v>0</v>
      </c>
      <c r="H74" s="97">
        <f t="shared" si="218"/>
        <v>0</v>
      </c>
      <c r="I74" s="97">
        <f t="shared" si="218"/>
        <v>0</v>
      </c>
      <c r="J74" s="97">
        <f t="shared" si="218"/>
        <v>0</v>
      </c>
      <c r="K74" s="97">
        <f t="shared" si="218"/>
        <v>0</v>
      </c>
      <c r="L74" s="97">
        <f t="shared" si="218"/>
        <v>0</v>
      </c>
      <c r="M74" s="97">
        <f t="shared" si="218"/>
        <v>0</v>
      </c>
      <c r="N74" s="97">
        <f t="shared" si="218"/>
        <v>0</v>
      </c>
      <c r="O74" s="97">
        <f t="shared" si="218"/>
        <v>0</v>
      </c>
      <c r="P74" s="97">
        <f t="shared" si="218"/>
        <v>0</v>
      </c>
      <c r="Q74" s="97">
        <f t="shared" si="218"/>
        <v>0</v>
      </c>
      <c r="R74" s="97">
        <f t="shared" si="218"/>
        <v>0</v>
      </c>
      <c r="S74" s="97">
        <f t="shared" si="218"/>
        <v>0</v>
      </c>
      <c r="T74" s="97">
        <f t="shared" si="218"/>
        <v>0</v>
      </c>
      <c r="U74" s="97">
        <f t="shared" si="218"/>
        <v>18305195.900000058</v>
      </c>
      <c r="V74" s="97">
        <f t="shared" si="218"/>
        <v>0</v>
      </c>
      <c r="W74" s="97">
        <f t="shared" si="218"/>
        <v>0</v>
      </c>
      <c r="X74" s="97">
        <f t="shared" si="218"/>
        <v>0</v>
      </c>
      <c r="Y74" s="97">
        <f>SUM(Y66:Y73)</f>
        <v>0</v>
      </c>
      <c r="Z74" s="97">
        <f t="shared" si="218"/>
        <v>0</v>
      </c>
      <c r="AA74" s="97">
        <f t="shared" si="218"/>
        <v>0</v>
      </c>
      <c r="AB74" s="97">
        <f t="shared" si="218"/>
        <v>0</v>
      </c>
      <c r="AC74" s="97">
        <f t="shared" si="218"/>
        <v>0</v>
      </c>
      <c r="AD74" s="97">
        <f t="shared" si="218"/>
        <v>0</v>
      </c>
      <c r="AE74" s="97">
        <f>SUM(AE66:AE73)</f>
        <v>0</v>
      </c>
      <c r="AF74" s="97">
        <f>SUM(AF66:AF73)</f>
        <v>0</v>
      </c>
      <c r="AG74" s="97">
        <f>SUM(AG66:AG73)</f>
        <v>0</v>
      </c>
      <c r="AH74" s="97">
        <f t="shared" ref="AH74:AL74" si="219">SUM(AH66:AH73)</f>
        <v>0</v>
      </c>
      <c r="AI74" s="97">
        <f t="shared" si="219"/>
        <v>0</v>
      </c>
      <c r="AJ74" s="97">
        <f t="shared" si="219"/>
        <v>0</v>
      </c>
      <c r="AK74" s="97">
        <f t="shared" si="219"/>
        <v>0</v>
      </c>
      <c r="AL74" s="97">
        <f t="shared" si="219"/>
        <v>0</v>
      </c>
      <c r="AM74" s="97">
        <f>SUM(AM66:AM73)</f>
        <v>0</v>
      </c>
      <c r="AN74" s="97">
        <f>SUM(AN66:AN73)</f>
        <v>0</v>
      </c>
      <c r="AO74" s="97">
        <f>SUM(AO66:AO73)</f>
        <v>0</v>
      </c>
      <c r="AP74" s="97">
        <f>SUM(AP66:AP73)</f>
        <v>0</v>
      </c>
      <c r="AQ74" s="97">
        <f>SUM(AQ66:AQ73)</f>
        <v>0</v>
      </c>
      <c r="AR74" s="97">
        <f t="shared" ref="AR74" si="220">SUM(AR66:AR73)</f>
        <v>0</v>
      </c>
      <c r="AS74" s="97">
        <f>SUM(AS66:AS73)</f>
        <v>0</v>
      </c>
      <c r="AT74" s="97">
        <f t="shared" ref="AT74:AV74" si="221">SUM(AT66:AT73)</f>
        <v>0</v>
      </c>
      <c r="AU74" s="97">
        <f t="shared" si="221"/>
        <v>-327699887.42999995</v>
      </c>
      <c r="AV74" s="97">
        <f t="shared" si="221"/>
        <v>0</v>
      </c>
      <c r="AW74" s="97">
        <f>SUM(AW66:AW73)</f>
        <v>33826014.859999999</v>
      </c>
      <c r="AX74" s="97">
        <f t="shared" ref="AX74:BF74" si="222">SUM(AX66:AX73)</f>
        <v>-33826014.859999999</v>
      </c>
      <c r="AY74" s="97">
        <f t="shared" si="222"/>
        <v>0</v>
      </c>
      <c r="AZ74" s="97">
        <f t="shared" si="222"/>
        <v>0</v>
      </c>
      <c r="BA74" s="97">
        <f t="shared" si="222"/>
        <v>0</v>
      </c>
      <c r="BB74" s="97">
        <f t="shared" si="222"/>
        <v>0</v>
      </c>
      <c r="BC74" s="97">
        <f t="shared" si="222"/>
        <v>0</v>
      </c>
      <c r="BD74" s="97">
        <f t="shared" si="222"/>
        <v>-324570749</v>
      </c>
      <c r="BE74" s="97">
        <f t="shared" si="222"/>
        <v>0</v>
      </c>
      <c r="BF74" s="97">
        <f t="shared" si="222"/>
        <v>0</v>
      </c>
    </row>
    <row r="75" spans="1:58" s="95" customFormat="1" ht="14.1" customHeight="1">
      <c r="A75" s="75">
        <f t="shared" ref="A75:A138" si="223">+A74+1</f>
        <v>69</v>
      </c>
      <c r="B75" s="96"/>
      <c r="C75" s="96"/>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12"/>
      <c r="AR75" s="112"/>
      <c r="AS75" s="112"/>
      <c r="AT75" s="112"/>
      <c r="AU75" s="112"/>
      <c r="AV75" s="112"/>
      <c r="AW75" s="112"/>
      <c r="AX75" s="112"/>
      <c r="AY75" s="112"/>
      <c r="AZ75" s="112"/>
      <c r="BA75" s="112"/>
      <c r="BB75" s="112"/>
      <c r="BC75" s="112"/>
      <c r="BD75" s="112"/>
      <c r="BE75" s="112"/>
      <c r="BF75" s="112"/>
    </row>
    <row r="76" spans="1:58" ht="14.1" customHeight="1">
      <c r="A76" s="75">
        <f t="shared" si="223"/>
        <v>70</v>
      </c>
      <c r="B76" s="81" t="s">
        <v>230</v>
      </c>
      <c r="C76" s="81"/>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row>
    <row r="77" spans="1:58" ht="14.1" customHeight="1">
      <c r="A77" s="75">
        <f t="shared" si="223"/>
        <v>71</v>
      </c>
      <c r="B77" s="76" t="s">
        <v>231</v>
      </c>
      <c r="C77" s="80">
        <f t="shared" ref="C77:C82" si="224">SUM(D77:BF77)</f>
        <v>0</v>
      </c>
      <c r="D77" s="87">
        <v>0</v>
      </c>
      <c r="E77" s="87">
        <v>0</v>
      </c>
      <c r="F77" s="87">
        <v>0</v>
      </c>
      <c r="G77" s="87">
        <v>0</v>
      </c>
      <c r="H77" s="87">
        <v>0</v>
      </c>
      <c r="I77" s="87">
        <v>0</v>
      </c>
      <c r="J77" s="87">
        <v>0</v>
      </c>
      <c r="K77" s="87">
        <v>0</v>
      </c>
      <c r="L77" s="87">
        <v>0</v>
      </c>
      <c r="M77" s="87">
        <v>0</v>
      </c>
      <c r="N77" s="87">
        <v>0</v>
      </c>
      <c r="O77" s="87">
        <v>0</v>
      </c>
      <c r="P77" s="87">
        <v>0</v>
      </c>
      <c r="Q77" s="87">
        <v>0</v>
      </c>
      <c r="R77" s="87">
        <v>0</v>
      </c>
      <c r="S77" s="87">
        <v>0</v>
      </c>
      <c r="T77" s="87">
        <v>0</v>
      </c>
      <c r="U77" s="87">
        <v>0</v>
      </c>
      <c r="V77" s="87">
        <v>0</v>
      </c>
      <c r="W77" s="87">
        <v>0</v>
      </c>
      <c r="X77" s="87">
        <v>0</v>
      </c>
      <c r="Y77" s="87">
        <v>0</v>
      </c>
      <c r="Z77" s="87">
        <v>0</v>
      </c>
      <c r="AA77" s="87">
        <v>0</v>
      </c>
      <c r="AB77" s="87">
        <v>0</v>
      </c>
      <c r="AC77" s="87">
        <v>0</v>
      </c>
      <c r="AD77" s="87">
        <v>0</v>
      </c>
      <c r="AE77" s="87">
        <v>0</v>
      </c>
      <c r="AF77" s="87">
        <v>0</v>
      </c>
      <c r="AG77" s="87">
        <v>0</v>
      </c>
      <c r="AH77" s="87">
        <v>0</v>
      </c>
      <c r="AI77" s="87">
        <v>0</v>
      </c>
      <c r="AJ77" s="87">
        <v>0</v>
      </c>
      <c r="AK77" s="87">
        <v>0</v>
      </c>
      <c r="AL77" s="87">
        <v>0</v>
      </c>
      <c r="AM77" s="87">
        <v>0</v>
      </c>
      <c r="AN77" s="87">
        <v>0</v>
      </c>
      <c r="AO77" s="87">
        <v>0</v>
      </c>
      <c r="AP77" s="87">
        <v>0</v>
      </c>
      <c r="AQ77" s="87">
        <v>0</v>
      </c>
      <c r="AR77" s="87">
        <v>0</v>
      </c>
      <c r="AS77" s="87">
        <v>0</v>
      </c>
      <c r="AT77" s="87">
        <v>0</v>
      </c>
      <c r="AU77" s="87">
        <v>0</v>
      </c>
      <c r="AV77" s="87">
        <v>0</v>
      </c>
      <c r="AW77" s="87">
        <v>0</v>
      </c>
      <c r="AX77" s="87">
        <v>0</v>
      </c>
      <c r="AY77" s="87">
        <v>0</v>
      </c>
      <c r="AZ77" s="87">
        <v>0</v>
      </c>
      <c r="BA77" s="87">
        <v>0</v>
      </c>
      <c r="BB77" s="87">
        <v>0</v>
      </c>
      <c r="BC77" s="87">
        <v>0</v>
      </c>
      <c r="BD77" s="87">
        <v>0</v>
      </c>
      <c r="BE77" s="87">
        <v>0</v>
      </c>
      <c r="BF77" s="87">
        <v>0</v>
      </c>
    </row>
    <row r="78" spans="1:58" ht="14.1" customHeight="1">
      <c r="A78" s="75">
        <f t="shared" si="223"/>
        <v>72</v>
      </c>
      <c r="B78" s="76" t="s">
        <v>232</v>
      </c>
      <c r="C78" s="80">
        <f t="shared" si="224"/>
        <v>0</v>
      </c>
      <c r="D78" s="87">
        <v>0</v>
      </c>
      <c r="E78" s="87">
        <v>0</v>
      </c>
      <c r="F78" s="87">
        <v>0</v>
      </c>
      <c r="G78" s="87">
        <v>0</v>
      </c>
      <c r="H78" s="87">
        <v>0</v>
      </c>
      <c r="I78" s="87">
        <v>0</v>
      </c>
      <c r="J78" s="87">
        <v>0</v>
      </c>
      <c r="K78" s="87">
        <v>0</v>
      </c>
      <c r="L78" s="87">
        <v>0</v>
      </c>
      <c r="M78" s="87">
        <v>0</v>
      </c>
      <c r="N78" s="87">
        <v>0</v>
      </c>
      <c r="O78" s="87">
        <v>0</v>
      </c>
      <c r="P78" s="87">
        <v>0</v>
      </c>
      <c r="Q78" s="87">
        <v>0</v>
      </c>
      <c r="R78" s="87">
        <v>0</v>
      </c>
      <c r="S78" s="87">
        <v>0</v>
      </c>
      <c r="T78" s="87">
        <v>0</v>
      </c>
      <c r="U78" s="87">
        <v>0</v>
      </c>
      <c r="V78" s="87">
        <v>0</v>
      </c>
      <c r="W78" s="87">
        <v>0</v>
      </c>
      <c r="X78" s="87">
        <v>0</v>
      </c>
      <c r="Y78" s="87">
        <v>0</v>
      </c>
      <c r="Z78" s="87">
        <v>0</v>
      </c>
      <c r="AA78" s="87">
        <v>0</v>
      </c>
      <c r="AB78" s="87">
        <v>0</v>
      </c>
      <c r="AC78" s="87">
        <v>0</v>
      </c>
      <c r="AD78" s="87">
        <v>0</v>
      </c>
      <c r="AE78" s="87">
        <v>0</v>
      </c>
      <c r="AF78" s="87">
        <v>0</v>
      </c>
      <c r="AG78" s="87">
        <v>0</v>
      </c>
      <c r="AH78" s="87">
        <v>0</v>
      </c>
      <c r="AI78" s="87">
        <v>0</v>
      </c>
      <c r="AJ78" s="87">
        <v>0</v>
      </c>
      <c r="AK78" s="87">
        <v>0</v>
      </c>
      <c r="AL78" s="87">
        <v>0</v>
      </c>
      <c r="AM78" s="87">
        <v>0</v>
      </c>
      <c r="AN78" s="87">
        <v>0</v>
      </c>
      <c r="AO78" s="87">
        <v>0</v>
      </c>
      <c r="AP78" s="87">
        <v>0</v>
      </c>
      <c r="AQ78" s="87">
        <v>0</v>
      </c>
      <c r="AR78" s="87">
        <v>0</v>
      </c>
      <c r="AS78" s="87">
        <v>0</v>
      </c>
      <c r="AT78" s="87">
        <v>0</v>
      </c>
      <c r="AU78" s="87">
        <v>0</v>
      </c>
      <c r="AV78" s="87">
        <v>0</v>
      </c>
      <c r="AW78" s="87">
        <v>0</v>
      </c>
      <c r="AX78" s="87">
        <v>0</v>
      </c>
      <c r="AY78" s="87">
        <v>0</v>
      </c>
      <c r="AZ78" s="87">
        <v>0</v>
      </c>
      <c r="BA78" s="87">
        <v>0</v>
      </c>
      <c r="BB78" s="87">
        <v>0</v>
      </c>
      <c r="BC78" s="87">
        <v>0</v>
      </c>
      <c r="BD78" s="87">
        <v>0</v>
      </c>
      <c r="BE78" s="87">
        <v>0</v>
      </c>
      <c r="BF78" s="87">
        <v>0</v>
      </c>
    </row>
    <row r="79" spans="1:58" ht="14.1" customHeight="1">
      <c r="A79" s="75">
        <f t="shared" si="223"/>
        <v>73</v>
      </c>
      <c r="B79" s="76" t="s">
        <v>233</v>
      </c>
      <c r="C79" s="80">
        <f t="shared" si="224"/>
        <v>0</v>
      </c>
      <c r="D79" s="87">
        <v>0</v>
      </c>
      <c r="E79" s="87">
        <v>0</v>
      </c>
      <c r="F79" s="87">
        <v>0</v>
      </c>
      <c r="G79" s="87">
        <v>0</v>
      </c>
      <c r="H79" s="87">
        <v>0</v>
      </c>
      <c r="I79" s="87">
        <v>0</v>
      </c>
      <c r="J79" s="87">
        <v>0</v>
      </c>
      <c r="K79" s="87">
        <v>0</v>
      </c>
      <c r="L79" s="87">
        <v>0</v>
      </c>
      <c r="M79" s="87">
        <v>0</v>
      </c>
      <c r="N79" s="87">
        <v>0</v>
      </c>
      <c r="O79" s="87">
        <v>0</v>
      </c>
      <c r="P79" s="87">
        <v>0</v>
      </c>
      <c r="Q79" s="87">
        <v>0</v>
      </c>
      <c r="R79" s="87">
        <v>0</v>
      </c>
      <c r="S79" s="87">
        <v>0</v>
      </c>
      <c r="T79" s="87">
        <v>0</v>
      </c>
      <c r="U79" s="87">
        <v>0</v>
      </c>
      <c r="V79" s="87">
        <v>0</v>
      </c>
      <c r="W79" s="87">
        <v>0</v>
      </c>
      <c r="X79" s="87">
        <v>0</v>
      </c>
      <c r="Y79" s="87">
        <v>0</v>
      </c>
      <c r="Z79" s="87">
        <v>0</v>
      </c>
      <c r="AA79" s="87">
        <v>0</v>
      </c>
      <c r="AB79" s="87">
        <v>0</v>
      </c>
      <c r="AC79" s="87">
        <v>0</v>
      </c>
      <c r="AD79" s="87">
        <v>0</v>
      </c>
      <c r="AE79" s="87">
        <v>0</v>
      </c>
      <c r="AF79" s="87">
        <v>0</v>
      </c>
      <c r="AG79" s="87">
        <v>0</v>
      </c>
      <c r="AH79" s="87">
        <v>0</v>
      </c>
      <c r="AI79" s="87">
        <v>0</v>
      </c>
      <c r="AJ79" s="87">
        <v>0</v>
      </c>
      <c r="AK79" s="87">
        <v>0</v>
      </c>
      <c r="AL79" s="87">
        <v>0</v>
      </c>
      <c r="AM79" s="87">
        <v>0</v>
      </c>
      <c r="AN79" s="87">
        <v>0</v>
      </c>
      <c r="AO79" s="87">
        <v>0</v>
      </c>
      <c r="AP79" s="87">
        <v>0</v>
      </c>
      <c r="AQ79" s="87">
        <v>0</v>
      </c>
      <c r="AR79" s="87">
        <v>0</v>
      </c>
      <c r="AS79" s="87">
        <v>0</v>
      </c>
      <c r="AT79" s="87">
        <v>0</v>
      </c>
      <c r="AU79" s="87">
        <v>0</v>
      </c>
      <c r="AV79" s="87">
        <v>0</v>
      </c>
      <c r="AW79" s="87">
        <v>0</v>
      </c>
      <c r="AX79" s="87">
        <v>0</v>
      </c>
      <c r="AY79" s="87">
        <v>0</v>
      </c>
      <c r="AZ79" s="87">
        <v>0</v>
      </c>
      <c r="BA79" s="87">
        <v>0</v>
      </c>
      <c r="BB79" s="87">
        <v>0</v>
      </c>
      <c r="BC79" s="87">
        <v>0</v>
      </c>
      <c r="BD79" s="87">
        <v>0</v>
      </c>
      <c r="BE79" s="87">
        <v>0</v>
      </c>
      <c r="BF79" s="87">
        <v>0</v>
      </c>
    </row>
    <row r="80" spans="1:58" ht="14.1" customHeight="1">
      <c r="A80" s="75">
        <f t="shared" si="223"/>
        <v>74</v>
      </c>
      <c r="B80" s="76" t="s">
        <v>234</v>
      </c>
      <c r="C80" s="80">
        <f t="shared" si="224"/>
        <v>0</v>
      </c>
      <c r="D80" s="87">
        <v>0</v>
      </c>
      <c r="E80" s="87">
        <v>0</v>
      </c>
      <c r="F80" s="87">
        <v>0</v>
      </c>
      <c r="G80" s="87">
        <v>0</v>
      </c>
      <c r="H80" s="87">
        <v>0</v>
      </c>
      <c r="I80" s="87">
        <v>0</v>
      </c>
      <c r="J80" s="87">
        <v>0</v>
      </c>
      <c r="K80" s="87">
        <v>0</v>
      </c>
      <c r="L80" s="87">
        <v>0</v>
      </c>
      <c r="M80" s="87">
        <v>0</v>
      </c>
      <c r="N80" s="87">
        <v>0</v>
      </c>
      <c r="O80" s="87">
        <v>0</v>
      </c>
      <c r="P80" s="87">
        <v>0</v>
      </c>
      <c r="Q80" s="87">
        <v>0</v>
      </c>
      <c r="R80" s="87">
        <v>0</v>
      </c>
      <c r="S80" s="87">
        <v>0</v>
      </c>
      <c r="T80" s="87">
        <v>0</v>
      </c>
      <c r="U80" s="87">
        <v>0</v>
      </c>
      <c r="V80" s="87">
        <v>0</v>
      </c>
      <c r="W80" s="87">
        <v>0</v>
      </c>
      <c r="X80" s="87">
        <v>0</v>
      </c>
      <c r="Y80" s="87">
        <v>0</v>
      </c>
      <c r="Z80" s="87">
        <v>0</v>
      </c>
      <c r="AA80" s="87">
        <v>0</v>
      </c>
      <c r="AB80" s="87">
        <v>0</v>
      </c>
      <c r="AC80" s="87">
        <v>0</v>
      </c>
      <c r="AD80" s="87">
        <v>0</v>
      </c>
      <c r="AE80" s="87">
        <v>0</v>
      </c>
      <c r="AF80" s="87">
        <v>0</v>
      </c>
      <c r="AG80" s="87">
        <v>0</v>
      </c>
      <c r="AH80" s="87">
        <v>0</v>
      </c>
      <c r="AI80" s="87">
        <v>0</v>
      </c>
      <c r="AJ80" s="87">
        <v>0</v>
      </c>
      <c r="AK80" s="87">
        <v>0</v>
      </c>
      <c r="AL80" s="87">
        <v>0</v>
      </c>
      <c r="AM80" s="87">
        <v>0</v>
      </c>
      <c r="AN80" s="87">
        <v>0</v>
      </c>
      <c r="AO80" s="87">
        <v>0</v>
      </c>
      <c r="AP80" s="87">
        <v>0</v>
      </c>
      <c r="AQ80" s="87">
        <v>0</v>
      </c>
      <c r="AR80" s="87">
        <v>0</v>
      </c>
      <c r="AS80" s="87">
        <v>0</v>
      </c>
      <c r="AT80" s="87">
        <v>0</v>
      </c>
      <c r="AU80" s="87">
        <v>0</v>
      </c>
      <c r="AV80" s="87">
        <v>0</v>
      </c>
      <c r="AW80" s="87">
        <v>0</v>
      </c>
      <c r="AX80" s="87">
        <v>0</v>
      </c>
      <c r="AY80" s="87">
        <v>0</v>
      </c>
      <c r="AZ80" s="87">
        <v>0</v>
      </c>
      <c r="BA80" s="87">
        <v>0</v>
      </c>
      <c r="BB80" s="87">
        <v>0</v>
      </c>
      <c r="BC80" s="87">
        <v>0</v>
      </c>
      <c r="BD80" s="87">
        <v>0</v>
      </c>
      <c r="BE80" s="87">
        <v>0</v>
      </c>
      <c r="BF80" s="87">
        <v>0</v>
      </c>
    </row>
    <row r="81" spans="1:58" ht="14.1" customHeight="1">
      <c r="A81" s="75">
        <f t="shared" si="223"/>
        <v>75</v>
      </c>
      <c r="B81" s="76" t="s">
        <v>235</v>
      </c>
      <c r="C81" s="80">
        <f t="shared" si="224"/>
        <v>0</v>
      </c>
      <c r="D81" s="87">
        <v>0</v>
      </c>
      <c r="E81" s="87">
        <v>0</v>
      </c>
      <c r="F81" s="87">
        <v>0</v>
      </c>
      <c r="G81" s="87">
        <v>0</v>
      </c>
      <c r="H81" s="87">
        <v>0</v>
      </c>
      <c r="I81" s="87">
        <v>0</v>
      </c>
      <c r="J81" s="87">
        <v>0</v>
      </c>
      <c r="K81" s="87">
        <v>0</v>
      </c>
      <c r="L81" s="87">
        <v>0</v>
      </c>
      <c r="M81" s="87">
        <v>0</v>
      </c>
      <c r="N81" s="87">
        <v>0</v>
      </c>
      <c r="O81" s="87">
        <v>0</v>
      </c>
      <c r="P81" s="87">
        <v>0</v>
      </c>
      <c r="Q81" s="87">
        <v>0</v>
      </c>
      <c r="R81" s="87">
        <v>0</v>
      </c>
      <c r="S81" s="87">
        <v>0</v>
      </c>
      <c r="T81" s="87">
        <v>0</v>
      </c>
      <c r="U81" s="87">
        <v>0</v>
      </c>
      <c r="V81" s="87">
        <v>0</v>
      </c>
      <c r="W81" s="87">
        <v>0</v>
      </c>
      <c r="X81" s="87">
        <v>0</v>
      </c>
      <c r="Y81" s="87">
        <v>0</v>
      </c>
      <c r="Z81" s="87">
        <v>0</v>
      </c>
      <c r="AA81" s="87">
        <v>0</v>
      </c>
      <c r="AB81" s="87">
        <v>0</v>
      </c>
      <c r="AC81" s="87">
        <v>0</v>
      </c>
      <c r="AD81" s="87">
        <v>0</v>
      </c>
      <c r="AE81" s="87">
        <v>0</v>
      </c>
      <c r="AF81" s="87">
        <v>0</v>
      </c>
      <c r="AG81" s="87">
        <v>0</v>
      </c>
      <c r="AH81" s="87">
        <v>0</v>
      </c>
      <c r="AI81" s="87">
        <v>0</v>
      </c>
      <c r="AJ81" s="87">
        <v>0</v>
      </c>
      <c r="AK81" s="87">
        <v>0</v>
      </c>
      <c r="AL81" s="87">
        <v>0</v>
      </c>
      <c r="AM81" s="87">
        <v>0</v>
      </c>
      <c r="AN81" s="87">
        <v>0</v>
      </c>
      <c r="AO81" s="87">
        <v>0</v>
      </c>
      <c r="AP81" s="87">
        <v>0</v>
      </c>
      <c r="AQ81" s="87">
        <v>0</v>
      </c>
      <c r="AR81" s="87">
        <v>0</v>
      </c>
      <c r="AS81" s="87">
        <v>0</v>
      </c>
      <c r="AT81" s="87">
        <v>0</v>
      </c>
      <c r="AU81" s="87">
        <v>0</v>
      </c>
      <c r="AV81" s="87">
        <v>0</v>
      </c>
      <c r="AW81" s="87">
        <v>0</v>
      </c>
      <c r="AX81" s="87">
        <v>0</v>
      </c>
      <c r="AY81" s="87">
        <v>0</v>
      </c>
      <c r="AZ81" s="87">
        <v>0</v>
      </c>
      <c r="BA81" s="87">
        <v>0</v>
      </c>
      <c r="BB81" s="87">
        <v>0</v>
      </c>
      <c r="BC81" s="87">
        <v>0</v>
      </c>
      <c r="BD81" s="87">
        <v>0</v>
      </c>
      <c r="BE81" s="87">
        <v>0</v>
      </c>
      <c r="BF81" s="87">
        <v>0</v>
      </c>
    </row>
    <row r="82" spans="1:58" ht="14.1" customHeight="1">
      <c r="A82" s="75">
        <f t="shared" si="223"/>
        <v>76</v>
      </c>
      <c r="B82" s="90" t="s">
        <v>236</v>
      </c>
      <c r="C82" s="80">
        <f t="shared" si="224"/>
        <v>0</v>
      </c>
      <c r="D82" s="87">
        <v>0</v>
      </c>
      <c r="E82" s="87">
        <v>0</v>
      </c>
      <c r="F82" s="87">
        <v>0</v>
      </c>
      <c r="G82" s="87">
        <v>0</v>
      </c>
      <c r="H82" s="87">
        <v>0</v>
      </c>
      <c r="I82" s="87">
        <v>0</v>
      </c>
      <c r="J82" s="87">
        <v>0</v>
      </c>
      <c r="K82" s="87">
        <v>0</v>
      </c>
      <c r="L82" s="87">
        <v>0</v>
      </c>
      <c r="M82" s="87">
        <v>0</v>
      </c>
      <c r="N82" s="87">
        <v>0</v>
      </c>
      <c r="O82" s="87">
        <v>0</v>
      </c>
      <c r="P82" s="87">
        <v>0</v>
      </c>
      <c r="Q82" s="87">
        <v>0</v>
      </c>
      <c r="R82" s="87">
        <v>0</v>
      </c>
      <c r="S82" s="87">
        <v>0</v>
      </c>
      <c r="T82" s="87">
        <v>0</v>
      </c>
      <c r="U82" s="87">
        <v>0</v>
      </c>
      <c r="V82" s="87">
        <v>0</v>
      </c>
      <c r="W82" s="87">
        <v>0</v>
      </c>
      <c r="X82" s="87">
        <v>0</v>
      </c>
      <c r="Y82" s="87">
        <v>0</v>
      </c>
      <c r="Z82" s="87">
        <v>0</v>
      </c>
      <c r="AA82" s="87">
        <v>0</v>
      </c>
      <c r="AB82" s="87">
        <v>0</v>
      </c>
      <c r="AC82" s="87">
        <v>0</v>
      </c>
      <c r="AD82" s="87">
        <v>0</v>
      </c>
      <c r="AE82" s="87">
        <v>0</v>
      </c>
      <c r="AF82" s="87">
        <v>0</v>
      </c>
      <c r="AG82" s="87">
        <v>0</v>
      </c>
      <c r="AH82" s="87">
        <v>0</v>
      </c>
      <c r="AI82" s="87">
        <v>0</v>
      </c>
      <c r="AJ82" s="87">
        <v>0</v>
      </c>
      <c r="AK82" s="87">
        <v>0</v>
      </c>
      <c r="AL82" s="87">
        <v>0</v>
      </c>
      <c r="AM82" s="87">
        <v>0</v>
      </c>
      <c r="AN82" s="87">
        <v>0</v>
      </c>
      <c r="AO82" s="87">
        <v>0</v>
      </c>
      <c r="AP82" s="87">
        <v>0</v>
      </c>
      <c r="AQ82" s="87">
        <v>0</v>
      </c>
      <c r="AR82" s="87">
        <v>0</v>
      </c>
      <c r="AS82" s="87">
        <v>0</v>
      </c>
      <c r="AT82" s="87">
        <v>0</v>
      </c>
      <c r="AU82" s="87">
        <v>0</v>
      </c>
      <c r="AV82" s="87">
        <v>0</v>
      </c>
      <c r="AW82" s="87">
        <v>0</v>
      </c>
      <c r="AX82" s="87">
        <v>0</v>
      </c>
      <c r="AY82" s="87">
        <v>0</v>
      </c>
      <c r="AZ82" s="87">
        <v>0</v>
      </c>
      <c r="BA82" s="87">
        <v>0</v>
      </c>
      <c r="BB82" s="87">
        <v>0</v>
      </c>
      <c r="BC82" s="87">
        <v>0</v>
      </c>
      <c r="BD82" s="87">
        <v>0</v>
      </c>
      <c r="BE82" s="87">
        <v>0</v>
      </c>
      <c r="BF82" s="87">
        <v>0</v>
      </c>
    </row>
    <row r="83" spans="1:58" s="95" customFormat="1" ht="14.1" customHeight="1">
      <c r="A83" s="75">
        <f t="shared" si="223"/>
        <v>77</v>
      </c>
      <c r="B83" s="93" t="s">
        <v>761</v>
      </c>
      <c r="C83" s="97">
        <f t="shared" ref="C83:V83" si="225">SUM(C77:C82)</f>
        <v>0</v>
      </c>
      <c r="D83" s="97">
        <f t="shared" si="225"/>
        <v>0</v>
      </c>
      <c r="E83" s="97">
        <f t="shared" si="225"/>
        <v>0</v>
      </c>
      <c r="F83" s="97">
        <f t="shared" si="225"/>
        <v>0</v>
      </c>
      <c r="G83" s="97">
        <f t="shared" si="225"/>
        <v>0</v>
      </c>
      <c r="H83" s="97">
        <f t="shared" si="225"/>
        <v>0</v>
      </c>
      <c r="I83" s="97">
        <f t="shared" si="225"/>
        <v>0</v>
      </c>
      <c r="J83" s="97">
        <f t="shared" si="225"/>
        <v>0</v>
      </c>
      <c r="K83" s="97">
        <f t="shared" si="225"/>
        <v>0</v>
      </c>
      <c r="L83" s="97">
        <f t="shared" si="225"/>
        <v>0</v>
      </c>
      <c r="M83" s="97">
        <f t="shared" si="225"/>
        <v>0</v>
      </c>
      <c r="N83" s="97">
        <f t="shared" si="225"/>
        <v>0</v>
      </c>
      <c r="O83" s="97">
        <f t="shared" si="225"/>
        <v>0</v>
      </c>
      <c r="P83" s="97">
        <f t="shared" si="225"/>
        <v>0</v>
      </c>
      <c r="Q83" s="97">
        <f t="shared" si="225"/>
        <v>0</v>
      </c>
      <c r="R83" s="97">
        <f t="shared" si="225"/>
        <v>0</v>
      </c>
      <c r="S83" s="97">
        <f t="shared" si="225"/>
        <v>0</v>
      </c>
      <c r="T83" s="97">
        <f t="shared" si="225"/>
        <v>0</v>
      </c>
      <c r="U83" s="97">
        <f t="shared" si="225"/>
        <v>0</v>
      </c>
      <c r="V83" s="97">
        <f t="shared" si="225"/>
        <v>0</v>
      </c>
      <c r="W83" s="97">
        <f>SUM(W77:W82)</f>
        <v>0</v>
      </c>
      <c r="X83" s="97">
        <f t="shared" ref="X83:AD83" si="226">SUM(X77:X82)</f>
        <v>0</v>
      </c>
      <c r="Y83" s="97">
        <f>SUM(Y77:Y82)</f>
        <v>0</v>
      </c>
      <c r="Z83" s="97">
        <f t="shared" si="226"/>
        <v>0</v>
      </c>
      <c r="AA83" s="97">
        <f t="shared" si="226"/>
        <v>0</v>
      </c>
      <c r="AB83" s="97">
        <f t="shared" si="226"/>
        <v>0</v>
      </c>
      <c r="AC83" s="97">
        <f t="shared" si="226"/>
        <v>0</v>
      </c>
      <c r="AD83" s="97">
        <f t="shared" si="226"/>
        <v>0</v>
      </c>
      <c r="AE83" s="97">
        <f>SUM(AE77:AE82)</f>
        <v>0</v>
      </c>
      <c r="AF83" s="97">
        <f>SUM(AF77:AF82)</f>
        <v>0</v>
      </c>
      <c r="AG83" s="97">
        <f>SUM(AG77:AG82)</f>
        <v>0</v>
      </c>
      <c r="AH83" s="97">
        <f t="shared" ref="AH83:AL83" si="227">SUM(AH77:AH82)</f>
        <v>0</v>
      </c>
      <c r="AI83" s="97">
        <f t="shared" si="227"/>
        <v>0</v>
      </c>
      <c r="AJ83" s="97">
        <f t="shared" si="227"/>
        <v>0</v>
      </c>
      <c r="AK83" s="97">
        <f t="shared" si="227"/>
        <v>0</v>
      </c>
      <c r="AL83" s="97">
        <f t="shared" si="227"/>
        <v>0</v>
      </c>
      <c r="AM83" s="97">
        <f>SUM(AM77:AM82)</f>
        <v>0</v>
      </c>
      <c r="AN83" s="97">
        <f>SUM(AN77:AN82)</f>
        <v>0</v>
      </c>
      <c r="AO83" s="97">
        <f>SUM(AO77:AO82)</f>
        <v>0</v>
      </c>
      <c r="AP83" s="97">
        <f>SUM(AP77:AP82)</f>
        <v>0</v>
      </c>
      <c r="AQ83" s="97">
        <f>SUM(AQ77:AQ82)</f>
        <v>0</v>
      </c>
      <c r="AR83" s="97">
        <f t="shared" ref="AR83" si="228">SUM(AR77:AR82)</f>
        <v>0</v>
      </c>
      <c r="AS83" s="97">
        <f>SUM(AS77:AS82)</f>
        <v>0</v>
      </c>
      <c r="AT83" s="97">
        <f t="shared" ref="AT83:AV83" si="229">SUM(AT77:AT82)</f>
        <v>0</v>
      </c>
      <c r="AU83" s="97">
        <f t="shared" si="229"/>
        <v>0</v>
      </c>
      <c r="AV83" s="97">
        <f t="shared" si="229"/>
        <v>0</v>
      </c>
      <c r="AW83" s="97">
        <f>SUM(AW77:AW82)</f>
        <v>0</v>
      </c>
      <c r="AX83" s="97">
        <f t="shared" ref="AX83:BF83" si="230">SUM(AX77:AX82)</f>
        <v>0</v>
      </c>
      <c r="AY83" s="97">
        <f t="shared" si="230"/>
        <v>0</v>
      </c>
      <c r="AZ83" s="97">
        <f t="shared" si="230"/>
        <v>0</v>
      </c>
      <c r="BA83" s="97">
        <f t="shared" si="230"/>
        <v>0</v>
      </c>
      <c r="BB83" s="97">
        <f t="shared" si="230"/>
        <v>0</v>
      </c>
      <c r="BC83" s="97">
        <f t="shared" si="230"/>
        <v>0</v>
      </c>
      <c r="BD83" s="97">
        <f t="shared" si="230"/>
        <v>0</v>
      </c>
      <c r="BE83" s="97">
        <f t="shared" si="230"/>
        <v>0</v>
      </c>
      <c r="BF83" s="97">
        <f t="shared" si="230"/>
        <v>0</v>
      </c>
    </row>
    <row r="84" spans="1:58" s="95" customFormat="1" ht="14.1" customHeight="1">
      <c r="A84" s="75">
        <f t="shared" si="223"/>
        <v>78</v>
      </c>
      <c r="B84" s="96"/>
      <c r="C84" s="96"/>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row>
    <row r="85" spans="1:58" ht="14.1" customHeight="1">
      <c r="A85" s="75">
        <f t="shared" si="223"/>
        <v>79</v>
      </c>
      <c r="B85" s="81" t="s">
        <v>238</v>
      </c>
      <c r="C85" s="81"/>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row>
    <row r="86" spans="1:58" ht="14.1" customHeight="1">
      <c r="A86" s="75">
        <f t="shared" si="223"/>
        <v>80</v>
      </c>
      <c r="B86" s="76" t="s">
        <v>239</v>
      </c>
      <c r="C86" s="80">
        <f t="shared" ref="C86:C93" si="231">SUM(D86:BF86)</f>
        <v>0</v>
      </c>
      <c r="D86" s="87">
        <v>0</v>
      </c>
      <c r="E86" s="87">
        <v>0</v>
      </c>
      <c r="F86" s="87">
        <v>0</v>
      </c>
      <c r="G86" s="87">
        <v>0</v>
      </c>
      <c r="H86" s="87">
        <v>0</v>
      </c>
      <c r="I86" s="87">
        <v>0</v>
      </c>
      <c r="J86" s="87">
        <v>0</v>
      </c>
      <c r="K86" s="87">
        <v>0</v>
      </c>
      <c r="L86" s="87">
        <v>0</v>
      </c>
      <c r="M86" s="87">
        <v>0</v>
      </c>
      <c r="N86" s="87">
        <v>0</v>
      </c>
      <c r="O86" s="87">
        <v>0</v>
      </c>
      <c r="P86" s="87">
        <v>0</v>
      </c>
      <c r="Q86" s="87">
        <v>0</v>
      </c>
      <c r="R86" s="87">
        <v>0</v>
      </c>
      <c r="S86" s="87">
        <v>0</v>
      </c>
      <c r="T86" s="87">
        <v>0</v>
      </c>
      <c r="U86" s="87">
        <v>0</v>
      </c>
      <c r="V86" s="87">
        <v>0</v>
      </c>
      <c r="W86" s="87">
        <v>0</v>
      </c>
      <c r="X86" s="87">
        <v>0</v>
      </c>
      <c r="Y86" s="87">
        <v>0</v>
      </c>
      <c r="Z86" s="87">
        <v>0</v>
      </c>
      <c r="AA86" s="87">
        <v>0</v>
      </c>
      <c r="AB86" s="87">
        <v>0</v>
      </c>
      <c r="AC86" s="87">
        <v>0</v>
      </c>
      <c r="AD86" s="87">
        <v>0</v>
      </c>
      <c r="AE86" s="87">
        <v>0</v>
      </c>
      <c r="AF86" s="87">
        <v>0</v>
      </c>
      <c r="AG86" s="87">
        <v>0</v>
      </c>
      <c r="AH86" s="87">
        <v>0</v>
      </c>
      <c r="AI86" s="87">
        <v>0</v>
      </c>
      <c r="AJ86" s="87">
        <v>0</v>
      </c>
      <c r="AK86" s="87">
        <v>0</v>
      </c>
      <c r="AL86" s="87">
        <v>0</v>
      </c>
      <c r="AM86" s="87">
        <v>0</v>
      </c>
      <c r="AN86" s="87">
        <v>0</v>
      </c>
      <c r="AO86" s="87">
        <v>0</v>
      </c>
      <c r="AP86" s="87">
        <v>0</v>
      </c>
      <c r="AQ86" s="87">
        <v>0</v>
      </c>
      <c r="AR86" s="87">
        <v>0</v>
      </c>
      <c r="AS86" s="87">
        <v>0</v>
      </c>
      <c r="AT86" s="87">
        <v>0</v>
      </c>
      <c r="AU86" s="87">
        <v>0</v>
      </c>
      <c r="AV86" s="87">
        <v>0</v>
      </c>
      <c r="AW86" s="87">
        <v>0</v>
      </c>
      <c r="AX86" s="87">
        <v>0</v>
      </c>
      <c r="AY86" s="87">
        <v>0</v>
      </c>
      <c r="AZ86" s="87">
        <v>0</v>
      </c>
      <c r="BA86" s="87">
        <v>0</v>
      </c>
      <c r="BB86" s="87">
        <v>0</v>
      </c>
      <c r="BC86" s="87">
        <v>0</v>
      </c>
      <c r="BD86" s="87">
        <v>0</v>
      </c>
      <c r="BE86" s="87">
        <v>0</v>
      </c>
      <c r="BF86" s="87">
        <v>0</v>
      </c>
    </row>
    <row r="87" spans="1:58" ht="14.1" customHeight="1">
      <c r="A87" s="75">
        <f t="shared" si="223"/>
        <v>81</v>
      </c>
      <c r="B87" s="76" t="s">
        <v>240</v>
      </c>
      <c r="C87" s="80">
        <f t="shared" si="231"/>
        <v>0</v>
      </c>
      <c r="D87" s="87">
        <v>0</v>
      </c>
      <c r="E87" s="87">
        <v>0</v>
      </c>
      <c r="F87" s="87">
        <v>0</v>
      </c>
      <c r="G87" s="87">
        <v>0</v>
      </c>
      <c r="H87" s="87">
        <v>0</v>
      </c>
      <c r="I87" s="87">
        <v>0</v>
      </c>
      <c r="J87" s="87">
        <v>0</v>
      </c>
      <c r="K87" s="87">
        <v>0</v>
      </c>
      <c r="L87" s="87">
        <v>0</v>
      </c>
      <c r="M87" s="87">
        <v>0</v>
      </c>
      <c r="N87" s="87">
        <v>0</v>
      </c>
      <c r="O87" s="87">
        <v>0</v>
      </c>
      <c r="P87" s="87">
        <v>0</v>
      </c>
      <c r="Q87" s="87">
        <v>0</v>
      </c>
      <c r="R87" s="87">
        <v>0</v>
      </c>
      <c r="S87" s="87">
        <v>0</v>
      </c>
      <c r="T87" s="87">
        <v>0</v>
      </c>
      <c r="U87" s="87">
        <v>0</v>
      </c>
      <c r="V87" s="87">
        <v>0</v>
      </c>
      <c r="W87" s="87">
        <v>0</v>
      </c>
      <c r="X87" s="87">
        <v>0</v>
      </c>
      <c r="Y87" s="87">
        <v>0</v>
      </c>
      <c r="Z87" s="87">
        <v>0</v>
      </c>
      <c r="AA87" s="87">
        <v>0</v>
      </c>
      <c r="AB87" s="87">
        <v>0</v>
      </c>
      <c r="AC87" s="87">
        <v>0</v>
      </c>
      <c r="AD87" s="87">
        <v>0</v>
      </c>
      <c r="AE87" s="87">
        <v>0</v>
      </c>
      <c r="AF87" s="87">
        <v>0</v>
      </c>
      <c r="AG87" s="87">
        <v>0</v>
      </c>
      <c r="AH87" s="87">
        <v>0</v>
      </c>
      <c r="AI87" s="87">
        <v>0</v>
      </c>
      <c r="AJ87" s="87">
        <v>0</v>
      </c>
      <c r="AK87" s="87">
        <v>0</v>
      </c>
      <c r="AL87" s="87">
        <v>0</v>
      </c>
      <c r="AM87" s="87">
        <v>0</v>
      </c>
      <c r="AN87" s="87">
        <v>0</v>
      </c>
      <c r="AO87" s="87">
        <v>0</v>
      </c>
      <c r="AP87" s="87">
        <v>0</v>
      </c>
      <c r="AQ87" s="87">
        <v>0</v>
      </c>
      <c r="AR87" s="87">
        <v>0</v>
      </c>
      <c r="AS87" s="87">
        <v>0</v>
      </c>
      <c r="AT87" s="87">
        <v>0</v>
      </c>
      <c r="AU87" s="87">
        <v>0</v>
      </c>
      <c r="AV87" s="87">
        <v>0</v>
      </c>
      <c r="AW87" s="87">
        <v>0</v>
      </c>
      <c r="AX87" s="87">
        <v>0</v>
      </c>
      <c r="AY87" s="87">
        <v>0</v>
      </c>
      <c r="AZ87" s="87">
        <v>0</v>
      </c>
      <c r="BA87" s="87">
        <v>0</v>
      </c>
      <c r="BB87" s="87">
        <v>0</v>
      </c>
      <c r="BC87" s="87">
        <v>0</v>
      </c>
      <c r="BD87" s="87">
        <v>0</v>
      </c>
      <c r="BE87" s="87">
        <v>0</v>
      </c>
      <c r="BF87" s="87">
        <v>0</v>
      </c>
    </row>
    <row r="88" spans="1:58" ht="14.1" customHeight="1">
      <c r="A88" s="75">
        <f t="shared" si="223"/>
        <v>82</v>
      </c>
      <c r="B88" s="76" t="s">
        <v>241</v>
      </c>
      <c r="C88" s="80">
        <f t="shared" si="231"/>
        <v>0</v>
      </c>
      <c r="D88" s="87">
        <v>0</v>
      </c>
      <c r="E88" s="87">
        <v>0</v>
      </c>
      <c r="F88" s="87">
        <v>0</v>
      </c>
      <c r="G88" s="87">
        <v>0</v>
      </c>
      <c r="H88" s="87">
        <v>0</v>
      </c>
      <c r="I88" s="87">
        <v>0</v>
      </c>
      <c r="J88" s="87">
        <v>0</v>
      </c>
      <c r="K88" s="87">
        <v>0</v>
      </c>
      <c r="L88" s="87">
        <v>0</v>
      </c>
      <c r="M88" s="87">
        <v>0</v>
      </c>
      <c r="N88" s="87">
        <v>0</v>
      </c>
      <c r="O88" s="87">
        <v>0</v>
      </c>
      <c r="P88" s="87">
        <v>0</v>
      </c>
      <c r="Q88" s="87">
        <v>0</v>
      </c>
      <c r="R88" s="87">
        <v>0</v>
      </c>
      <c r="S88" s="87">
        <v>0</v>
      </c>
      <c r="T88" s="87">
        <v>0</v>
      </c>
      <c r="U88" s="87">
        <v>0</v>
      </c>
      <c r="V88" s="87">
        <v>0</v>
      </c>
      <c r="W88" s="87">
        <v>0</v>
      </c>
      <c r="X88" s="87">
        <v>0</v>
      </c>
      <c r="Y88" s="87">
        <v>0</v>
      </c>
      <c r="Z88" s="87">
        <v>0</v>
      </c>
      <c r="AA88" s="87">
        <v>0</v>
      </c>
      <c r="AB88" s="87">
        <v>0</v>
      </c>
      <c r="AC88" s="87">
        <v>0</v>
      </c>
      <c r="AD88" s="87">
        <v>0</v>
      </c>
      <c r="AE88" s="87">
        <v>0</v>
      </c>
      <c r="AF88" s="87">
        <v>0</v>
      </c>
      <c r="AG88" s="87">
        <v>0</v>
      </c>
      <c r="AH88" s="87">
        <v>0</v>
      </c>
      <c r="AI88" s="87">
        <v>0</v>
      </c>
      <c r="AJ88" s="87">
        <v>0</v>
      </c>
      <c r="AK88" s="87">
        <v>0</v>
      </c>
      <c r="AL88" s="87">
        <v>0</v>
      </c>
      <c r="AM88" s="87">
        <v>0</v>
      </c>
      <c r="AN88" s="87">
        <v>0</v>
      </c>
      <c r="AO88" s="87">
        <v>0</v>
      </c>
      <c r="AP88" s="87">
        <v>0</v>
      </c>
      <c r="AQ88" s="87">
        <v>0</v>
      </c>
      <c r="AR88" s="87">
        <v>0</v>
      </c>
      <c r="AS88" s="87">
        <v>0</v>
      </c>
      <c r="AT88" s="87">
        <v>0</v>
      </c>
      <c r="AU88" s="87">
        <v>0</v>
      </c>
      <c r="AV88" s="87">
        <v>0</v>
      </c>
      <c r="AW88" s="87">
        <v>0</v>
      </c>
      <c r="AX88" s="87">
        <v>0</v>
      </c>
      <c r="AY88" s="87">
        <v>0</v>
      </c>
      <c r="AZ88" s="87">
        <v>0</v>
      </c>
      <c r="BA88" s="87">
        <v>0</v>
      </c>
      <c r="BB88" s="87">
        <v>0</v>
      </c>
      <c r="BC88" s="87">
        <v>0</v>
      </c>
      <c r="BD88" s="87">
        <v>0</v>
      </c>
      <c r="BE88" s="87">
        <v>0</v>
      </c>
      <c r="BF88" s="87">
        <v>0</v>
      </c>
    </row>
    <row r="89" spans="1:58" ht="14.1" customHeight="1">
      <c r="A89" s="75">
        <f t="shared" si="223"/>
        <v>83</v>
      </c>
      <c r="B89" s="76" t="s">
        <v>242</v>
      </c>
      <c r="C89" s="80">
        <f t="shared" si="231"/>
        <v>0</v>
      </c>
      <c r="D89" s="87">
        <v>0</v>
      </c>
      <c r="E89" s="87">
        <v>0</v>
      </c>
      <c r="F89" s="87">
        <v>0</v>
      </c>
      <c r="G89" s="87">
        <v>0</v>
      </c>
      <c r="H89" s="87">
        <v>0</v>
      </c>
      <c r="I89" s="87">
        <v>0</v>
      </c>
      <c r="J89" s="87">
        <v>0</v>
      </c>
      <c r="K89" s="87">
        <v>0</v>
      </c>
      <c r="L89" s="87">
        <v>0</v>
      </c>
      <c r="M89" s="87">
        <v>0</v>
      </c>
      <c r="N89" s="87">
        <v>0</v>
      </c>
      <c r="O89" s="87">
        <v>0</v>
      </c>
      <c r="P89" s="87">
        <v>0</v>
      </c>
      <c r="Q89" s="87">
        <v>0</v>
      </c>
      <c r="R89" s="87">
        <v>0</v>
      </c>
      <c r="S89" s="87">
        <v>0</v>
      </c>
      <c r="T89" s="87">
        <v>0</v>
      </c>
      <c r="U89" s="87">
        <v>0</v>
      </c>
      <c r="V89" s="87">
        <v>0</v>
      </c>
      <c r="W89" s="87">
        <v>0</v>
      </c>
      <c r="X89" s="87">
        <v>0</v>
      </c>
      <c r="Y89" s="87">
        <v>0</v>
      </c>
      <c r="Z89" s="87">
        <v>0</v>
      </c>
      <c r="AA89" s="87">
        <v>0</v>
      </c>
      <c r="AB89" s="87">
        <v>0</v>
      </c>
      <c r="AC89" s="87">
        <v>0</v>
      </c>
      <c r="AD89" s="87">
        <v>0</v>
      </c>
      <c r="AE89" s="87">
        <v>0</v>
      </c>
      <c r="AF89" s="87">
        <v>0</v>
      </c>
      <c r="AG89" s="87">
        <v>0</v>
      </c>
      <c r="AH89" s="87">
        <v>0</v>
      </c>
      <c r="AI89" s="87">
        <v>0</v>
      </c>
      <c r="AJ89" s="87">
        <v>0</v>
      </c>
      <c r="AK89" s="87">
        <v>0</v>
      </c>
      <c r="AL89" s="87">
        <v>0</v>
      </c>
      <c r="AM89" s="87">
        <v>0</v>
      </c>
      <c r="AN89" s="87">
        <v>0</v>
      </c>
      <c r="AO89" s="87">
        <v>0</v>
      </c>
      <c r="AP89" s="87">
        <v>0</v>
      </c>
      <c r="AQ89" s="87">
        <v>0</v>
      </c>
      <c r="AR89" s="87">
        <v>0</v>
      </c>
      <c r="AS89" s="87">
        <v>0</v>
      </c>
      <c r="AT89" s="87">
        <v>0</v>
      </c>
      <c r="AU89" s="87">
        <v>0</v>
      </c>
      <c r="AV89" s="87">
        <v>0</v>
      </c>
      <c r="AW89" s="87">
        <v>0</v>
      </c>
      <c r="AX89" s="87">
        <v>0</v>
      </c>
      <c r="AY89" s="87">
        <v>0</v>
      </c>
      <c r="AZ89" s="87">
        <v>0</v>
      </c>
      <c r="BA89" s="87">
        <v>0</v>
      </c>
      <c r="BB89" s="87">
        <v>0</v>
      </c>
      <c r="BC89" s="87">
        <v>0</v>
      </c>
      <c r="BD89" s="87">
        <v>0</v>
      </c>
      <c r="BE89" s="87">
        <v>0</v>
      </c>
      <c r="BF89" s="87">
        <v>0</v>
      </c>
    </row>
    <row r="90" spans="1:58" ht="14.1" customHeight="1">
      <c r="A90" s="75">
        <f t="shared" si="223"/>
        <v>84</v>
      </c>
      <c r="B90" s="76" t="s">
        <v>243</v>
      </c>
      <c r="C90" s="80">
        <f t="shared" si="231"/>
        <v>0</v>
      </c>
      <c r="D90" s="87">
        <v>0</v>
      </c>
      <c r="E90" s="87">
        <v>0</v>
      </c>
      <c r="F90" s="87">
        <v>0</v>
      </c>
      <c r="G90" s="87">
        <v>0</v>
      </c>
      <c r="H90" s="87">
        <v>0</v>
      </c>
      <c r="I90" s="87">
        <v>0</v>
      </c>
      <c r="J90" s="87">
        <v>0</v>
      </c>
      <c r="K90" s="87">
        <v>0</v>
      </c>
      <c r="L90" s="87">
        <v>0</v>
      </c>
      <c r="M90" s="87">
        <v>0</v>
      </c>
      <c r="N90" s="87">
        <v>0</v>
      </c>
      <c r="O90" s="87">
        <v>0</v>
      </c>
      <c r="P90" s="87">
        <v>0</v>
      </c>
      <c r="Q90" s="87">
        <v>0</v>
      </c>
      <c r="R90" s="87">
        <v>0</v>
      </c>
      <c r="S90" s="87">
        <v>0</v>
      </c>
      <c r="T90" s="87">
        <v>0</v>
      </c>
      <c r="U90" s="87">
        <v>0</v>
      </c>
      <c r="V90" s="87">
        <v>0</v>
      </c>
      <c r="W90" s="87">
        <v>0</v>
      </c>
      <c r="X90" s="87">
        <v>0</v>
      </c>
      <c r="Y90" s="87">
        <v>0</v>
      </c>
      <c r="Z90" s="87">
        <v>0</v>
      </c>
      <c r="AA90" s="87">
        <v>0</v>
      </c>
      <c r="AB90" s="87">
        <v>0</v>
      </c>
      <c r="AC90" s="87">
        <v>0</v>
      </c>
      <c r="AD90" s="87">
        <v>0</v>
      </c>
      <c r="AE90" s="87">
        <v>0</v>
      </c>
      <c r="AF90" s="87">
        <v>0</v>
      </c>
      <c r="AG90" s="87">
        <v>0</v>
      </c>
      <c r="AH90" s="87">
        <v>0</v>
      </c>
      <c r="AI90" s="87">
        <v>0</v>
      </c>
      <c r="AJ90" s="87">
        <v>0</v>
      </c>
      <c r="AK90" s="87">
        <v>0</v>
      </c>
      <c r="AL90" s="87">
        <v>0</v>
      </c>
      <c r="AM90" s="87">
        <v>0</v>
      </c>
      <c r="AN90" s="87">
        <v>0</v>
      </c>
      <c r="AO90" s="87">
        <v>0</v>
      </c>
      <c r="AP90" s="87">
        <v>0</v>
      </c>
      <c r="AQ90" s="87">
        <v>0</v>
      </c>
      <c r="AR90" s="87">
        <v>0</v>
      </c>
      <c r="AS90" s="87">
        <v>0</v>
      </c>
      <c r="AT90" s="87">
        <v>0</v>
      </c>
      <c r="AU90" s="87">
        <v>0</v>
      </c>
      <c r="AV90" s="87">
        <v>0</v>
      </c>
      <c r="AW90" s="87">
        <v>0</v>
      </c>
      <c r="AX90" s="87">
        <v>0</v>
      </c>
      <c r="AY90" s="87">
        <v>0</v>
      </c>
      <c r="AZ90" s="87">
        <v>0</v>
      </c>
      <c r="BA90" s="87">
        <v>0</v>
      </c>
      <c r="BB90" s="87">
        <v>0</v>
      </c>
      <c r="BC90" s="87">
        <v>0</v>
      </c>
      <c r="BD90" s="87">
        <v>0</v>
      </c>
      <c r="BE90" s="87">
        <v>0</v>
      </c>
      <c r="BF90" s="87">
        <v>0</v>
      </c>
    </row>
    <row r="91" spans="1:58" ht="14.1" customHeight="1">
      <c r="A91" s="75">
        <f t="shared" si="223"/>
        <v>85</v>
      </c>
      <c r="B91" s="76" t="s">
        <v>244</v>
      </c>
      <c r="C91" s="80">
        <f t="shared" si="231"/>
        <v>0</v>
      </c>
      <c r="D91" s="87">
        <v>0</v>
      </c>
      <c r="E91" s="87">
        <v>0</v>
      </c>
      <c r="F91" s="87">
        <v>0</v>
      </c>
      <c r="G91" s="87">
        <v>0</v>
      </c>
      <c r="H91" s="87">
        <v>0</v>
      </c>
      <c r="I91" s="87">
        <v>0</v>
      </c>
      <c r="J91" s="87">
        <v>0</v>
      </c>
      <c r="K91" s="87">
        <v>0</v>
      </c>
      <c r="L91" s="87">
        <v>0</v>
      </c>
      <c r="M91" s="87">
        <v>0</v>
      </c>
      <c r="N91" s="87">
        <v>0</v>
      </c>
      <c r="O91" s="87">
        <v>0</v>
      </c>
      <c r="P91" s="87">
        <v>0</v>
      </c>
      <c r="Q91" s="87">
        <v>0</v>
      </c>
      <c r="R91" s="87">
        <v>0</v>
      </c>
      <c r="S91" s="87">
        <v>0</v>
      </c>
      <c r="T91" s="87">
        <v>0</v>
      </c>
      <c r="U91" s="87">
        <v>0</v>
      </c>
      <c r="V91" s="87">
        <v>0</v>
      </c>
      <c r="W91" s="87">
        <v>0</v>
      </c>
      <c r="X91" s="87">
        <v>0</v>
      </c>
      <c r="Y91" s="87">
        <v>0</v>
      </c>
      <c r="Z91" s="87">
        <v>0</v>
      </c>
      <c r="AA91" s="87">
        <v>0</v>
      </c>
      <c r="AB91" s="87">
        <v>0</v>
      </c>
      <c r="AC91" s="87">
        <v>0</v>
      </c>
      <c r="AD91" s="87">
        <v>0</v>
      </c>
      <c r="AE91" s="87">
        <v>0</v>
      </c>
      <c r="AF91" s="87">
        <v>0</v>
      </c>
      <c r="AG91" s="87">
        <v>0</v>
      </c>
      <c r="AH91" s="87">
        <v>0</v>
      </c>
      <c r="AI91" s="87">
        <v>0</v>
      </c>
      <c r="AJ91" s="87">
        <v>0</v>
      </c>
      <c r="AK91" s="87">
        <v>0</v>
      </c>
      <c r="AL91" s="87">
        <v>0</v>
      </c>
      <c r="AM91" s="87">
        <v>0</v>
      </c>
      <c r="AN91" s="87">
        <v>0</v>
      </c>
      <c r="AO91" s="87">
        <v>0</v>
      </c>
      <c r="AP91" s="87">
        <v>0</v>
      </c>
      <c r="AQ91" s="87">
        <v>0</v>
      </c>
      <c r="AR91" s="87">
        <v>0</v>
      </c>
      <c r="AS91" s="87">
        <v>0</v>
      </c>
      <c r="AT91" s="87">
        <v>0</v>
      </c>
      <c r="AU91" s="87">
        <v>0</v>
      </c>
      <c r="AV91" s="87">
        <v>0</v>
      </c>
      <c r="AW91" s="87">
        <v>0</v>
      </c>
      <c r="AX91" s="87">
        <v>0</v>
      </c>
      <c r="AY91" s="87">
        <v>0</v>
      </c>
      <c r="AZ91" s="87">
        <v>0</v>
      </c>
      <c r="BA91" s="87">
        <v>0</v>
      </c>
      <c r="BB91" s="87">
        <v>0</v>
      </c>
      <c r="BC91" s="87">
        <v>0</v>
      </c>
      <c r="BD91" s="87">
        <v>0</v>
      </c>
      <c r="BE91" s="87">
        <v>0</v>
      </c>
      <c r="BF91" s="87">
        <v>0</v>
      </c>
    </row>
    <row r="92" spans="1:58" ht="14.1" customHeight="1">
      <c r="A92" s="75">
        <f t="shared" si="223"/>
        <v>86</v>
      </c>
      <c r="B92" s="76" t="s">
        <v>245</v>
      </c>
      <c r="C92" s="80">
        <f t="shared" si="231"/>
        <v>0</v>
      </c>
      <c r="D92" s="87">
        <v>0</v>
      </c>
      <c r="E92" s="87">
        <v>0</v>
      </c>
      <c r="F92" s="87">
        <v>0</v>
      </c>
      <c r="G92" s="87">
        <v>0</v>
      </c>
      <c r="H92" s="87">
        <v>0</v>
      </c>
      <c r="I92" s="87">
        <v>0</v>
      </c>
      <c r="J92" s="87">
        <v>0</v>
      </c>
      <c r="K92" s="87">
        <v>0</v>
      </c>
      <c r="L92" s="87">
        <v>0</v>
      </c>
      <c r="M92" s="87">
        <v>0</v>
      </c>
      <c r="N92" s="87">
        <v>0</v>
      </c>
      <c r="O92" s="87">
        <v>0</v>
      </c>
      <c r="P92" s="87">
        <v>0</v>
      </c>
      <c r="Q92" s="87">
        <v>0</v>
      </c>
      <c r="R92" s="87">
        <v>0</v>
      </c>
      <c r="S92" s="87">
        <v>0</v>
      </c>
      <c r="T92" s="87">
        <v>0</v>
      </c>
      <c r="U92" s="87">
        <v>0</v>
      </c>
      <c r="V92" s="87">
        <v>0</v>
      </c>
      <c r="W92" s="87">
        <v>0</v>
      </c>
      <c r="X92" s="87">
        <v>0</v>
      </c>
      <c r="Y92" s="87">
        <v>0</v>
      </c>
      <c r="Z92" s="87">
        <v>0</v>
      </c>
      <c r="AA92" s="87">
        <v>0</v>
      </c>
      <c r="AB92" s="87">
        <v>0</v>
      </c>
      <c r="AC92" s="87">
        <v>0</v>
      </c>
      <c r="AD92" s="87">
        <v>0</v>
      </c>
      <c r="AE92" s="87">
        <v>0</v>
      </c>
      <c r="AF92" s="87">
        <v>0</v>
      </c>
      <c r="AG92" s="87">
        <v>0</v>
      </c>
      <c r="AH92" s="87">
        <v>0</v>
      </c>
      <c r="AI92" s="87">
        <v>0</v>
      </c>
      <c r="AJ92" s="87">
        <v>0</v>
      </c>
      <c r="AK92" s="87">
        <v>0</v>
      </c>
      <c r="AL92" s="87">
        <v>0</v>
      </c>
      <c r="AM92" s="87">
        <v>0</v>
      </c>
      <c r="AN92" s="87">
        <v>0</v>
      </c>
      <c r="AO92" s="87">
        <v>0</v>
      </c>
      <c r="AP92" s="87">
        <v>0</v>
      </c>
      <c r="AQ92" s="87">
        <v>0</v>
      </c>
      <c r="AR92" s="87">
        <v>0</v>
      </c>
      <c r="AS92" s="87">
        <v>0</v>
      </c>
      <c r="AT92" s="87">
        <v>0</v>
      </c>
      <c r="AU92" s="87">
        <v>0</v>
      </c>
      <c r="AV92" s="87">
        <v>0</v>
      </c>
      <c r="AW92" s="87">
        <v>0</v>
      </c>
      <c r="AX92" s="87">
        <v>0</v>
      </c>
      <c r="AY92" s="87">
        <v>0</v>
      </c>
      <c r="AZ92" s="87">
        <v>0</v>
      </c>
      <c r="BA92" s="87">
        <v>0</v>
      </c>
      <c r="BB92" s="87">
        <v>0</v>
      </c>
      <c r="BC92" s="87">
        <v>0</v>
      </c>
      <c r="BD92" s="87">
        <v>0</v>
      </c>
      <c r="BE92" s="87">
        <v>0</v>
      </c>
      <c r="BF92" s="87">
        <v>0</v>
      </c>
    </row>
    <row r="93" spans="1:58" ht="13.5" customHeight="1">
      <c r="A93" s="75">
        <f t="shared" si="223"/>
        <v>87</v>
      </c>
      <c r="B93" s="90" t="s">
        <v>246</v>
      </c>
      <c r="C93" s="80">
        <f t="shared" si="231"/>
        <v>0</v>
      </c>
      <c r="D93" s="87">
        <v>0</v>
      </c>
      <c r="E93" s="87">
        <v>0</v>
      </c>
      <c r="F93" s="87">
        <v>0</v>
      </c>
      <c r="G93" s="87">
        <v>0</v>
      </c>
      <c r="H93" s="87">
        <v>0</v>
      </c>
      <c r="I93" s="87">
        <v>0</v>
      </c>
      <c r="J93" s="87">
        <v>0</v>
      </c>
      <c r="K93" s="87">
        <v>0</v>
      </c>
      <c r="L93" s="87">
        <v>0</v>
      </c>
      <c r="M93" s="87">
        <v>0</v>
      </c>
      <c r="N93" s="87">
        <v>0</v>
      </c>
      <c r="O93" s="87">
        <v>0</v>
      </c>
      <c r="P93" s="87">
        <v>0</v>
      </c>
      <c r="Q93" s="87">
        <v>0</v>
      </c>
      <c r="R93" s="87">
        <v>0</v>
      </c>
      <c r="S93" s="87">
        <v>0</v>
      </c>
      <c r="T93" s="87">
        <v>0</v>
      </c>
      <c r="U93" s="87">
        <v>0</v>
      </c>
      <c r="V93" s="87">
        <v>0</v>
      </c>
      <c r="W93" s="87">
        <v>0</v>
      </c>
      <c r="X93" s="87">
        <v>0</v>
      </c>
      <c r="Y93" s="87">
        <v>0</v>
      </c>
      <c r="Z93" s="87">
        <v>0</v>
      </c>
      <c r="AA93" s="87">
        <v>0</v>
      </c>
      <c r="AB93" s="87">
        <v>0</v>
      </c>
      <c r="AC93" s="87">
        <v>0</v>
      </c>
      <c r="AD93" s="87">
        <v>0</v>
      </c>
      <c r="AE93" s="87">
        <v>0</v>
      </c>
      <c r="AF93" s="87">
        <v>0</v>
      </c>
      <c r="AG93" s="87">
        <v>0</v>
      </c>
      <c r="AH93" s="87">
        <v>0</v>
      </c>
      <c r="AI93" s="87">
        <v>0</v>
      </c>
      <c r="AJ93" s="87">
        <v>0</v>
      </c>
      <c r="AK93" s="87">
        <v>0</v>
      </c>
      <c r="AL93" s="87">
        <v>0</v>
      </c>
      <c r="AM93" s="87">
        <v>0</v>
      </c>
      <c r="AN93" s="87">
        <v>0</v>
      </c>
      <c r="AO93" s="87">
        <v>0</v>
      </c>
      <c r="AP93" s="87">
        <v>0</v>
      </c>
      <c r="AQ93" s="87">
        <v>0</v>
      </c>
      <c r="AR93" s="87">
        <v>0</v>
      </c>
      <c r="AS93" s="87">
        <v>0</v>
      </c>
      <c r="AT93" s="87">
        <v>0</v>
      </c>
      <c r="AU93" s="87">
        <v>0</v>
      </c>
      <c r="AV93" s="87">
        <v>0</v>
      </c>
      <c r="AW93" s="87">
        <v>0</v>
      </c>
      <c r="AX93" s="87">
        <v>0</v>
      </c>
      <c r="AY93" s="87">
        <v>0</v>
      </c>
      <c r="AZ93" s="87">
        <v>0</v>
      </c>
      <c r="BA93" s="87">
        <v>0</v>
      </c>
      <c r="BB93" s="87">
        <v>0</v>
      </c>
      <c r="BC93" s="87">
        <v>0</v>
      </c>
      <c r="BD93" s="87">
        <v>0</v>
      </c>
      <c r="BE93" s="87">
        <v>0</v>
      </c>
      <c r="BF93" s="87">
        <v>0</v>
      </c>
    </row>
    <row r="94" spans="1:58" s="95" customFormat="1" ht="14.1" customHeight="1">
      <c r="A94" s="75">
        <f t="shared" si="223"/>
        <v>88</v>
      </c>
      <c r="B94" s="93" t="s">
        <v>762</v>
      </c>
      <c r="C94" s="97">
        <f t="shared" ref="C94:V94" si="232">SUM(C86:C93)</f>
        <v>0</v>
      </c>
      <c r="D94" s="97">
        <f t="shared" si="232"/>
        <v>0</v>
      </c>
      <c r="E94" s="97">
        <f t="shared" si="232"/>
        <v>0</v>
      </c>
      <c r="F94" s="97">
        <f t="shared" si="232"/>
        <v>0</v>
      </c>
      <c r="G94" s="97">
        <f t="shared" si="232"/>
        <v>0</v>
      </c>
      <c r="H94" s="97">
        <f t="shared" si="232"/>
        <v>0</v>
      </c>
      <c r="I94" s="97">
        <f t="shared" si="232"/>
        <v>0</v>
      </c>
      <c r="J94" s="97">
        <f t="shared" si="232"/>
        <v>0</v>
      </c>
      <c r="K94" s="97">
        <f t="shared" si="232"/>
        <v>0</v>
      </c>
      <c r="L94" s="97">
        <f t="shared" si="232"/>
        <v>0</v>
      </c>
      <c r="M94" s="97">
        <f t="shared" si="232"/>
        <v>0</v>
      </c>
      <c r="N94" s="97">
        <f t="shared" si="232"/>
        <v>0</v>
      </c>
      <c r="O94" s="97">
        <f t="shared" si="232"/>
        <v>0</v>
      </c>
      <c r="P94" s="97">
        <f t="shared" si="232"/>
        <v>0</v>
      </c>
      <c r="Q94" s="97">
        <f t="shared" si="232"/>
        <v>0</v>
      </c>
      <c r="R94" s="97">
        <f t="shared" si="232"/>
        <v>0</v>
      </c>
      <c r="S94" s="97">
        <f t="shared" si="232"/>
        <v>0</v>
      </c>
      <c r="T94" s="97">
        <f t="shared" si="232"/>
        <v>0</v>
      </c>
      <c r="U94" s="97">
        <f t="shared" si="232"/>
        <v>0</v>
      </c>
      <c r="V94" s="97">
        <f t="shared" si="232"/>
        <v>0</v>
      </c>
      <c r="W94" s="97">
        <f>SUM(W86:W93)</f>
        <v>0</v>
      </c>
      <c r="X94" s="97">
        <f t="shared" ref="X94:AD94" si="233">SUM(X86:X93)</f>
        <v>0</v>
      </c>
      <c r="Y94" s="97">
        <f>SUM(Y86:Y93)</f>
        <v>0</v>
      </c>
      <c r="Z94" s="97">
        <f t="shared" si="233"/>
        <v>0</v>
      </c>
      <c r="AA94" s="97">
        <f t="shared" si="233"/>
        <v>0</v>
      </c>
      <c r="AB94" s="97">
        <f t="shared" si="233"/>
        <v>0</v>
      </c>
      <c r="AC94" s="97">
        <f t="shared" si="233"/>
        <v>0</v>
      </c>
      <c r="AD94" s="97">
        <f t="shared" si="233"/>
        <v>0</v>
      </c>
      <c r="AE94" s="97">
        <f>SUM(AE86:AE93)</f>
        <v>0</v>
      </c>
      <c r="AF94" s="97">
        <f>SUM(AF86:AF93)</f>
        <v>0</v>
      </c>
      <c r="AG94" s="97">
        <f>SUM(AG86:AG93)</f>
        <v>0</v>
      </c>
      <c r="AH94" s="97">
        <f t="shared" ref="AH94:AL94" si="234">SUM(AH86:AH93)</f>
        <v>0</v>
      </c>
      <c r="AI94" s="97">
        <f t="shared" si="234"/>
        <v>0</v>
      </c>
      <c r="AJ94" s="97">
        <f t="shared" si="234"/>
        <v>0</v>
      </c>
      <c r="AK94" s="97">
        <f t="shared" si="234"/>
        <v>0</v>
      </c>
      <c r="AL94" s="97">
        <f t="shared" si="234"/>
        <v>0</v>
      </c>
      <c r="AM94" s="97">
        <f>SUM(AM86:AM93)</f>
        <v>0</v>
      </c>
      <c r="AN94" s="97">
        <f>SUM(AN86:AN93)</f>
        <v>0</v>
      </c>
      <c r="AO94" s="97">
        <f>SUM(AO86:AO93)</f>
        <v>0</v>
      </c>
      <c r="AP94" s="97">
        <f>SUM(AP86:AP93)</f>
        <v>0</v>
      </c>
      <c r="AQ94" s="97">
        <f>SUM(AQ86:AQ93)</f>
        <v>0</v>
      </c>
      <c r="AR94" s="97">
        <f t="shared" ref="AR94" si="235">SUM(AR86:AR93)</f>
        <v>0</v>
      </c>
      <c r="AS94" s="97">
        <f>SUM(AS86:AS93)</f>
        <v>0</v>
      </c>
      <c r="AT94" s="97">
        <f t="shared" ref="AT94:AV94" si="236">SUM(AT86:AT93)</f>
        <v>0</v>
      </c>
      <c r="AU94" s="97">
        <f t="shared" si="236"/>
        <v>0</v>
      </c>
      <c r="AV94" s="97">
        <f t="shared" si="236"/>
        <v>0</v>
      </c>
      <c r="AW94" s="97">
        <f>SUM(AW86:AW93)</f>
        <v>0</v>
      </c>
      <c r="AX94" s="97">
        <f t="shared" ref="AX94:BF94" si="237">SUM(AX86:AX93)</f>
        <v>0</v>
      </c>
      <c r="AY94" s="97">
        <f t="shared" si="237"/>
        <v>0</v>
      </c>
      <c r="AZ94" s="97">
        <f t="shared" si="237"/>
        <v>0</v>
      </c>
      <c r="BA94" s="97">
        <f t="shared" si="237"/>
        <v>0</v>
      </c>
      <c r="BB94" s="97">
        <f t="shared" si="237"/>
        <v>0</v>
      </c>
      <c r="BC94" s="97">
        <f t="shared" si="237"/>
        <v>0</v>
      </c>
      <c r="BD94" s="97">
        <f t="shared" si="237"/>
        <v>0</v>
      </c>
      <c r="BE94" s="97">
        <f t="shared" si="237"/>
        <v>0</v>
      </c>
      <c r="BF94" s="97">
        <f t="shared" si="237"/>
        <v>0</v>
      </c>
    </row>
    <row r="95" spans="1:58" s="95" customFormat="1" ht="14.1" customHeight="1">
      <c r="A95" s="75">
        <f t="shared" si="223"/>
        <v>89</v>
      </c>
      <c r="B95" s="96"/>
      <c r="C95" s="96"/>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2"/>
      <c r="AT95" s="112"/>
      <c r="AU95" s="112"/>
      <c r="AV95" s="112"/>
      <c r="AW95" s="112"/>
      <c r="AX95" s="112"/>
      <c r="AY95" s="112"/>
      <c r="AZ95" s="112"/>
      <c r="BA95" s="112"/>
      <c r="BB95" s="112"/>
      <c r="BC95" s="112"/>
      <c r="BD95" s="112"/>
      <c r="BE95" s="112"/>
      <c r="BF95" s="112"/>
    </row>
    <row r="96" spans="1:58" ht="14.1" customHeight="1">
      <c r="A96" s="75">
        <f t="shared" si="223"/>
        <v>90</v>
      </c>
      <c r="B96" s="81" t="s">
        <v>248</v>
      </c>
      <c r="C96" s="81"/>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row>
    <row r="97" spans="1:58" ht="14.1" customHeight="1">
      <c r="A97" s="75">
        <f t="shared" si="223"/>
        <v>91</v>
      </c>
      <c r="B97" s="76" t="s">
        <v>249</v>
      </c>
      <c r="C97" s="80">
        <f t="shared" ref="C97:C103" si="238">SUM(D97:BF97)</f>
        <v>0</v>
      </c>
      <c r="D97" s="87">
        <v>0</v>
      </c>
      <c r="E97" s="87">
        <v>0</v>
      </c>
      <c r="F97" s="87">
        <v>0</v>
      </c>
      <c r="G97" s="87">
        <v>0</v>
      </c>
      <c r="H97" s="87">
        <v>0</v>
      </c>
      <c r="I97" s="87">
        <v>0</v>
      </c>
      <c r="J97" s="87">
        <v>0</v>
      </c>
      <c r="K97" s="87">
        <v>0</v>
      </c>
      <c r="L97" s="87">
        <v>0</v>
      </c>
      <c r="M97" s="87">
        <v>0</v>
      </c>
      <c r="N97" s="87">
        <v>0</v>
      </c>
      <c r="O97" s="87">
        <v>0</v>
      </c>
      <c r="P97" s="87">
        <v>0</v>
      </c>
      <c r="Q97" s="87">
        <v>0</v>
      </c>
      <c r="R97" s="87">
        <v>0</v>
      </c>
      <c r="S97" s="87">
        <v>0</v>
      </c>
      <c r="T97" s="87">
        <v>0</v>
      </c>
      <c r="U97" s="87">
        <v>0</v>
      </c>
      <c r="V97" s="87">
        <v>0</v>
      </c>
      <c r="W97" s="87">
        <v>0</v>
      </c>
      <c r="X97" s="87">
        <v>0</v>
      </c>
      <c r="Y97" s="87">
        <v>0</v>
      </c>
      <c r="Z97" s="87">
        <v>0</v>
      </c>
      <c r="AA97" s="87">
        <v>0</v>
      </c>
      <c r="AB97" s="87">
        <v>0</v>
      </c>
      <c r="AC97" s="87">
        <v>0</v>
      </c>
      <c r="AD97" s="87">
        <v>0</v>
      </c>
      <c r="AE97" s="87">
        <v>0</v>
      </c>
      <c r="AF97" s="87">
        <v>0</v>
      </c>
      <c r="AG97" s="87">
        <v>0</v>
      </c>
      <c r="AH97" s="87">
        <v>0</v>
      </c>
      <c r="AI97" s="87">
        <v>0</v>
      </c>
      <c r="AJ97" s="87">
        <v>0</v>
      </c>
      <c r="AK97" s="87">
        <v>0</v>
      </c>
      <c r="AL97" s="87">
        <v>0</v>
      </c>
      <c r="AM97" s="87">
        <v>0</v>
      </c>
      <c r="AN97" s="87">
        <v>0</v>
      </c>
      <c r="AO97" s="87">
        <v>0</v>
      </c>
      <c r="AP97" s="87">
        <v>0</v>
      </c>
      <c r="AQ97" s="87">
        <v>0</v>
      </c>
      <c r="AR97" s="87">
        <v>0</v>
      </c>
      <c r="AS97" s="87">
        <v>0</v>
      </c>
      <c r="AT97" s="87">
        <v>0</v>
      </c>
      <c r="AU97" s="87">
        <v>0</v>
      </c>
      <c r="AV97" s="87">
        <v>0</v>
      </c>
      <c r="AW97" s="87">
        <v>0</v>
      </c>
      <c r="AX97" s="87">
        <v>0</v>
      </c>
      <c r="AY97" s="87">
        <v>0</v>
      </c>
      <c r="AZ97" s="87">
        <v>0</v>
      </c>
      <c r="BA97" s="87">
        <v>0</v>
      </c>
      <c r="BB97" s="87">
        <v>0</v>
      </c>
      <c r="BC97" s="87">
        <v>0</v>
      </c>
      <c r="BD97" s="87">
        <v>0</v>
      </c>
      <c r="BE97" s="87">
        <v>0</v>
      </c>
      <c r="BF97" s="87">
        <v>0</v>
      </c>
    </row>
    <row r="98" spans="1:58" ht="14.1" customHeight="1">
      <c r="A98" s="75">
        <f t="shared" si="223"/>
        <v>92</v>
      </c>
      <c r="B98" s="76" t="s">
        <v>250</v>
      </c>
      <c r="C98" s="80">
        <f t="shared" si="238"/>
        <v>0</v>
      </c>
      <c r="D98" s="87">
        <v>0</v>
      </c>
      <c r="E98" s="87">
        <v>0</v>
      </c>
      <c r="F98" s="87">
        <v>0</v>
      </c>
      <c r="G98" s="87">
        <v>0</v>
      </c>
      <c r="H98" s="87">
        <v>0</v>
      </c>
      <c r="I98" s="87">
        <v>0</v>
      </c>
      <c r="J98" s="87">
        <v>0</v>
      </c>
      <c r="K98" s="87">
        <v>0</v>
      </c>
      <c r="L98" s="87">
        <v>0</v>
      </c>
      <c r="M98" s="87">
        <v>0</v>
      </c>
      <c r="N98" s="87">
        <v>0</v>
      </c>
      <c r="O98" s="87">
        <v>0</v>
      </c>
      <c r="P98" s="87">
        <v>0</v>
      </c>
      <c r="Q98" s="87">
        <v>0</v>
      </c>
      <c r="R98" s="87">
        <v>0</v>
      </c>
      <c r="S98" s="87">
        <v>0</v>
      </c>
      <c r="T98" s="87">
        <v>0</v>
      </c>
      <c r="U98" s="87">
        <v>0</v>
      </c>
      <c r="V98" s="87">
        <v>0</v>
      </c>
      <c r="W98" s="87">
        <v>0</v>
      </c>
      <c r="X98" s="87">
        <v>0</v>
      </c>
      <c r="Y98" s="87">
        <v>0</v>
      </c>
      <c r="Z98" s="87">
        <v>0</v>
      </c>
      <c r="AA98" s="87">
        <v>0</v>
      </c>
      <c r="AB98" s="87">
        <v>0</v>
      </c>
      <c r="AC98" s="87">
        <v>0</v>
      </c>
      <c r="AD98" s="87">
        <v>0</v>
      </c>
      <c r="AE98" s="87">
        <v>0</v>
      </c>
      <c r="AF98" s="87">
        <v>0</v>
      </c>
      <c r="AG98" s="87">
        <v>0</v>
      </c>
      <c r="AH98" s="87">
        <v>0</v>
      </c>
      <c r="AI98" s="87">
        <v>0</v>
      </c>
      <c r="AJ98" s="87">
        <v>0</v>
      </c>
      <c r="AK98" s="87">
        <v>0</v>
      </c>
      <c r="AL98" s="87">
        <v>0</v>
      </c>
      <c r="AM98" s="87">
        <v>0</v>
      </c>
      <c r="AN98" s="87">
        <v>0</v>
      </c>
      <c r="AO98" s="87">
        <v>0</v>
      </c>
      <c r="AP98" s="87">
        <v>0</v>
      </c>
      <c r="AQ98" s="87">
        <v>0</v>
      </c>
      <c r="AR98" s="87">
        <v>0</v>
      </c>
      <c r="AS98" s="87">
        <v>0</v>
      </c>
      <c r="AT98" s="87">
        <v>0</v>
      </c>
      <c r="AU98" s="87">
        <v>0</v>
      </c>
      <c r="AV98" s="87">
        <v>0</v>
      </c>
      <c r="AW98" s="87">
        <v>0</v>
      </c>
      <c r="AX98" s="87">
        <v>0</v>
      </c>
      <c r="AY98" s="87">
        <v>0</v>
      </c>
      <c r="AZ98" s="87">
        <v>0</v>
      </c>
      <c r="BA98" s="87">
        <v>0</v>
      </c>
      <c r="BB98" s="87">
        <v>0</v>
      </c>
      <c r="BC98" s="87">
        <v>0</v>
      </c>
      <c r="BD98" s="87">
        <v>0</v>
      </c>
      <c r="BE98" s="87">
        <v>0</v>
      </c>
      <c r="BF98" s="87">
        <v>0</v>
      </c>
    </row>
    <row r="99" spans="1:58" ht="14.1" customHeight="1">
      <c r="A99" s="75">
        <f t="shared" si="223"/>
        <v>93</v>
      </c>
      <c r="B99" s="76" t="s">
        <v>251</v>
      </c>
      <c r="C99" s="80">
        <f t="shared" si="238"/>
        <v>0</v>
      </c>
      <c r="D99" s="87">
        <v>0</v>
      </c>
      <c r="E99" s="87">
        <v>0</v>
      </c>
      <c r="F99" s="87">
        <v>0</v>
      </c>
      <c r="G99" s="87">
        <v>0</v>
      </c>
      <c r="H99" s="87">
        <v>0</v>
      </c>
      <c r="I99" s="87">
        <v>0</v>
      </c>
      <c r="J99" s="87">
        <v>0</v>
      </c>
      <c r="K99" s="87">
        <v>0</v>
      </c>
      <c r="L99" s="87">
        <v>0</v>
      </c>
      <c r="M99" s="87">
        <v>0</v>
      </c>
      <c r="N99" s="87">
        <v>0</v>
      </c>
      <c r="O99" s="87">
        <v>0</v>
      </c>
      <c r="P99" s="87">
        <v>0</v>
      </c>
      <c r="Q99" s="87">
        <v>0</v>
      </c>
      <c r="R99" s="87">
        <v>0</v>
      </c>
      <c r="S99" s="87">
        <v>0</v>
      </c>
      <c r="T99" s="87">
        <v>0</v>
      </c>
      <c r="U99" s="87">
        <v>0</v>
      </c>
      <c r="V99" s="87">
        <v>0</v>
      </c>
      <c r="W99" s="87">
        <v>0</v>
      </c>
      <c r="X99" s="87">
        <v>0</v>
      </c>
      <c r="Y99" s="87">
        <v>0</v>
      </c>
      <c r="Z99" s="87">
        <v>0</v>
      </c>
      <c r="AA99" s="87">
        <v>0</v>
      </c>
      <c r="AB99" s="87">
        <v>0</v>
      </c>
      <c r="AC99" s="87">
        <v>0</v>
      </c>
      <c r="AD99" s="87">
        <v>0</v>
      </c>
      <c r="AE99" s="87">
        <v>0</v>
      </c>
      <c r="AF99" s="87">
        <v>0</v>
      </c>
      <c r="AG99" s="87">
        <v>0</v>
      </c>
      <c r="AH99" s="87">
        <v>0</v>
      </c>
      <c r="AI99" s="87">
        <v>0</v>
      </c>
      <c r="AJ99" s="87">
        <v>0</v>
      </c>
      <c r="AK99" s="87">
        <v>0</v>
      </c>
      <c r="AL99" s="87">
        <v>0</v>
      </c>
      <c r="AM99" s="87">
        <v>0</v>
      </c>
      <c r="AN99" s="87">
        <v>0</v>
      </c>
      <c r="AO99" s="87">
        <v>0</v>
      </c>
      <c r="AP99" s="87">
        <v>0</v>
      </c>
      <c r="AQ99" s="87">
        <v>0</v>
      </c>
      <c r="AR99" s="87">
        <v>0</v>
      </c>
      <c r="AS99" s="87">
        <v>0</v>
      </c>
      <c r="AT99" s="87">
        <v>0</v>
      </c>
      <c r="AU99" s="87">
        <v>0</v>
      </c>
      <c r="AV99" s="87">
        <v>0</v>
      </c>
      <c r="AW99" s="87">
        <v>0</v>
      </c>
      <c r="AX99" s="87">
        <v>0</v>
      </c>
      <c r="AY99" s="87">
        <v>0</v>
      </c>
      <c r="AZ99" s="87">
        <v>0</v>
      </c>
      <c r="BA99" s="87">
        <v>0</v>
      </c>
      <c r="BB99" s="87">
        <v>0</v>
      </c>
      <c r="BC99" s="87">
        <v>0</v>
      </c>
      <c r="BD99" s="87">
        <v>0</v>
      </c>
      <c r="BE99" s="87">
        <v>0</v>
      </c>
      <c r="BF99" s="87">
        <v>0</v>
      </c>
    </row>
    <row r="100" spans="1:58" ht="14.1" customHeight="1">
      <c r="A100" s="75">
        <f t="shared" si="223"/>
        <v>94</v>
      </c>
      <c r="B100" s="76" t="s">
        <v>252</v>
      </c>
      <c r="C100" s="80">
        <f t="shared" si="238"/>
        <v>0</v>
      </c>
      <c r="D100" s="87">
        <v>0</v>
      </c>
      <c r="E100" s="87">
        <v>0</v>
      </c>
      <c r="F100" s="87">
        <v>0</v>
      </c>
      <c r="G100" s="87">
        <v>0</v>
      </c>
      <c r="H100" s="87">
        <v>0</v>
      </c>
      <c r="I100" s="87">
        <v>0</v>
      </c>
      <c r="J100" s="87">
        <v>0</v>
      </c>
      <c r="K100" s="87">
        <v>0</v>
      </c>
      <c r="L100" s="87">
        <v>0</v>
      </c>
      <c r="M100" s="87">
        <v>0</v>
      </c>
      <c r="N100" s="87">
        <v>0</v>
      </c>
      <c r="O100" s="87">
        <v>0</v>
      </c>
      <c r="P100" s="87">
        <v>0</v>
      </c>
      <c r="Q100" s="87">
        <v>0</v>
      </c>
      <c r="R100" s="87">
        <v>0</v>
      </c>
      <c r="S100" s="87">
        <v>0</v>
      </c>
      <c r="T100" s="87">
        <v>0</v>
      </c>
      <c r="U100" s="87">
        <v>0</v>
      </c>
      <c r="V100" s="87">
        <v>0</v>
      </c>
      <c r="W100" s="87">
        <v>0</v>
      </c>
      <c r="X100" s="87">
        <v>0</v>
      </c>
      <c r="Y100" s="87">
        <v>0</v>
      </c>
      <c r="Z100" s="87">
        <v>0</v>
      </c>
      <c r="AA100" s="87">
        <v>0</v>
      </c>
      <c r="AB100" s="87">
        <v>0</v>
      </c>
      <c r="AC100" s="87">
        <v>0</v>
      </c>
      <c r="AD100" s="87">
        <v>0</v>
      </c>
      <c r="AE100" s="87">
        <v>0</v>
      </c>
      <c r="AF100" s="87">
        <v>0</v>
      </c>
      <c r="AG100" s="87">
        <v>0</v>
      </c>
      <c r="AH100" s="87">
        <v>0</v>
      </c>
      <c r="AI100" s="87">
        <v>0</v>
      </c>
      <c r="AJ100" s="87">
        <v>0</v>
      </c>
      <c r="AK100" s="87">
        <v>0</v>
      </c>
      <c r="AL100" s="87">
        <v>0</v>
      </c>
      <c r="AM100" s="87">
        <v>0</v>
      </c>
      <c r="AN100" s="87">
        <v>0</v>
      </c>
      <c r="AO100" s="87">
        <v>0</v>
      </c>
      <c r="AP100" s="87">
        <v>0</v>
      </c>
      <c r="AQ100" s="87">
        <v>0</v>
      </c>
      <c r="AR100" s="87">
        <v>0</v>
      </c>
      <c r="AS100" s="87">
        <v>0</v>
      </c>
      <c r="AT100" s="87">
        <v>0</v>
      </c>
      <c r="AU100" s="87">
        <v>0</v>
      </c>
      <c r="AV100" s="87">
        <v>0</v>
      </c>
      <c r="AW100" s="87">
        <v>0</v>
      </c>
      <c r="AX100" s="87">
        <v>0</v>
      </c>
      <c r="AY100" s="87">
        <v>0</v>
      </c>
      <c r="AZ100" s="87">
        <v>0</v>
      </c>
      <c r="BA100" s="87">
        <v>0</v>
      </c>
      <c r="BB100" s="87">
        <v>0</v>
      </c>
      <c r="BC100" s="87">
        <v>0</v>
      </c>
      <c r="BD100" s="87">
        <v>0</v>
      </c>
      <c r="BE100" s="87">
        <v>0</v>
      </c>
      <c r="BF100" s="87">
        <v>0</v>
      </c>
    </row>
    <row r="101" spans="1:58" ht="14.1" customHeight="1">
      <c r="A101" s="75">
        <f t="shared" si="223"/>
        <v>95</v>
      </c>
      <c r="B101" s="76" t="s">
        <v>253</v>
      </c>
      <c r="C101" s="80">
        <f t="shared" si="238"/>
        <v>0</v>
      </c>
      <c r="D101" s="87">
        <v>0</v>
      </c>
      <c r="E101" s="87">
        <v>0</v>
      </c>
      <c r="F101" s="87">
        <v>0</v>
      </c>
      <c r="G101" s="87">
        <v>0</v>
      </c>
      <c r="H101" s="87">
        <v>0</v>
      </c>
      <c r="I101" s="87">
        <v>0</v>
      </c>
      <c r="J101" s="87">
        <v>0</v>
      </c>
      <c r="K101" s="87">
        <v>0</v>
      </c>
      <c r="L101" s="87">
        <v>0</v>
      </c>
      <c r="M101" s="87">
        <v>0</v>
      </c>
      <c r="N101" s="87">
        <v>0</v>
      </c>
      <c r="O101" s="87">
        <v>0</v>
      </c>
      <c r="P101" s="87">
        <v>0</v>
      </c>
      <c r="Q101" s="87">
        <v>0</v>
      </c>
      <c r="R101" s="87">
        <v>0</v>
      </c>
      <c r="S101" s="87">
        <v>0</v>
      </c>
      <c r="T101" s="87">
        <v>0</v>
      </c>
      <c r="U101" s="87">
        <v>0</v>
      </c>
      <c r="V101" s="87">
        <v>0</v>
      </c>
      <c r="W101" s="87">
        <v>0</v>
      </c>
      <c r="X101" s="87">
        <v>0</v>
      </c>
      <c r="Y101" s="87">
        <v>0</v>
      </c>
      <c r="Z101" s="87">
        <v>0</v>
      </c>
      <c r="AA101" s="87">
        <v>0</v>
      </c>
      <c r="AB101" s="87">
        <v>0</v>
      </c>
      <c r="AC101" s="87">
        <v>0</v>
      </c>
      <c r="AD101" s="87">
        <v>0</v>
      </c>
      <c r="AE101" s="87">
        <v>0</v>
      </c>
      <c r="AF101" s="87">
        <v>0</v>
      </c>
      <c r="AG101" s="87">
        <v>0</v>
      </c>
      <c r="AH101" s="87">
        <v>0</v>
      </c>
      <c r="AI101" s="87">
        <v>0</v>
      </c>
      <c r="AJ101" s="87">
        <v>0</v>
      </c>
      <c r="AK101" s="87">
        <v>0</v>
      </c>
      <c r="AL101" s="87">
        <v>0</v>
      </c>
      <c r="AM101" s="87">
        <v>0</v>
      </c>
      <c r="AN101" s="87">
        <v>0</v>
      </c>
      <c r="AO101" s="87">
        <v>0</v>
      </c>
      <c r="AP101" s="87">
        <v>0</v>
      </c>
      <c r="AQ101" s="87">
        <v>0</v>
      </c>
      <c r="AR101" s="87">
        <v>0</v>
      </c>
      <c r="AS101" s="87">
        <v>0</v>
      </c>
      <c r="AT101" s="87">
        <v>0</v>
      </c>
      <c r="AU101" s="87">
        <v>0</v>
      </c>
      <c r="AV101" s="87">
        <v>0</v>
      </c>
      <c r="AW101" s="87">
        <v>0</v>
      </c>
      <c r="AX101" s="87">
        <v>0</v>
      </c>
      <c r="AY101" s="87">
        <v>0</v>
      </c>
      <c r="AZ101" s="87">
        <v>0</v>
      </c>
      <c r="BA101" s="87">
        <v>0</v>
      </c>
      <c r="BB101" s="87">
        <v>0</v>
      </c>
      <c r="BC101" s="87">
        <v>0</v>
      </c>
      <c r="BD101" s="87">
        <v>0</v>
      </c>
      <c r="BE101" s="87">
        <v>0</v>
      </c>
      <c r="BF101" s="87">
        <v>0</v>
      </c>
    </row>
    <row r="102" spans="1:58" ht="14.1" customHeight="1">
      <c r="A102" s="75">
        <f t="shared" si="223"/>
        <v>96</v>
      </c>
      <c r="B102" s="76" t="s">
        <v>254</v>
      </c>
      <c r="C102" s="80">
        <f t="shared" si="238"/>
        <v>0</v>
      </c>
      <c r="D102" s="87">
        <v>0</v>
      </c>
      <c r="E102" s="87">
        <v>0</v>
      </c>
      <c r="F102" s="87">
        <v>0</v>
      </c>
      <c r="G102" s="87">
        <v>0</v>
      </c>
      <c r="H102" s="87">
        <v>0</v>
      </c>
      <c r="I102" s="87">
        <v>0</v>
      </c>
      <c r="J102" s="87">
        <v>0</v>
      </c>
      <c r="K102" s="87">
        <v>0</v>
      </c>
      <c r="L102" s="87">
        <v>0</v>
      </c>
      <c r="M102" s="87">
        <v>0</v>
      </c>
      <c r="N102" s="87">
        <v>0</v>
      </c>
      <c r="O102" s="87">
        <v>0</v>
      </c>
      <c r="P102" s="87">
        <v>0</v>
      </c>
      <c r="Q102" s="87">
        <v>0</v>
      </c>
      <c r="R102" s="87">
        <v>0</v>
      </c>
      <c r="S102" s="87">
        <v>0</v>
      </c>
      <c r="T102" s="87">
        <v>0</v>
      </c>
      <c r="U102" s="87">
        <v>0</v>
      </c>
      <c r="V102" s="87">
        <v>0</v>
      </c>
      <c r="W102" s="87">
        <v>0</v>
      </c>
      <c r="X102" s="87">
        <v>0</v>
      </c>
      <c r="Y102" s="87">
        <v>0</v>
      </c>
      <c r="Z102" s="87">
        <v>0</v>
      </c>
      <c r="AA102" s="87">
        <v>0</v>
      </c>
      <c r="AB102" s="87">
        <v>0</v>
      </c>
      <c r="AC102" s="87">
        <v>0</v>
      </c>
      <c r="AD102" s="87">
        <v>0</v>
      </c>
      <c r="AE102" s="87">
        <v>0</v>
      </c>
      <c r="AF102" s="87">
        <v>0</v>
      </c>
      <c r="AG102" s="87">
        <v>0</v>
      </c>
      <c r="AH102" s="87">
        <v>0</v>
      </c>
      <c r="AI102" s="87">
        <v>0</v>
      </c>
      <c r="AJ102" s="87">
        <v>0</v>
      </c>
      <c r="AK102" s="87">
        <v>0</v>
      </c>
      <c r="AL102" s="87">
        <v>0</v>
      </c>
      <c r="AM102" s="87">
        <v>0</v>
      </c>
      <c r="AN102" s="87">
        <v>0</v>
      </c>
      <c r="AO102" s="87">
        <v>0</v>
      </c>
      <c r="AP102" s="87">
        <v>0</v>
      </c>
      <c r="AQ102" s="87">
        <v>0</v>
      </c>
      <c r="AR102" s="87">
        <v>0</v>
      </c>
      <c r="AS102" s="87">
        <v>0</v>
      </c>
      <c r="AT102" s="87">
        <v>0</v>
      </c>
      <c r="AU102" s="87">
        <v>0</v>
      </c>
      <c r="AV102" s="87">
        <v>0</v>
      </c>
      <c r="AW102" s="87">
        <v>0</v>
      </c>
      <c r="AX102" s="87">
        <v>0</v>
      </c>
      <c r="AY102" s="87">
        <v>0</v>
      </c>
      <c r="AZ102" s="87">
        <v>0</v>
      </c>
      <c r="BA102" s="87">
        <v>0</v>
      </c>
      <c r="BB102" s="87">
        <v>0</v>
      </c>
      <c r="BC102" s="87">
        <v>0</v>
      </c>
      <c r="BD102" s="87">
        <v>0</v>
      </c>
      <c r="BE102" s="87">
        <v>0</v>
      </c>
      <c r="BF102" s="87">
        <v>0</v>
      </c>
    </row>
    <row r="103" spans="1:58" ht="14.1" customHeight="1">
      <c r="A103" s="75">
        <f t="shared" si="223"/>
        <v>97</v>
      </c>
      <c r="B103" s="90" t="s">
        <v>255</v>
      </c>
      <c r="C103" s="80">
        <f t="shared" si="238"/>
        <v>0</v>
      </c>
      <c r="D103" s="87">
        <v>0</v>
      </c>
      <c r="E103" s="87">
        <v>0</v>
      </c>
      <c r="F103" s="87">
        <v>0</v>
      </c>
      <c r="G103" s="87">
        <v>0</v>
      </c>
      <c r="H103" s="87">
        <v>0</v>
      </c>
      <c r="I103" s="87">
        <v>0</v>
      </c>
      <c r="J103" s="87">
        <v>0</v>
      </c>
      <c r="K103" s="87">
        <v>0</v>
      </c>
      <c r="L103" s="87">
        <v>0</v>
      </c>
      <c r="M103" s="87">
        <v>0</v>
      </c>
      <c r="N103" s="87">
        <v>0</v>
      </c>
      <c r="O103" s="87">
        <v>0</v>
      </c>
      <c r="P103" s="87">
        <v>0</v>
      </c>
      <c r="Q103" s="87">
        <v>0</v>
      </c>
      <c r="R103" s="87">
        <v>0</v>
      </c>
      <c r="S103" s="87">
        <v>0</v>
      </c>
      <c r="T103" s="87">
        <v>0</v>
      </c>
      <c r="U103" s="87">
        <v>0</v>
      </c>
      <c r="V103" s="87">
        <v>0</v>
      </c>
      <c r="W103" s="87">
        <v>0</v>
      </c>
      <c r="X103" s="87">
        <v>0</v>
      </c>
      <c r="Y103" s="87">
        <v>0</v>
      </c>
      <c r="Z103" s="87">
        <v>0</v>
      </c>
      <c r="AA103" s="87">
        <v>0</v>
      </c>
      <c r="AB103" s="87">
        <v>0</v>
      </c>
      <c r="AC103" s="87">
        <v>0</v>
      </c>
      <c r="AD103" s="87">
        <v>0</v>
      </c>
      <c r="AE103" s="87">
        <v>0</v>
      </c>
      <c r="AF103" s="87">
        <v>0</v>
      </c>
      <c r="AG103" s="87">
        <v>0</v>
      </c>
      <c r="AH103" s="87">
        <v>0</v>
      </c>
      <c r="AI103" s="87">
        <v>0</v>
      </c>
      <c r="AJ103" s="87">
        <v>0</v>
      </c>
      <c r="AK103" s="87">
        <v>0</v>
      </c>
      <c r="AL103" s="87">
        <v>0</v>
      </c>
      <c r="AM103" s="87">
        <v>0</v>
      </c>
      <c r="AN103" s="87">
        <v>0</v>
      </c>
      <c r="AO103" s="87">
        <v>0</v>
      </c>
      <c r="AP103" s="87">
        <v>0</v>
      </c>
      <c r="AQ103" s="87">
        <v>0</v>
      </c>
      <c r="AR103" s="87">
        <v>0</v>
      </c>
      <c r="AS103" s="87">
        <v>0</v>
      </c>
      <c r="AT103" s="87">
        <v>0</v>
      </c>
      <c r="AU103" s="87">
        <v>0</v>
      </c>
      <c r="AV103" s="87">
        <v>0</v>
      </c>
      <c r="AW103" s="87">
        <v>0</v>
      </c>
      <c r="AX103" s="87">
        <v>0</v>
      </c>
      <c r="AY103" s="87">
        <v>0</v>
      </c>
      <c r="AZ103" s="87">
        <v>0</v>
      </c>
      <c r="BA103" s="87">
        <v>0</v>
      </c>
      <c r="BB103" s="87">
        <v>0</v>
      </c>
      <c r="BC103" s="87">
        <v>0</v>
      </c>
      <c r="BD103" s="87">
        <v>0</v>
      </c>
      <c r="BE103" s="87">
        <v>0</v>
      </c>
      <c r="BF103" s="87">
        <v>0</v>
      </c>
    </row>
    <row r="104" spans="1:58" s="95" customFormat="1" ht="14.1" customHeight="1">
      <c r="A104" s="75">
        <f t="shared" si="223"/>
        <v>98</v>
      </c>
      <c r="B104" s="93" t="s">
        <v>763</v>
      </c>
      <c r="C104" s="97">
        <f t="shared" ref="C104:V104" si="239">SUM(C96:C103)</f>
        <v>0</v>
      </c>
      <c r="D104" s="97">
        <f t="shared" si="239"/>
        <v>0</v>
      </c>
      <c r="E104" s="97">
        <f t="shared" si="239"/>
        <v>0</v>
      </c>
      <c r="F104" s="97">
        <f t="shared" si="239"/>
        <v>0</v>
      </c>
      <c r="G104" s="97">
        <f t="shared" si="239"/>
        <v>0</v>
      </c>
      <c r="H104" s="97">
        <f t="shared" si="239"/>
        <v>0</v>
      </c>
      <c r="I104" s="97">
        <f t="shared" si="239"/>
        <v>0</v>
      </c>
      <c r="J104" s="97">
        <f t="shared" si="239"/>
        <v>0</v>
      </c>
      <c r="K104" s="97">
        <f t="shared" si="239"/>
        <v>0</v>
      </c>
      <c r="L104" s="97">
        <f t="shared" si="239"/>
        <v>0</v>
      </c>
      <c r="M104" s="97">
        <f t="shared" si="239"/>
        <v>0</v>
      </c>
      <c r="N104" s="97">
        <f t="shared" si="239"/>
        <v>0</v>
      </c>
      <c r="O104" s="97">
        <f t="shared" si="239"/>
        <v>0</v>
      </c>
      <c r="P104" s="97">
        <f t="shared" si="239"/>
        <v>0</v>
      </c>
      <c r="Q104" s="97">
        <f t="shared" si="239"/>
        <v>0</v>
      </c>
      <c r="R104" s="97">
        <f t="shared" si="239"/>
        <v>0</v>
      </c>
      <c r="S104" s="97">
        <f t="shared" si="239"/>
        <v>0</v>
      </c>
      <c r="T104" s="97">
        <f t="shared" si="239"/>
        <v>0</v>
      </c>
      <c r="U104" s="97">
        <f t="shared" si="239"/>
        <v>0</v>
      </c>
      <c r="V104" s="97">
        <f t="shared" si="239"/>
        <v>0</v>
      </c>
      <c r="W104" s="97">
        <f>SUM(W96:W103)</f>
        <v>0</v>
      </c>
      <c r="X104" s="97">
        <f t="shared" ref="X104:AD104" si="240">SUM(X96:X103)</f>
        <v>0</v>
      </c>
      <c r="Y104" s="97">
        <f>SUM(Y96:Y103)</f>
        <v>0</v>
      </c>
      <c r="Z104" s="97">
        <f t="shared" si="240"/>
        <v>0</v>
      </c>
      <c r="AA104" s="97">
        <f t="shared" si="240"/>
        <v>0</v>
      </c>
      <c r="AB104" s="97">
        <f t="shared" si="240"/>
        <v>0</v>
      </c>
      <c r="AC104" s="97">
        <f t="shared" si="240"/>
        <v>0</v>
      </c>
      <c r="AD104" s="97">
        <f t="shared" si="240"/>
        <v>0</v>
      </c>
      <c r="AE104" s="97">
        <f>SUM(AE96:AE103)</f>
        <v>0</v>
      </c>
      <c r="AF104" s="97">
        <f>SUM(AF96:AF103)</f>
        <v>0</v>
      </c>
      <c r="AG104" s="97">
        <f>SUM(AG96:AG103)</f>
        <v>0</v>
      </c>
      <c r="AH104" s="97">
        <f t="shared" ref="AH104:AL104" si="241">SUM(AH96:AH103)</f>
        <v>0</v>
      </c>
      <c r="AI104" s="97">
        <f t="shared" si="241"/>
        <v>0</v>
      </c>
      <c r="AJ104" s="97">
        <f t="shared" si="241"/>
        <v>0</v>
      </c>
      <c r="AK104" s="97">
        <f t="shared" si="241"/>
        <v>0</v>
      </c>
      <c r="AL104" s="97">
        <f t="shared" si="241"/>
        <v>0</v>
      </c>
      <c r="AM104" s="97">
        <f>SUM(AM96:AM103)</f>
        <v>0</v>
      </c>
      <c r="AN104" s="97">
        <f>SUM(AN96:AN103)</f>
        <v>0</v>
      </c>
      <c r="AO104" s="97">
        <f>SUM(AO96:AO103)</f>
        <v>0</v>
      </c>
      <c r="AP104" s="97">
        <f>SUM(AP96:AP103)</f>
        <v>0</v>
      </c>
      <c r="AQ104" s="97">
        <f>SUM(AQ96:AQ103)</f>
        <v>0</v>
      </c>
      <c r="AR104" s="97">
        <f t="shared" ref="AR104" si="242">SUM(AR96:AR103)</f>
        <v>0</v>
      </c>
      <c r="AS104" s="97">
        <f>SUM(AS96:AS103)</f>
        <v>0</v>
      </c>
      <c r="AT104" s="97">
        <f t="shared" ref="AT104:AV104" si="243">SUM(AT96:AT103)</f>
        <v>0</v>
      </c>
      <c r="AU104" s="97">
        <f t="shared" si="243"/>
        <v>0</v>
      </c>
      <c r="AV104" s="97">
        <f t="shared" si="243"/>
        <v>0</v>
      </c>
      <c r="AW104" s="97">
        <f>SUM(AW96:AW103)</f>
        <v>0</v>
      </c>
      <c r="AX104" s="97">
        <f t="shared" ref="AX104:BF104" si="244">SUM(AX96:AX103)</f>
        <v>0</v>
      </c>
      <c r="AY104" s="97">
        <f t="shared" si="244"/>
        <v>0</v>
      </c>
      <c r="AZ104" s="97">
        <f t="shared" si="244"/>
        <v>0</v>
      </c>
      <c r="BA104" s="97">
        <f t="shared" si="244"/>
        <v>0</v>
      </c>
      <c r="BB104" s="97">
        <f t="shared" si="244"/>
        <v>0</v>
      </c>
      <c r="BC104" s="97">
        <f t="shared" si="244"/>
        <v>0</v>
      </c>
      <c r="BD104" s="97">
        <f t="shared" si="244"/>
        <v>0</v>
      </c>
      <c r="BE104" s="97">
        <f t="shared" si="244"/>
        <v>0</v>
      </c>
      <c r="BF104" s="97">
        <f t="shared" si="244"/>
        <v>0</v>
      </c>
    </row>
    <row r="105" spans="1:58" s="95" customFormat="1" ht="14.1" customHeight="1">
      <c r="A105" s="75">
        <f t="shared" si="223"/>
        <v>99</v>
      </c>
      <c r="B105" s="96"/>
      <c r="C105" s="96"/>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row>
    <row r="106" spans="1:58" s="95" customFormat="1" ht="14.1" customHeight="1">
      <c r="A106" s="75">
        <f t="shared" si="223"/>
        <v>100</v>
      </c>
      <c r="B106" s="113" t="s">
        <v>354</v>
      </c>
      <c r="C106" s="91">
        <f>SUM(J106:BF106)</f>
        <v>-633965440.52999997</v>
      </c>
      <c r="D106" s="91">
        <f t="shared" ref="D106:AL106" si="245">D104+D94+D83+D74</f>
        <v>0</v>
      </c>
      <c r="E106" s="91">
        <f t="shared" si="245"/>
        <v>0</v>
      </c>
      <c r="F106" s="91">
        <f t="shared" si="245"/>
        <v>0</v>
      </c>
      <c r="G106" s="91">
        <f t="shared" si="245"/>
        <v>0</v>
      </c>
      <c r="H106" s="91">
        <f t="shared" si="245"/>
        <v>0</v>
      </c>
      <c r="I106" s="91">
        <f t="shared" si="245"/>
        <v>0</v>
      </c>
      <c r="J106" s="91">
        <f t="shared" si="245"/>
        <v>0</v>
      </c>
      <c r="K106" s="91">
        <f t="shared" si="245"/>
        <v>0</v>
      </c>
      <c r="L106" s="91">
        <f t="shared" si="245"/>
        <v>0</v>
      </c>
      <c r="M106" s="91">
        <f t="shared" si="245"/>
        <v>0</v>
      </c>
      <c r="N106" s="91">
        <f t="shared" si="245"/>
        <v>0</v>
      </c>
      <c r="O106" s="91">
        <f t="shared" si="245"/>
        <v>0</v>
      </c>
      <c r="P106" s="91">
        <f t="shared" si="245"/>
        <v>0</v>
      </c>
      <c r="Q106" s="91">
        <f t="shared" si="245"/>
        <v>0</v>
      </c>
      <c r="R106" s="91">
        <f t="shared" si="245"/>
        <v>0</v>
      </c>
      <c r="S106" s="91">
        <f t="shared" si="245"/>
        <v>0</v>
      </c>
      <c r="T106" s="91">
        <f t="shared" si="245"/>
        <v>0</v>
      </c>
      <c r="U106" s="91">
        <f t="shared" si="245"/>
        <v>18305195.900000058</v>
      </c>
      <c r="V106" s="91">
        <f t="shared" si="245"/>
        <v>0</v>
      </c>
      <c r="W106" s="91">
        <f t="shared" si="245"/>
        <v>0</v>
      </c>
      <c r="X106" s="91">
        <f t="shared" si="245"/>
        <v>0</v>
      </c>
      <c r="Y106" s="91">
        <f t="shared" si="245"/>
        <v>0</v>
      </c>
      <c r="Z106" s="91">
        <f t="shared" si="245"/>
        <v>0</v>
      </c>
      <c r="AA106" s="91">
        <f t="shared" si="245"/>
        <v>0</v>
      </c>
      <c r="AB106" s="91">
        <f t="shared" si="245"/>
        <v>0</v>
      </c>
      <c r="AC106" s="91">
        <f t="shared" si="245"/>
        <v>0</v>
      </c>
      <c r="AD106" s="91">
        <f t="shared" si="245"/>
        <v>0</v>
      </c>
      <c r="AE106" s="91">
        <f t="shared" si="245"/>
        <v>0</v>
      </c>
      <c r="AF106" s="91">
        <f t="shared" si="245"/>
        <v>0</v>
      </c>
      <c r="AG106" s="91">
        <f t="shared" si="245"/>
        <v>0</v>
      </c>
      <c r="AH106" s="91">
        <f t="shared" si="245"/>
        <v>0</v>
      </c>
      <c r="AI106" s="91">
        <f t="shared" si="245"/>
        <v>0</v>
      </c>
      <c r="AJ106" s="91">
        <f t="shared" si="245"/>
        <v>0</v>
      </c>
      <c r="AK106" s="91">
        <f t="shared" si="245"/>
        <v>0</v>
      </c>
      <c r="AL106" s="91">
        <f t="shared" si="245"/>
        <v>0</v>
      </c>
      <c r="AM106" s="91">
        <f>AM104+AM94+AM83+AM74</f>
        <v>0</v>
      </c>
      <c r="AN106" s="91">
        <f>AN104+AN94+AN83+AN74</f>
        <v>0</v>
      </c>
      <c r="AO106" s="91">
        <f>AO104+AO94+AO83+AO74</f>
        <v>0</v>
      </c>
      <c r="AP106" s="91">
        <f>AP104+AP94+AP83+AP74</f>
        <v>0</v>
      </c>
      <c r="AQ106" s="91">
        <f>AQ104+AQ94+AQ83+AQ74</f>
        <v>0</v>
      </c>
      <c r="AR106" s="91">
        <f t="shared" ref="AR106" si="246">AR104+AR94+AR83+AR74</f>
        <v>0</v>
      </c>
      <c r="AS106" s="91">
        <f>AS104+AS94+AS83+AS74</f>
        <v>0</v>
      </c>
      <c r="AT106" s="91">
        <f t="shared" ref="AT106:AU106" si="247">AT104+AT94+AT83+AT74</f>
        <v>0</v>
      </c>
      <c r="AU106" s="91">
        <f t="shared" si="247"/>
        <v>-327699887.42999995</v>
      </c>
      <c r="AV106" s="91">
        <f>AV104+AV94+AV83+AV74</f>
        <v>0</v>
      </c>
      <c r="AW106" s="91">
        <f>AW104+AW94+AW83+AW74</f>
        <v>33826014.859999999</v>
      </c>
      <c r="AX106" s="91">
        <f t="shared" ref="AX106:BF106" si="248">AX104+AX94+AX83+AX74</f>
        <v>-33826014.859999999</v>
      </c>
      <c r="AY106" s="91">
        <f t="shared" si="248"/>
        <v>0</v>
      </c>
      <c r="AZ106" s="91">
        <f t="shared" si="248"/>
        <v>0</v>
      </c>
      <c r="BA106" s="91">
        <f t="shared" si="248"/>
        <v>0</v>
      </c>
      <c r="BB106" s="91">
        <f t="shared" si="248"/>
        <v>0</v>
      </c>
      <c r="BC106" s="91">
        <f t="shared" si="248"/>
        <v>0</v>
      </c>
      <c r="BD106" s="91">
        <f t="shared" si="248"/>
        <v>-324570749</v>
      </c>
      <c r="BE106" s="91">
        <f t="shared" si="248"/>
        <v>0</v>
      </c>
      <c r="BF106" s="91">
        <f t="shared" si="248"/>
        <v>0</v>
      </c>
    </row>
    <row r="107" spans="1:58" s="95" customFormat="1" ht="14.1" customHeight="1">
      <c r="A107" s="75">
        <f t="shared" si="223"/>
        <v>101</v>
      </c>
      <c r="B107" s="93"/>
      <c r="C107" s="104"/>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row>
    <row r="108" spans="1:58" ht="14.1" customHeight="1">
      <c r="A108" s="75">
        <f t="shared" si="223"/>
        <v>102</v>
      </c>
      <c r="B108" s="76" t="s">
        <v>258</v>
      </c>
      <c r="C108" s="80">
        <f>SUM(D108:BF108)</f>
        <v>4348</v>
      </c>
      <c r="D108" s="87">
        <v>0</v>
      </c>
      <c r="E108" s="87">
        <v>0</v>
      </c>
      <c r="F108" s="87">
        <v>0</v>
      </c>
      <c r="G108" s="87">
        <v>0</v>
      </c>
      <c r="H108" s="87">
        <v>0</v>
      </c>
      <c r="I108" s="87">
        <v>0</v>
      </c>
      <c r="J108" s="87">
        <v>0</v>
      </c>
      <c r="K108" s="87">
        <v>0</v>
      </c>
      <c r="L108" s="87">
        <v>0</v>
      </c>
      <c r="M108" s="87">
        <v>0</v>
      </c>
      <c r="N108" s="87">
        <v>0</v>
      </c>
      <c r="O108" s="87">
        <v>0</v>
      </c>
      <c r="P108" s="87">
        <v>0</v>
      </c>
      <c r="Q108" s="87">
        <v>0</v>
      </c>
      <c r="R108" s="87">
        <v>0</v>
      </c>
      <c r="S108" s="87">
        <v>0</v>
      </c>
      <c r="T108" s="87">
        <v>0</v>
      </c>
      <c r="U108" s="87">
        <v>4348</v>
      </c>
      <c r="V108" s="87">
        <v>0</v>
      </c>
      <c r="W108" s="87">
        <v>0</v>
      </c>
      <c r="X108" s="87">
        <v>0</v>
      </c>
      <c r="Y108" s="87">
        <v>0</v>
      </c>
      <c r="Z108" s="87">
        <v>0</v>
      </c>
      <c r="AA108" s="87">
        <v>0</v>
      </c>
      <c r="AB108" s="87">
        <v>0</v>
      </c>
      <c r="AC108" s="87">
        <v>0</v>
      </c>
      <c r="AD108" s="87">
        <v>0</v>
      </c>
      <c r="AE108" s="87">
        <v>0</v>
      </c>
      <c r="AF108" s="87">
        <v>0</v>
      </c>
      <c r="AG108" s="87">
        <v>0</v>
      </c>
      <c r="AH108" s="87">
        <v>0</v>
      </c>
      <c r="AI108" s="87">
        <v>0</v>
      </c>
      <c r="AJ108" s="87">
        <v>0</v>
      </c>
      <c r="AK108" s="87">
        <v>0</v>
      </c>
      <c r="AL108" s="87">
        <v>0</v>
      </c>
      <c r="AM108" s="87">
        <v>0</v>
      </c>
      <c r="AN108" s="87">
        <v>0</v>
      </c>
      <c r="AO108" s="87">
        <v>0</v>
      </c>
      <c r="AP108" s="87">
        <v>0</v>
      </c>
      <c r="AQ108" s="87">
        <v>0</v>
      </c>
      <c r="AR108" s="87">
        <v>0</v>
      </c>
      <c r="AS108" s="87">
        <v>0</v>
      </c>
      <c r="AT108" s="87">
        <v>0</v>
      </c>
      <c r="AU108" s="87">
        <v>0</v>
      </c>
      <c r="AV108" s="87">
        <v>0</v>
      </c>
      <c r="AW108" s="87">
        <v>0</v>
      </c>
      <c r="AX108" s="87">
        <v>0</v>
      </c>
      <c r="AY108" s="87">
        <v>0</v>
      </c>
      <c r="AZ108" s="87">
        <v>0</v>
      </c>
      <c r="BA108" s="87">
        <v>0</v>
      </c>
      <c r="BB108" s="87">
        <v>0</v>
      </c>
      <c r="BC108" s="87">
        <v>0</v>
      </c>
      <c r="BD108" s="87">
        <v>0</v>
      </c>
      <c r="BE108" s="87">
        <v>0</v>
      </c>
      <c r="BF108" s="87">
        <v>0</v>
      </c>
    </row>
    <row r="109" spans="1:58" ht="14.1" customHeight="1">
      <c r="A109" s="75">
        <f t="shared" si="223"/>
        <v>103</v>
      </c>
      <c r="B109" s="90" t="s">
        <v>260</v>
      </c>
      <c r="C109" s="80">
        <f>SUM(D109:BF109)</f>
        <v>0</v>
      </c>
      <c r="D109" s="92">
        <v>0</v>
      </c>
      <c r="E109" s="92">
        <v>0</v>
      </c>
      <c r="F109" s="92">
        <v>0</v>
      </c>
      <c r="G109" s="92">
        <v>0</v>
      </c>
      <c r="H109" s="92">
        <v>0</v>
      </c>
      <c r="I109" s="92">
        <v>0</v>
      </c>
      <c r="J109" s="92">
        <v>0</v>
      </c>
      <c r="K109" s="92">
        <v>0</v>
      </c>
      <c r="L109" s="92">
        <v>0</v>
      </c>
      <c r="M109" s="92">
        <v>0</v>
      </c>
      <c r="N109" s="92">
        <v>0</v>
      </c>
      <c r="O109" s="92">
        <v>0</v>
      </c>
      <c r="P109" s="92">
        <v>0</v>
      </c>
      <c r="Q109" s="92">
        <v>0</v>
      </c>
      <c r="R109" s="92">
        <v>0</v>
      </c>
      <c r="S109" s="92">
        <v>0</v>
      </c>
      <c r="T109" s="92">
        <v>0</v>
      </c>
      <c r="U109" s="92">
        <v>0</v>
      </c>
      <c r="V109" s="92">
        <v>0</v>
      </c>
      <c r="W109" s="92">
        <v>0</v>
      </c>
      <c r="X109" s="92">
        <v>0</v>
      </c>
      <c r="Y109" s="92">
        <v>0</v>
      </c>
      <c r="Z109" s="92">
        <v>0</v>
      </c>
      <c r="AA109" s="92">
        <v>0</v>
      </c>
      <c r="AB109" s="92">
        <v>0</v>
      </c>
      <c r="AC109" s="92">
        <v>0</v>
      </c>
      <c r="AD109" s="92">
        <v>0</v>
      </c>
      <c r="AE109" s="92">
        <v>0</v>
      </c>
      <c r="AF109" s="92">
        <v>0</v>
      </c>
      <c r="AG109" s="92">
        <v>0</v>
      </c>
      <c r="AH109" s="92">
        <v>0</v>
      </c>
      <c r="AI109" s="92">
        <v>0</v>
      </c>
      <c r="AJ109" s="92">
        <v>0</v>
      </c>
      <c r="AK109" s="92">
        <v>0</v>
      </c>
      <c r="AL109" s="92">
        <v>0</v>
      </c>
      <c r="AM109" s="92">
        <v>0</v>
      </c>
      <c r="AN109" s="92">
        <v>0</v>
      </c>
      <c r="AO109" s="92">
        <v>0</v>
      </c>
      <c r="AP109" s="92">
        <v>0</v>
      </c>
      <c r="AQ109" s="92">
        <v>0</v>
      </c>
      <c r="AR109" s="92">
        <v>0</v>
      </c>
      <c r="AS109" s="92">
        <v>0</v>
      </c>
      <c r="AT109" s="92">
        <v>0</v>
      </c>
      <c r="AU109" s="92">
        <v>0</v>
      </c>
      <c r="AV109" s="92">
        <v>0</v>
      </c>
      <c r="AW109" s="92">
        <v>0</v>
      </c>
      <c r="AX109" s="92">
        <v>0</v>
      </c>
      <c r="AY109" s="92">
        <v>0</v>
      </c>
      <c r="AZ109" s="92">
        <v>0</v>
      </c>
      <c r="BA109" s="92">
        <v>0</v>
      </c>
      <c r="BB109" s="92">
        <v>0</v>
      </c>
      <c r="BC109" s="92">
        <v>0</v>
      </c>
      <c r="BD109" s="92">
        <v>0</v>
      </c>
      <c r="BE109" s="92">
        <v>0</v>
      </c>
      <c r="BF109" s="92">
        <v>0</v>
      </c>
    </row>
    <row r="110" spans="1:58" s="95" customFormat="1" ht="14.1" customHeight="1">
      <c r="A110" s="75">
        <f t="shared" si="223"/>
        <v>104</v>
      </c>
      <c r="B110" s="93" t="s">
        <v>764</v>
      </c>
      <c r="C110" s="110">
        <f t="shared" ref="C110:AL110" si="249">C109+C108</f>
        <v>4348</v>
      </c>
      <c r="D110" s="110">
        <f t="shared" si="249"/>
        <v>0</v>
      </c>
      <c r="E110" s="110">
        <f t="shared" si="249"/>
        <v>0</v>
      </c>
      <c r="F110" s="110">
        <f t="shared" si="249"/>
        <v>0</v>
      </c>
      <c r="G110" s="110">
        <f t="shared" si="249"/>
        <v>0</v>
      </c>
      <c r="H110" s="110">
        <f t="shared" si="249"/>
        <v>0</v>
      </c>
      <c r="I110" s="110">
        <f t="shared" si="249"/>
        <v>0</v>
      </c>
      <c r="J110" s="110">
        <f t="shared" si="249"/>
        <v>0</v>
      </c>
      <c r="K110" s="110">
        <f t="shared" si="249"/>
        <v>0</v>
      </c>
      <c r="L110" s="110">
        <f t="shared" si="249"/>
        <v>0</v>
      </c>
      <c r="M110" s="110">
        <f t="shared" si="249"/>
        <v>0</v>
      </c>
      <c r="N110" s="110">
        <f t="shared" si="249"/>
        <v>0</v>
      </c>
      <c r="O110" s="110">
        <f t="shared" si="249"/>
        <v>0</v>
      </c>
      <c r="P110" s="110">
        <f t="shared" si="249"/>
        <v>0</v>
      </c>
      <c r="Q110" s="110">
        <f t="shared" si="249"/>
        <v>0</v>
      </c>
      <c r="R110" s="110">
        <f t="shared" si="249"/>
        <v>0</v>
      </c>
      <c r="S110" s="110">
        <f t="shared" si="249"/>
        <v>0</v>
      </c>
      <c r="T110" s="110">
        <f t="shared" si="249"/>
        <v>0</v>
      </c>
      <c r="U110" s="110">
        <f t="shared" si="249"/>
        <v>4348</v>
      </c>
      <c r="V110" s="110">
        <f t="shared" si="249"/>
        <v>0</v>
      </c>
      <c r="W110" s="110">
        <f t="shared" si="249"/>
        <v>0</v>
      </c>
      <c r="X110" s="110">
        <f t="shared" si="249"/>
        <v>0</v>
      </c>
      <c r="Y110" s="110">
        <f t="shared" si="249"/>
        <v>0</v>
      </c>
      <c r="Z110" s="110">
        <f t="shared" si="249"/>
        <v>0</v>
      </c>
      <c r="AA110" s="110">
        <f t="shared" si="249"/>
        <v>0</v>
      </c>
      <c r="AB110" s="110">
        <f t="shared" si="249"/>
        <v>0</v>
      </c>
      <c r="AC110" s="110">
        <f t="shared" si="249"/>
        <v>0</v>
      </c>
      <c r="AD110" s="110">
        <f t="shared" si="249"/>
        <v>0</v>
      </c>
      <c r="AE110" s="110">
        <f t="shared" si="249"/>
        <v>0</v>
      </c>
      <c r="AF110" s="110">
        <f t="shared" si="249"/>
        <v>0</v>
      </c>
      <c r="AG110" s="110">
        <f t="shared" si="249"/>
        <v>0</v>
      </c>
      <c r="AH110" s="110">
        <f t="shared" si="249"/>
        <v>0</v>
      </c>
      <c r="AI110" s="110">
        <f t="shared" si="249"/>
        <v>0</v>
      </c>
      <c r="AJ110" s="110">
        <f t="shared" si="249"/>
        <v>0</v>
      </c>
      <c r="AK110" s="110">
        <f t="shared" si="249"/>
        <v>0</v>
      </c>
      <c r="AL110" s="110">
        <f t="shared" si="249"/>
        <v>0</v>
      </c>
      <c r="AM110" s="110">
        <f>AM109+AM108</f>
        <v>0</v>
      </c>
      <c r="AN110" s="110">
        <f>AN109+AN108</f>
        <v>0</v>
      </c>
      <c r="AO110" s="110">
        <f>AO109+AO108</f>
        <v>0</v>
      </c>
      <c r="AP110" s="110">
        <f>AP109+AP108</f>
        <v>0</v>
      </c>
      <c r="AQ110" s="110">
        <f>AQ109+AQ108</f>
        <v>0</v>
      </c>
      <c r="AR110" s="110">
        <f t="shared" ref="AR110" si="250">AR109+AR108</f>
        <v>0</v>
      </c>
      <c r="AS110" s="110">
        <f>AS109+AS108</f>
        <v>0</v>
      </c>
      <c r="AT110" s="110">
        <f t="shared" ref="AT110:AU110" si="251">AT109+AT108</f>
        <v>0</v>
      </c>
      <c r="AU110" s="110">
        <f t="shared" si="251"/>
        <v>0</v>
      </c>
      <c r="AV110" s="110">
        <f>AV109+AV108</f>
        <v>0</v>
      </c>
      <c r="AW110" s="110">
        <f>AW109+AW108</f>
        <v>0</v>
      </c>
      <c r="AX110" s="110">
        <f t="shared" ref="AX110:BF110" si="252">AX109+AX108</f>
        <v>0</v>
      </c>
      <c r="AY110" s="110">
        <f t="shared" si="252"/>
        <v>0</v>
      </c>
      <c r="AZ110" s="110">
        <f t="shared" si="252"/>
        <v>0</v>
      </c>
      <c r="BA110" s="110">
        <f t="shared" si="252"/>
        <v>0</v>
      </c>
      <c r="BB110" s="110">
        <f t="shared" si="252"/>
        <v>0</v>
      </c>
      <c r="BC110" s="110">
        <f t="shared" si="252"/>
        <v>0</v>
      </c>
      <c r="BD110" s="110">
        <f t="shared" si="252"/>
        <v>0</v>
      </c>
      <c r="BE110" s="110">
        <f t="shared" si="252"/>
        <v>0</v>
      </c>
      <c r="BF110" s="110">
        <f t="shared" si="252"/>
        <v>0</v>
      </c>
    </row>
    <row r="111" spans="1:58" s="95" customFormat="1" ht="14.1" customHeight="1">
      <c r="A111" s="75">
        <f t="shared" si="223"/>
        <v>105</v>
      </c>
      <c r="B111" s="96"/>
      <c r="C111" s="96"/>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c r="AB111" s="111"/>
      <c r="AC111" s="111"/>
      <c r="AD111" s="111"/>
      <c r="AE111" s="111"/>
      <c r="AF111" s="111"/>
      <c r="AG111" s="111"/>
      <c r="AH111" s="111"/>
      <c r="AI111" s="111"/>
      <c r="AJ111" s="111"/>
      <c r="AK111" s="111"/>
      <c r="AL111" s="111"/>
      <c r="AM111" s="111"/>
      <c r="AN111" s="111"/>
      <c r="AO111" s="111"/>
      <c r="AP111" s="111"/>
      <c r="AQ111" s="111"/>
      <c r="AR111" s="111"/>
      <c r="AS111" s="111"/>
      <c r="AT111" s="111"/>
      <c r="AU111" s="111"/>
      <c r="AV111" s="111"/>
      <c r="AW111" s="111"/>
      <c r="AX111" s="111"/>
      <c r="AY111" s="111"/>
      <c r="AZ111" s="111"/>
      <c r="BA111" s="111"/>
      <c r="BB111" s="111"/>
      <c r="BC111" s="111"/>
      <c r="BD111" s="111"/>
      <c r="BE111" s="111"/>
      <c r="BF111" s="111"/>
    </row>
    <row r="112" spans="1:58" ht="14.1" customHeight="1">
      <c r="A112" s="75">
        <f t="shared" si="223"/>
        <v>106</v>
      </c>
      <c r="B112" s="81" t="s">
        <v>262</v>
      </c>
      <c r="C112" s="81"/>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c r="BF112" s="87"/>
    </row>
    <row r="113" spans="1:58" ht="14.1" customHeight="1">
      <c r="A113" s="75">
        <f t="shared" si="223"/>
        <v>107</v>
      </c>
      <c r="B113" s="76" t="s">
        <v>263</v>
      </c>
      <c r="C113" s="80">
        <f t="shared" ref="C113:C124" si="253">SUM(D113:BF113)</f>
        <v>613730</v>
      </c>
      <c r="D113" s="87">
        <v>0</v>
      </c>
      <c r="E113" s="87">
        <v>0</v>
      </c>
      <c r="F113" s="87">
        <v>0</v>
      </c>
      <c r="G113" s="87">
        <v>0</v>
      </c>
      <c r="H113" s="87">
        <v>0</v>
      </c>
      <c r="I113" s="87">
        <v>0</v>
      </c>
      <c r="J113" s="87">
        <v>0</v>
      </c>
      <c r="K113" s="87">
        <v>0</v>
      </c>
      <c r="L113" s="87">
        <v>0</v>
      </c>
      <c r="M113" s="87">
        <v>0</v>
      </c>
      <c r="N113" s="87">
        <v>0</v>
      </c>
      <c r="O113" s="87">
        <v>0</v>
      </c>
      <c r="P113" s="87">
        <v>0</v>
      </c>
      <c r="Q113" s="87">
        <v>0</v>
      </c>
      <c r="R113" s="87">
        <v>0</v>
      </c>
      <c r="S113" s="87">
        <v>0</v>
      </c>
      <c r="T113" s="87">
        <v>0</v>
      </c>
      <c r="U113" s="87">
        <v>613730</v>
      </c>
      <c r="V113" s="87">
        <v>0</v>
      </c>
      <c r="W113" s="87">
        <v>0</v>
      </c>
      <c r="X113" s="87">
        <v>0</v>
      </c>
      <c r="Y113" s="87">
        <v>0</v>
      </c>
      <c r="Z113" s="87">
        <v>0</v>
      </c>
      <c r="AA113" s="87">
        <v>0</v>
      </c>
      <c r="AB113" s="87">
        <v>0</v>
      </c>
      <c r="AC113" s="87">
        <v>0</v>
      </c>
      <c r="AD113" s="87">
        <v>0</v>
      </c>
      <c r="AE113" s="87">
        <v>0</v>
      </c>
      <c r="AF113" s="87">
        <v>0</v>
      </c>
      <c r="AG113" s="87">
        <v>0</v>
      </c>
      <c r="AH113" s="87">
        <v>0</v>
      </c>
      <c r="AI113" s="87">
        <v>0</v>
      </c>
      <c r="AJ113" s="87">
        <v>0</v>
      </c>
      <c r="AK113" s="87">
        <v>0</v>
      </c>
      <c r="AL113" s="87">
        <v>0</v>
      </c>
      <c r="AM113" s="87">
        <v>0</v>
      </c>
      <c r="AN113" s="87">
        <v>0</v>
      </c>
      <c r="AO113" s="87">
        <v>0</v>
      </c>
      <c r="AP113" s="87">
        <v>0</v>
      </c>
      <c r="AQ113" s="87">
        <v>0</v>
      </c>
      <c r="AR113" s="87">
        <v>0</v>
      </c>
      <c r="AS113" s="87">
        <v>0</v>
      </c>
      <c r="AT113" s="87">
        <v>0</v>
      </c>
      <c r="AU113" s="87">
        <v>0</v>
      </c>
      <c r="AV113" s="87">
        <v>0</v>
      </c>
      <c r="AW113" s="87">
        <v>0</v>
      </c>
      <c r="AX113" s="87">
        <v>0</v>
      </c>
      <c r="AY113" s="87">
        <v>0</v>
      </c>
      <c r="AZ113" s="87">
        <v>0</v>
      </c>
      <c r="BA113" s="87">
        <v>0</v>
      </c>
      <c r="BB113" s="87">
        <v>0</v>
      </c>
      <c r="BC113" s="87">
        <v>0</v>
      </c>
      <c r="BD113" s="87">
        <v>0</v>
      </c>
      <c r="BE113" s="87">
        <v>0</v>
      </c>
      <c r="BF113" s="87">
        <v>0</v>
      </c>
    </row>
    <row r="114" spans="1:58" ht="14.1" customHeight="1">
      <c r="A114" s="75">
        <f t="shared" si="223"/>
        <v>108</v>
      </c>
      <c r="B114" s="76" t="s">
        <v>265</v>
      </c>
      <c r="C114" s="80">
        <f t="shared" si="253"/>
        <v>7864.5500000000466</v>
      </c>
      <c r="D114" s="87">
        <v>0</v>
      </c>
      <c r="E114" s="87">
        <v>0</v>
      </c>
      <c r="F114" s="87">
        <v>0</v>
      </c>
      <c r="G114" s="87">
        <v>0</v>
      </c>
      <c r="H114" s="87">
        <v>0</v>
      </c>
      <c r="I114" s="87">
        <v>0</v>
      </c>
      <c r="J114" s="87">
        <v>0</v>
      </c>
      <c r="K114" s="87">
        <v>0</v>
      </c>
      <c r="L114" s="87">
        <v>0</v>
      </c>
      <c r="M114" s="87">
        <v>0</v>
      </c>
      <c r="N114" s="87">
        <v>0</v>
      </c>
      <c r="O114" s="87">
        <v>0</v>
      </c>
      <c r="P114" s="87">
        <v>0</v>
      </c>
      <c r="Q114" s="87">
        <v>0</v>
      </c>
      <c r="R114" s="87">
        <v>0</v>
      </c>
      <c r="S114" s="87">
        <v>0</v>
      </c>
      <c r="T114" s="87">
        <v>0</v>
      </c>
      <c r="U114" s="87">
        <v>7864.5500000000466</v>
      </c>
      <c r="V114" s="87">
        <v>0</v>
      </c>
      <c r="W114" s="87">
        <v>0</v>
      </c>
      <c r="X114" s="87">
        <v>0</v>
      </c>
      <c r="Y114" s="87">
        <v>0</v>
      </c>
      <c r="Z114" s="87">
        <v>0</v>
      </c>
      <c r="AA114" s="87">
        <v>0</v>
      </c>
      <c r="AB114" s="87">
        <v>0</v>
      </c>
      <c r="AC114" s="87">
        <v>0</v>
      </c>
      <c r="AD114" s="87">
        <v>0</v>
      </c>
      <c r="AE114" s="87">
        <v>0</v>
      </c>
      <c r="AF114" s="87">
        <v>0</v>
      </c>
      <c r="AG114" s="87">
        <v>0</v>
      </c>
      <c r="AH114" s="87">
        <v>0</v>
      </c>
      <c r="AI114" s="87">
        <v>0</v>
      </c>
      <c r="AJ114" s="87">
        <v>0</v>
      </c>
      <c r="AK114" s="87">
        <v>0</v>
      </c>
      <c r="AL114" s="87">
        <v>0</v>
      </c>
      <c r="AM114" s="87">
        <v>0</v>
      </c>
      <c r="AN114" s="87">
        <v>0</v>
      </c>
      <c r="AO114" s="87">
        <v>0</v>
      </c>
      <c r="AP114" s="87">
        <v>0</v>
      </c>
      <c r="AQ114" s="87">
        <v>0</v>
      </c>
      <c r="AR114" s="87">
        <v>0</v>
      </c>
      <c r="AS114" s="87">
        <v>0</v>
      </c>
      <c r="AT114" s="87">
        <v>0</v>
      </c>
      <c r="AU114" s="87">
        <v>0</v>
      </c>
      <c r="AV114" s="87">
        <v>0</v>
      </c>
      <c r="AW114" s="87">
        <v>0</v>
      </c>
      <c r="AX114" s="87">
        <v>0</v>
      </c>
      <c r="AY114" s="87">
        <v>0</v>
      </c>
      <c r="AZ114" s="87">
        <v>0</v>
      </c>
      <c r="BA114" s="87">
        <v>0</v>
      </c>
      <c r="BB114" s="87">
        <v>0</v>
      </c>
      <c r="BC114" s="87">
        <v>0</v>
      </c>
      <c r="BD114" s="87">
        <v>0</v>
      </c>
      <c r="BE114" s="87">
        <v>0</v>
      </c>
      <c r="BF114" s="87">
        <v>0</v>
      </c>
    </row>
    <row r="115" spans="1:58" ht="14.1" customHeight="1">
      <c r="A115" s="75">
        <f t="shared" si="223"/>
        <v>109</v>
      </c>
      <c r="B115" s="76" t="s">
        <v>266</v>
      </c>
      <c r="C115" s="80">
        <f t="shared" si="253"/>
        <v>198123.6799999997</v>
      </c>
      <c r="D115" s="87">
        <v>0</v>
      </c>
      <c r="E115" s="87">
        <v>0</v>
      </c>
      <c r="F115" s="87">
        <v>0</v>
      </c>
      <c r="G115" s="87">
        <v>0</v>
      </c>
      <c r="H115" s="87">
        <v>0</v>
      </c>
      <c r="I115" s="87">
        <v>0</v>
      </c>
      <c r="J115" s="87">
        <v>0</v>
      </c>
      <c r="K115" s="87">
        <v>0</v>
      </c>
      <c r="L115" s="87">
        <v>0</v>
      </c>
      <c r="M115" s="87">
        <v>0</v>
      </c>
      <c r="N115" s="87">
        <v>0</v>
      </c>
      <c r="O115" s="87">
        <v>0</v>
      </c>
      <c r="P115" s="87">
        <v>0</v>
      </c>
      <c r="Q115" s="87">
        <v>0</v>
      </c>
      <c r="R115" s="87">
        <v>0</v>
      </c>
      <c r="S115" s="87">
        <v>0</v>
      </c>
      <c r="T115" s="87">
        <v>0</v>
      </c>
      <c r="U115" s="87">
        <v>198123.6799999997</v>
      </c>
      <c r="V115" s="87">
        <v>0</v>
      </c>
      <c r="W115" s="87">
        <v>0</v>
      </c>
      <c r="X115" s="87">
        <v>0</v>
      </c>
      <c r="Y115" s="87">
        <v>0</v>
      </c>
      <c r="Z115" s="87">
        <v>0</v>
      </c>
      <c r="AA115" s="87">
        <v>0</v>
      </c>
      <c r="AB115" s="87">
        <v>0</v>
      </c>
      <c r="AC115" s="87">
        <v>0</v>
      </c>
      <c r="AD115" s="87">
        <v>0</v>
      </c>
      <c r="AE115" s="87">
        <v>0</v>
      </c>
      <c r="AF115" s="87">
        <v>0</v>
      </c>
      <c r="AG115" s="87">
        <v>0</v>
      </c>
      <c r="AH115" s="87">
        <v>0</v>
      </c>
      <c r="AI115" s="87">
        <v>0</v>
      </c>
      <c r="AJ115" s="87">
        <v>0</v>
      </c>
      <c r="AK115" s="87">
        <v>0</v>
      </c>
      <c r="AL115" s="87">
        <v>0</v>
      </c>
      <c r="AM115" s="87">
        <v>0</v>
      </c>
      <c r="AN115" s="87">
        <v>0</v>
      </c>
      <c r="AO115" s="87">
        <v>0</v>
      </c>
      <c r="AP115" s="87">
        <v>0</v>
      </c>
      <c r="AQ115" s="87">
        <v>0</v>
      </c>
      <c r="AR115" s="87">
        <v>0</v>
      </c>
      <c r="AS115" s="87">
        <v>0</v>
      </c>
      <c r="AT115" s="87">
        <v>0</v>
      </c>
      <c r="AU115" s="87">
        <v>0</v>
      </c>
      <c r="AV115" s="87">
        <v>0</v>
      </c>
      <c r="AW115" s="87">
        <v>0</v>
      </c>
      <c r="AX115" s="87">
        <v>0</v>
      </c>
      <c r="AY115" s="87">
        <v>0</v>
      </c>
      <c r="AZ115" s="87">
        <v>0</v>
      </c>
      <c r="BA115" s="87">
        <v>0</v>
      </c>
      <c r="BB115" s="87">
        <v>0</v>
      </c>
      <c r="BC115" s="87">
        <v>0</v>
      </c>
      <c r="BD115" s="87">
        <v>0</v>
      </c>
      <c r="BE115" s="87">
        <v>0</v>
      </c>
      <c r="BF115" s="87">
        <v>0</v>
      </c>
    </row>
    <row r="116" spans="1:58" ht="14.1" customHeight="1">
      <c r="A116" s="75">
        <f t="shared" si="223"/>
        <v>110</v>
      </c>
      <c r="B116" s="76" t="s">
        <v>267</v>
      </c>
      <c r="C116" s="80">
        <f t="shared" si="253"/>
        <v>3879788.9899999797</v>
      </c>
      <c r="D116" s="87">
        <v>0</v>
      </c>
      <c r="E116" s="87">
        <v>0</v>
      </c>
      <c r="F116" s="87">
        <v>0</v>
      </c>
      <c r="G116" s="87">
        <v>0</v>
      </c>
      <c r="H116" s="87">
        <v>0</v>
      </c>
      <c r="I116" s="87">
        <v>0</v>
      </c>
      <c r="J116" s="87">
        <v>0</v>
      </c>
      <c r="K116" s="87">
        <v>0</v>
      </c>
      <c r="L116" s="87">
        <v>0</v>
      </c>
      <c r="M116" s="87">
        <v>0</v>
      </c>
      <c r="N116" s="87">
        <v>0</v>
      </c>
      <c r="O116" s="87">
        <v>0</v>
      </c>
      <c r="P116" s="87">
        <v>0</v>
      </c>
      <c r="Q116" s="87">
        <v>0</v>
      </c>
      <c r="R116" s="87">
        <v>0</v>
      </c>
      <c r="S116" s="87">
        <v>0</v>
      </c>
      <c r="T116" s="87">
        <v>0</v>
      </c>
      <c r="U116" s="87">
        <v>3879788.9899999797</v>
      </c>
      <c r="V116" s="87">
        <v>0</v>
      </c>
      <c r="W116" s="87">
        <v>0</v>
      </c>
      <c r="X116" s="87">
        <v>0</v>
      </c>
      <c r="Y116" s="87">
        <v>0</v>
      </c>
      <c r="Z116" s="87">
        <v>0</v>
      </c>
      <c r="AA116" s="87">
        <v>0</v>
      </c>
      <c r="AB116" s="87">
        <v>0</v>
      </c>
      <c r="AC116" s="87">
        <v>0</v>
      </c>
      <c r="AD116" s="87">
        <v>0</v>
      </c>
      <c r="AE116" s="87">
        <v>0</v>
      </c>
      <c r="AF116" s="87">
        <v>0</v>
      </c>
      <c r="AG116" s="87">
        <v>0</v>
      </c>
      <c r="AH116" s="87">
        <v>0</v>
      </c>
      <c r="AI116" s="87">
        <v>0</v>
      </c>
      <c r="AJ116" s="87">
        <v>0</v>
      </c>
      <c r="AK116" s="87">
        <v>0</v>
      </c>
      <c r="AL116" s="87">
        <v>0</v>
      </c>
      <c r="AM116" s="87">
        <v>0</v>
      </c>
      <c r="AN116" s="87">
        <v>0</v>
      </c>
      <c r="AO116" s="87">
        <v>0</v>
      </c>
      <c r="AP116" s="87">
        <v>0</v>
      </c>
      <c r="AQ116" s="87">
        <v>0</v>
      </c>
      <c r="AR116" s="87">
        <v>0</v>
      </c>
      <c r="AS116" s="87">
        <v>0</v>
      </c>
      <c r="AT116" s="87">
        <v>0</v>
      </c>
      <c r="AU116" s="87">
        <v>0</v>
      </c>
      <c r="AV116" s="87">
        <v>0</v>
      </c>
      <c r="AW116" s="87">
        <v>0</v>
      </c>
      <c r="AX116" s="87">
        <v>0</v>
      </c>
      <c r="AY116" s="87">
        <v>0</v>
      </c>
      <c r="AZ116" s="87">
        <v>0</v>
      </c>
      <c r="BA116" s="87">
        <v>0</v>
      </c>
      <c r="BB116" s="87">
        <v>0</v>
      </c>
      <c r="BC116" s="87">
        <v>0</v>
      </c>
      <c r="BD116" s="87">
        <v>0</v>
      </c>
      <c r="BE116" s="87">
        <v>0</v>
      </c>
      <c r="BF116" s="87">
        <v>0</v>
      </c>
    </row>
    <row r="117" spans="1:58" ht="14.1" customHeight="1">
      <c r="A117" s="75">
        <f t="shared" si="223"/>
        <v>111</v>
      </c>
      <c r="B117" s="76" t="s">
        <v>269</v>
      </c>
      <c r="C117" s="80">
        <f t="shared" si="253"/>
        <v>1228.25</v>
      </c>
      <c r="D117" s="87">
        <v>0</v>
      </c>
      <c r="E117" s="87">
        <v>0</v>
      </c>
      <c r="F117" s="87">
        <v>0</v>
      </c>
      <c r="G117" s="87">
        <v>0</v>
      </c>
      <c r="H117" s="87">
        <v>0</v>
      </c>
      <c r="I117" s="87">
        <v>0</v>
      </c>
      <c r="J117" s="87">
        <v>0</v>
      </c>
      <c r="K117" s="87">
        <v>0</v>
      </c>
      <c r="L117" s="87">
        <v>0</v>
      </c>
      <c r="M117" s="87">
        <v>0</v>
      </c>
      <c r="N117" s="87">
        <v>0</v>
      </c>
      <c r="O117" s="87">
        <v>0</v>
      </c>
      <c r="P117" s="87">
        <v>0</v>
      </c>
      <c r="Q117" s="87">
        <v>0</v>
      </c>
      <c r="R117" s="87">
        <v>0</v>
      </c>
      <c r="S117" s="87">
        <v>0</v>
      </c>
      <c r="T117" s="87">
        <v>0</v>
      </c>
      <c r="U117" s="87">
        <v>1228.25</v>
      </c>
      <c r="V117" s="87">
        <v>0</v>
      </c>
      <c r="W117" s="87">
        <v>0</v>
      </c>
      <c r="X117" s="87">
        <v>0</v>
      </c>
      <c r="Y117" s="87">
        <v>0</v>
      </c>
      <c r="Z117" s="87">
        <v>0</v>
      </c>
      <c r="AA117" s="87">
        <v>0</v>
      </c>
      <c r="AB117" s="87">
        <v>0</v>
      </c>
      <c r="AC117" s="87">
        <v>0</v>
      </c>
      <c r="AD117" s="87">
        <v>0</v>
      </c>
      <c r="AE117" s="87">
        <v>0</v>
      </c>
      <c r="AF117" s="87">
        <v>0</v>
      </c>
      <c r="AG117" s="87">
        <v>0</v>
      </c>
      <c r="AH117" s="87">
        <v>0</v>
      </c>
      <c r="AI117" s="87">
        <v>0</v>
      </c>
      <c r="AJ117" s="87">
        <v>0</v>
      </c>
      <c r="AK117" s="87">
        <v>0</v>
      </c>
      <c r="AL117" s="87">
        <v>0</v>
      </c>
      <c r="AM117" s="87">
        <v>0</v>
      </c>
      <c r="AN117" s="87">
        <v>0</v>
      </c>
      <c r="AO117" s="87">
        <v>0</v>
      </c>
      <c r="AP117" s="87">
        <v>0</v>
      </c>
      <c r="AQ117" s="87">
        <v>0</v>
      </c>
      <c r="AR117" s="87">
        <v>0</v>
      </c>
      <c r="AS117" s="87">
        <v>0</v>
      </c>
      <c r="AT117" s="87">
        <v>0</v>
      </c>
      <c r="AU117" s="87">
        <v>0</v>
      </c>
      <c r="AV117" s="87">
        <v>0</v>
      </c>
      <c r="AW117" s="87">
        <v>0</v>
      </c>
      <c r="AX117" s="87">
        <v>0</v>
      </c>
      <c r="AY117" s="87">
        <v>0</v>
      </c>
      <c r="AZ117" s="87">
        <v>0</v>
      </c>
      <c r="BA117" s="87">
        <v>0</v>
      </c>
      <c r="BB117" s="87">
        <v>0</v>
      </c>
      <c r="BC117" s="87">
        <v>0</v>
      </c>
      <c r="BD117" s="87">
        <v>0</v>
      </c>
      <c r="BE117" s="87">
        <v>0</v>
      </c>
      <c r="BF117" s="87">
        <v>0</v>
      </c>
    </row>
    <row r="118" spans="1:58" ht="14.1" customHeight="1">
      <c r="A118" s="75">
        <f t="shared" si="223"/>
        <v>112</v>
      </c>
      <c r="B118" s="76" t="s">
        <v>270</v>
      </c>
      <c r="C118" s="80">
        <f t="shared" si="253"/>
        <v>193601.8200000003</v>
      </c>
      <c r="D118" s="87">
        <v>0</v>
      </c>
      <c r="E118" s="87">
        <v>0</v>
      </c>
      <c r="F118" s="87">
        <v>0</v>
      </c>
      <c r="G118" s="87">
        <v>0</v>
      </c>
      <c r="H118" s="87">
        <v>0</v>
      </c>
      <c r="I118" s="87">
        <v>0</v>
      </c>
      <c r="J118" s="87">
        <v>0</v>
      </c>
      <c r="K118" s="87">
        <v>0</v>
      </c>
      <c r="L118" s="87">
        <v>0</v>
      </c>
      <c r="M118" s="87">
        <v>0</v>
      </c>
      <c r="N118" s="87">
        <v>0</v>
      </c>
      <c r="O118" s="87">
        <v>0</v>
      </c>
      <c r="P118" s="87">
        <v>0</v>
      </c>
      <c r="Q118" s="87">
        <v>0</v>
      </c>
      <c r="R118" s="87">
        <v>0</v>
      </c>
      <c r="S118" s="87">
        <v>0</v>
      </c>
      <c r="T118" s="87">
        <v>0</v>
      </c>
      <c r="U118" s="87">
        <v>193601.8200000003</v>
      </c>
      <c r="V118" s="87">
        <v>0</v>
      </c>
      <c r="W118" s="87">
        <v>0</v>
      </c>
      <c r="X118" s="87">
        <v>0</v>
      </c>
      <c r="Y118" s="87">
        <v>0</v>
      </c>
      <c r="Z118" s="87">
        <v>0</v>
      </c>
      <c r="AA118" s="87">
        <v>0</v>
      </c>
      <c r="AB118" s="87">
        <v>0</v>
      </c>
      <c r="AC118" s="87">
        <v>0</v>
      </c>
      <c r="AD118" s="87">
        <v>0</v>
      </c>
      <c r="AE118" s="87">
        <v>0</v>
      </c>
      <c r="AF118" s="87">
        <v>0</v>
      </c>
      <c r="AG118" s="87">
        <v>0</v>
      </c>
      <c r="AH118" s="87">
        <v>0</v>
      </c>
      <c r="AI118" s="87">
        <v>0</v>
      </c>
      <c r="AJ118" s="87">
        <v>0</v>
      </c>
      <c r="AK118" s="87">
        <v>0</v>
      </c>
      <c r="AL118" s="87">
        <v>0</v>
      </c>
      <c r="AM118" s="87">
        <v>0</v>
      </c>
      <c r="AN118" s="87">
        <v>0</v>
      </c>
      <c r="AO118" s="87">
        <v>0</v>
      </c>
      <c r="AP118" s="87">
        <v>0</v>
      </c>
      <c r="AQ118" s="87">
        <v>0</v>
      </c>
      <c r="AR118" s="87">
        <v>0</v>
      </c>
      <c r="AS118" s="87">
        <v>0</v>
      </c>
      <c r="AT118" s="87">
        <v>0</v>
      </c>
      <c r="AU118" s="87">
        <v>0</v>
      </c>
      <c r="AV118" s="87">
        <v>0</v>
      </c>
      <c r="AW118" s="87">
        <v>0</v>
      </c>
      <c r="AX118" s="87">
        <v>0</v>
      </c>
      <c r="AY118" s="87">
        <v>0</v>
      </c>
      <c r="AZ118" s="87">
        <v>0</v>
      </c>
      <c r="BA118" s="87">
        <v>0</v>
      </c>
      <c r="BB118" s="87">
        <v>0</v>
      </c>
      <c r="BC118" s="87">
        <v>0</v>
      </c>
      <c r="BD118" s="87">
        <v>0</v>
      </c>
      <c r="BE118" s="87">
        <v>0</v>
      </c>
      <c r="BF118" s="87">
        <v>0</v>
      </c>
    </row>
    <row r="119" spans="1:58" ht="14.1" customHeight="1">
      <c r="A119" s="75">
        <f t="shared" si="223"/>
        <v>113</v>
      </c>
      <c r="B119" s="76" t="s">
        <v>271</v>
      </c>
      <c r="C119" s="80">
        <f t="shared" si="253"/>
        <v>1537050.2399999946</v>
      </c>
      <c r="D119" s="87">
        <v>0</v>
      </c>
      <c r="E119" s="87">
        <v>0</v>
      </c>
      <c r="F119" s="87">
        <v>0</v>
      </c>
      <c r="G119" s="87">
        <v>0</v>
      </c>
      <c r="H119" s="87">
        <v>0</v>
      </c>
      <c r="I119" s="87">
        <v>0</v>
      </c>
      <c r="J119" s="87">
        <v>0</v>
      </c>
      <c r="K119" s="87">
        <v>0</v>
      </c>
      <c r="L119" s="87">
        <v>0</v>
      </c>
      <c r="M119" s="87">
        <v>0</v>
      </c>
      <c r="N119" s="87">
        <v>0</v>
      </c>
      <c r="O119" s="87">
        <v>0</v>
      </c>
      <c r="P119" s="87">
        <v>0</v>
      </c>
      <c r="Q119" s="87">
        <v>0</v>
      </c>
      <c r="R119" s="87">
        <v>0</v>
      </c>
      <c r="S119" s="87">
        <v>0</v>
      </c>
      <c r="T119" s="87">
        <v>0</v>
      </c>
      <c r="U119" s="87">
        <v>1537050.2399999946</v>
      </c>
      <c r="V119" s="87">
        <v>0</v>
      </c>
      <c r="W119" s="87">
        <v>0</v>
      </c>
      <c r="X119" s="87">
        <v>0</v>
      </c>
      <c r="Y119" s="87">
        <v>0</v>
      </c>
      <c r="Z119" s="87">
        <v>0</v>
      </c>
      <c r="AA119" s="87">
        <v>0</v>
      </c>
      <c r="AB119" s="87">
        <v>0</v>
      </c>
      <c r="AC119" s="87">
        <v>0</v>
      </c>
      <c r="AD119" s="87">
        <v>0</v>
      </c>
      <c r="AE119" s="87">
        <v>0</v>
      </c>
      <c r="AF119" s="87">
        <v>0</v>
      </c>
      <c r="AG119" s="87">
        <v>0</v>
      </c>
      <c r="AH119" s="87">
        <v>0</v>
      </c>
      <c r="AI119" s="87">
        <v>0</v>
      </c>
      <c r="AJ119" s="87">
        <v>0</v>
      </c>
      <c r="AK119" s="87">
        <v>0</v>
      </c>
      <c r="AL119" s="87">
        <v>0</v>
      </c>
      <c r="AM119" s="87">
        <v>0</v>
      </c>
      <c r="AN119" s="87">
        <v>0</v>
      </c>
      <c r="AO119" s="87">
        <v>0</v>
      </c>
      <c r="AP119" s="87">
        <v>0</v>
      </c>
      <c r="AQ119" s="87">
        <v>0</v>
      </c>
      <c r="AR119" s="87">
        <v>0</v>
      </c>
      <c r="AS119" s="87">
        <v>0</v>
      </c>
      <c r="AT119" s="87">
        <v>0</v>
      </c>
      <c r="AU119" s="87">
        <v>0</v>
      </c>
      <c r="AV119" s="87">
        <v>0</v>
      </c>
      <c r="AW119" s="87">
        <v>0</v>
      </c>
      <c r="AX119" s="87">
        <v>0</v>
      </c>
      <c r="AY119" s="87">
        <v>0</v>
      </c>
      <c r="AZ119" s="87">
        <v>0</v>
      </c>
      <c r="BA119" s="87">
        <v>0</v>
      </c>
      <c r="BB119" s="87">
        <v>0</v>
      </c>
      <c r="BC119" s="87">
        <v>0</v>
      </c>
      <c r="BD119" s="87">
        <v>0</v>
      </c>
      <c r="BE119" s="87">
        <v>0</v>
      </c>
      <c r="BF119" s="87">
        <v>0</v>
      </c>
    </row>
    <row r="120" spans="1:58" ht="14.1" customHeight="1">
      <c r="A120" s="75">
        <f t="shared" si="223"/>
        <v>114</v>
      </c>
      <c r="B120" s="76" t="s">
        <v>272</v>
      </c>
      <c r="C120" s="80">
        <f t="shared" si="253"/>
        <v>2943668.3100000024</v>
      </c>
      <c r="D120" s="87">
        <v>0</v>
      </c>
      <c r="E120" s="87">
        <v>0</v>
      </c>
      <c r="F120" s="87">
        <v>0</v>
      </c>
      <c r="G120" s="87">
        <v>0</v>
      </c>
      <c r="H120" s="87">
        <v>0</v>
      </c>
      <c r="I120" s="87">
        <v>0</v>
      </c>
      <c r="J120" s="87">
        <v>0</v>
      </c>
      <c r="K120" s="87">
        <v>0</v>
      </c>
      <c r="L120" s="87">
        <v>0</v>
      </c>
      <c r="M120" s="87">
        <v>0</v>
      </c>
      <c r="N120" s="87">
        <v>0</v>
      </c>
      <c r="O120" s="87">
        <v>0</v>
      </c>
      <c r="P120" s="87">
        <v>0</v>
      </c>
      <c r="Q120" s="87">
        <v>0</v>
      </c>
      <c r="R120" s="87">
        <v>0</v>
      </c>
      <c r="S120" s="87">
        <v>0</v>
      </c>
      <c r="T120" s="87">
        <v>0</v>
      </c>
      <c r="U120" s="87">
        <v>2943668.3100000024</v>
      </c>
      <c r="V120" s="87">
        <v>0</v>
      </c>
      <c r="W120" s="87">
        <v>0</v>
      </c>
      <c r="X120" s="87">
        <v>0</v>
      </c>
      <c r="Y120" s="87">
        <v>0</v>
      </c>
      <c r="Z120" s="87">
        <v>0</v>
      </c>
      <c r="AA120" s="87">
        <v>0</v>
      </c>
      <c r="AB120" s="87">
        <v>0</v>
      </c>
      <c r="AC120" s="87">
        <v>0</v>
      </c>
      <c r="AD120" s="87">
        <v>0</v>
      </c>
      <c r="AE120" s="87">
        <v>0</v>
      </c>
      <c r="AF120" s="87">
        <v>0</v>
      </c>
      <c r="AG120" s="87">
        <v>0</v>
      </c>
      <c r="AH120" s="87">
        <v>0</v>
      </c>
      <c r="AI120" s="87">
        <v>0</v>
      </c>
      <c r="AJ120" s="87">
        <v>0</v>
      </c>
      <c r="AK120" s="87">
        <v>0</v>
      </c>
      <c r="AL120" s="87">
        <v>0</v>
      </c>
      <c r="AM120" s="87">
        <v>0</v>
      </c>
      <c r="AN120" s="87">
        <v>0</v>
      </c>
      <c r="AO120" s="87">
        <v>0</v>
      </c>
      <c r="AP120" s="87">
        <v>0</v>
      </c>
      <c r="AQ120" s="87">
        <v>0</v>
      </c>
      <c r="AR120" s="87">
        <v>0</v>
      </c>
      <c r="AS120" s="87">
        <v>0</v>
      </c>
      <c r="AT120" s="87">
        <v>0</v>
      </c>
      <c r="AU120" s="87">
        <v>0</v>
      </c>
      <c r="AV120" s="87">
        <v>0</v>
      </c>
      <c r="AW120" s="87">
        <v>0</v>
      </c>
      <c r="AX120" s="87">
        <v>0</v>
      </c>
      <c r="AY120" s="87">
        <v>0</v>
      </c>
      <c r="AZ120" s="87">
        <v>0</v>
      </c>
      <c r="BA120" s="87">
        <v>0</v>
      </c>
      <c r="BB120" s="87">
        <v>0</v>
      </c>
      <c r="BC120" s="87">
        <v>0</v>
      </c>
      <c r="BD120" s="87">
        <v>0</v>
      </c>
      <c r="BE120" s="87">
        <v>0</v>
      </c>
      <c r="BF120" s="87">
        <v>0</v>
      </c>
    </row>
    <row r="121" spans="1:58" ht="14.1" customHeight="1">
      <c r="A121" s="75">
        <f t="shared" si="223"/>
        <v>115</v>
      </c>
      <c r="B121" s="76" t="s">
        <v>273</v>
      </c>
      <c r="C121" s="80">
        <f t="shared" si="253"/>
        <v>2550491.2099999785</v>
      </c>
      <c r="D121" s="87">
        <v>0</v>
      </c>
      <c r="E121" s="87">
        <v>0</v>
      </c>
      <c r="F121" s="87">
        <v>0</v>
      </c>
      <c r="G121" s="87">
        <v>0</v>
      </c>
      <c r="H121" s="87">
        <v>0</v>
      </c>
      <c r="I121" s="87">
        <v>0</v>
      </c>
      <c r="J121" s="87">
        <v>0</v>
      </c>
      <c r="K121" s="87">
        <v>0</v>
      </c>
      <c r="L121" s="87">
        <v>0</v>
      </c>
      <c r="M121" s="87">
        <v>0</v>
      </c>
      <c r="N121" s="87">
        <v>0</v>
      </c>
      <c r="O121" s="87">
        <v>0</v>
      </c>
      <c r="P121" s="87">
        <v>0</v>
      </c>
      <c r="Q121" s="87">
        <v>0</v>
      </c>
      <c r="R121" s="87">
        <v>0</v>
      </c>
      <c r="S121" s="87">
        <v>0</v>
      </c>
      <c r="T121" s="87">
        <v>0</v>
      </c>
      <c r="U121" s="87">
        <v>2550491.2099999785</v>
      </c>
      <c r="V121" s="87">
        <v>0</v>
      </c>
      <c r="W121" s="87">
        <v>0</v>
      </c>
      <c r="X121" s="87">
        <v>0</v>
      </c>
      <c r="Y121" s="87">
        <v>0</v>
      </c>
      <c r="Z121" s="87">
        <v>0</v>
      </c>
      <c r="AA121" s="87">
        <v>0</v>
      </c>
      <c r="AB121" s="87">
        <v>0</v>
      </c>
      <c r="AC121" s="87">
        <v>0</v>
      </c>
      <c r="AD121" s="87">
        <v>0</v>
      </c>
      <c r="AE121" s="87">
        <v>0</v>
      </c>
      <c r="AF121" s="87">
        <v>0</v>
      </c>
      <c r="AG121" s="87">
        <v>0</v>
      </c>
      <c r="AH121" s="87">
        <v>0</v>
      </c>
      <c r="AI121" s="87">
        <v>0</v>
      </c>
      <c r="AJ121" s="87">
        <v>0</v>
      </c>
      <c r="AK121" s="87">
        <v>0</v>
      </c>
      <c r="AL121" s="87">
        <v>0</v>
      </c>
      <c r="AM121" s="87">
        <v>0</v>
      </c>
      <c r="AN121" s="87">
        <v>0</v>
      </c>
      <c r="AO121" s="87">
        <v>0</v>
      </c>
      <c r="AP121" s="87">
        <v>0</v>
      </c>
      <c r="AQ121" s="87">
        <v>0</v>
      </c>
      <c r="AR121" s="87">
        <v>0</v>
      </c>
      <c r="AS121" s="87">
        <v>0</v>
      </c>
      <c r="AT121" s="87">
        <v>0</v>
      </c>
      <c r="AU121" s="87">
        <v>0</v>
      </c>
      <c r="AV121" s="87">
        <v>0</v>
      </c>
      <c r="AW121" s="87">
        <v>0</v>
      </c>
      <c r="AX121" s="87">
        <v>0</v>
      </c>
      <c r="AY121" s="87">
        <v>0</v>
      </c>
      <c r="AZ121" s="87">
        <v>0</v>
      </c>
      <c r="BA121" s="87">
        <v>0</v>
      </c>
      <c r="BB121" s="87">
        <v>0</v>
      </c>
      <c r="BC121" s="87">
        <v>0</v>
      </c>
      <c r="BD121" s="87">
        <v>0</v>
      </c>
      <c r="BE121" s="87">
        <v>0</v>
      </c>
      <c r="BF121" s="87">
        <v>0</v>
      </c>
    </row>
    <row r="122" spans="1:58" ht="14.1" customHeight="1">
      <c r="A122" s="75">
        <f t="shared" si="223"/>
        <v>116</v>
      </c>
      <c r="B122" s="76" t="s">
        <v>274</v>
      </c>
      <c r="C122" s="80">
        <f t="shared" si="253"/>
        <v>7664.320000000007</v>
      </c>
      <c r="D122" s="87">
        <v>0</v>
      </c>
      <c r="E122" s="87">
        <v>0</v>
      </c>
      <c r="F122" s="87">
        <v>0</v>
      </c>
      <c r="G122" s="87">
        <v>0</v>
      </c>
      <c r="H122" s="87">
        <v>0</v>
      </c>
      <c r="I122" s="87">
        <v>0</v>
      </c>
      <c r="J122" s="87">
        <v>0</v>
      </c>
      <c r="K122" s="87">
        <v>0</v>
      </c>
      <c r="L122" s="87">
        <v>0</v>
      </c>
      <c r="M122" s="87">
        <v>0</v>
      </c>
      <c r="N122" s="87">
        <v>0</v>
      </c>
      <c r="O122" s="87">
        <v>0</v>
      </c>
      <c r="P122" s="87">
        <v>0</v>
      </c>
      <c r="Q122" s="87">
        <v>0</v>
      </c>
      <c r="R122" s="87">
        <v>0</v>
      </c>
      <c r="S122" s="87">
        <v>0</v>
      </c>
      <c r="T122" s="87">
        <v>0</v>
      </c>
      <c r="U122" s="87">
        <v>7664.320000000007</v>
      </c>
      <c r="V122" s="87">
        <v>0</v>
      </c>
      <c r="W122" s="87">
        <v>0</v>
      </c>
      <c r="X122" s="87">
        <v>0</v>
      </c>
      <c r="Y122" s="87">
        <v>0</v>
      </c>
      <c r="Z122" s="87">
        <v>0</v>
      </c>
      <c r="AA122" s="87">
        <v>0</v>
      </c>
      <c r="AB122" s="87">
        <v>0</v>
      </c>
      <c r="AC122" s="87">
        <v>0</v>
      </c>
      <c r="AD122" s="87">
        <v>0</v>
      </c>
      <c r="AE122" s="87">
        <v>0</v>
      </c>
      <c r="AF122" s="87">
        <v>0</v>
      </c>
      <c r="AG122" s="87">
        <v>0</v>
      </c>
      <c r="AH122" s="87">
        <v>0</v>
      </c>
      <c r="AI122" s="87">
        <v>0</v>
      </c>
      <c r="AJ122" s="87">
        <v>0</v>
      </c>
      <c r="AK122" s="87">
        <v>0</v>
      </c>
      <c r="AL122" s="87">
        <v>0</v>
      </c>
      <c r="AM122" s="87">
        <v>0</v>
      </c>
      <c r="AN122" s="87">
        <v>0</v>
      </c>
      <c r="AO122" s="87">
        <v>0</v>
      </c>
      <c r="AP122" s="87">
        <v>0</v>
      </c>
      <c r="AQ122" s="87">
        <v>0</v>
      </c>
      <c r="AR122" s="87">
        <v>0</v>
      </c>
      <c r="AS122" s="87">
        <v>0</v>
      </c>
      <c r="AT122" s="87">
        <v>0</v>
      </c>
      <c r="AU122" s="87">
        <v>0</v>
      </c>
      <c r="AV122" s="87">
        <v>0</v>
      </c>
      <c r="AW122" s="87">
        <v>0</v>
      </c>
      <c r="AX122" s="87">
        <v>0</v>
      </c>
      <c r="AY122" s="87">
        <v>0</v>
      </c>
      <c r="AZ122" s="87">
        <v>0</v>
      </c>
      <c r="BA122" s="87">
        <v>0</v>
      </c>
      <c r="BB122" s="87">
        <v>0</v>
      </c>
      <c r="BC122" s="87">
        <v>0</v>
      </c>
      <c r="BD122" s="87">
        <v>0</v>
      </c>
      <c r="BE122" s="87">
        <v>0</v>
      </c>
      <c r="BF122" s="87">
        <v>0</v>
      </c>
    </row>
    <row r="123" spans="1:58" ht="14.1" customHeight="1">
      <c r="A123" s="75">
        <f t="shared" si="223"/>
        <v>117</v>
      </c>
      <c r="B123" s="76" t="s">
        <v>275</v>
      </c>
      <c r="C123" s="80">
        <f t="shared" si="253"/>
        <v>7464.5400000000373</v>
      </c>
      <c r="D123" s="87">
        <v>0</v>
      </c>
      <c r="E123" s="87">
        <v>0</v>
      </c>
      <c r="F123" s="87">
        <v>0</v>
      </c>
      <c r="G123" s="87">
        <v>0</v>
      </c>
      <c r="H123" s="87">
        <v>0</v>
      </c>
      <c r="I123" s="87">
        <v>0</v>
      </c>
      <c r="J123" s="87">
        <v>0</v>
      </c>
      <c r="K123" s="87">
        <v>0</v>
      </c>
      <c r="L123" s="87">
        <v>0</v>
      </c>
      <c r="M123" s="87">
        <v>0</v>
      </c>
      <c r="N123" s="87">
        <v>0</v>
      </c>
      <c r="O123" s="87">
        <v>0</v>
      </c>
      <c r="P123" s="87">
        <v>0</v>
      </c>
      <c r="Q123" s="87">
        <v>0</v>
      </c>
      <c r="R123" s="87">
        <v>0</v>
      </c>
      <c r="S123" s="87">
        <v>0</v>
      </c>
      <c r="T123" s="87">
        <v>0</v>
      </c>
      <c r="U123" s="87">
        <v>7464.5400000000373</v>
      </c>
      <c r="V123" s="87">
        <v>0</v>
      </c>
      <c r="W123" s="87">
        <v>0</v>
      </c>
      <c r="X123" s="87">
        <v>0</v>
      </c>
      <c r="Y123" s="87">
        <v>0</v>
      </c>
      <c r="Z123" s="87">
        <v>0</v>
      </c>
      <c r="AA123" s="87">
        <v>0</v>
      </c>
      <c r="AB123" s="87">
        <v>0</v>
      </c>
      <c r="AC123" s="87">
        <v>0</v>
      </c>
      <c r="AD123" s="87">
        <v>0</v>
      </c>
      <c r="AE123" s="87">
        <v>0</v>
      </c>
      <c r="AF123" s="87">
        <v>0</v>
      </c>
      <c r="AG123" s="87">
        <v>0</v>
      </c>
      <c r="AH123" s="87">
        <v>0</v>
      </c>
      <c r="AI123" s="87">
        <v>0</v>
      </c>
      <c r="AJ123" s="87">
        <v>0</v>
      </c>
      <c r="AK123" s="87">
        <v>0</v>
      </c>
      <c r="AL123" s="87">
        <v>0</v>
      </c>
      <c r="AM123" s="87">
        <v>0</v>
      </c>
      <c r="AN123" s="87">
        <v>0</v>
      </c>
      <c r="AO123" s="87">
        <v>0</v>
      </c>
      <c r="AP123" s="87">
        <v>0</v>
      </c>
      <c r="AQ123" s="87">
        <v>0</v>
      </c>
      <c r="AR123" s="87">
        <v>0</v>
      </c>
      <c r="AS123" s="87">
        <v>0</v>
      </c>
      <c r="AT123" s="87">
        <v>0</v>
      </c>
      <c r="AU123" s="87">
        <v>0</v>
      </c>
      <c r="AV123" s="87">
        <v>0</v>
      </c>
      <c r="AW123" s="87">
        <v>0</v>
      </c>
      <c r="AX123" s="87">
        <v>0</v>
      </c>
      <c r="AY123" s="87">
        <v>0</v>
      </c>
      <c r="AZ123" s="87">
        <v>0</v>
      </c>
      <c r="BA123" s="87">
        <v>0</v>
      </c>
      <c r="BB123" s="87">
        <v>0</v>
      </c>
      <c r="BC123" s="87">
        <v>0</v>
      </c>
      <c r="BD123" s="87">
        <v>0</v>
      </c>
      <c r="BE123" s="87">
        <v>0</v>
      </c>
      <c r="BF123" s="87">
        <v>0</v>
      </c>
    </row>
    <row r="124" spans="1:58" ht="14.1" customHeight="1">
      <c r="A124" s="75">
        <f t="shared" si="223"/>
        <v>118</v>
      </c>
      <c r="B124" s="90" t="s">
        <v>276</v>
      </c>
      <c r="C124" s="80">
        <f t="shared" si="253"/>
        <v>0</v>
      </c>
      <c r="D124" s="87">
        <v>0</v>
      </c>
      <c r="E124" s="87">
        <v>0</v>
      </c>
      <c r="F124" s="87">
        <v>0</v>
      </c>
      <c r="G124" s="87">
        <v>0</v>
      </c>
      <c r="H124" s="87">
        <v>0</v>
      </c>
      <c r="I124" s="87">
        <v>0</v>
      </c>
      <c r="J124" s="87">
        <v>0</v>
      </c>
      <c r="K124" s="87">
        <v>0</v>
      </c>
      <c r="L124" s="87">
        <v>0</v>
      </c>
      <c r="M124" s="87">
        <v>0</v>
      </c>
      <c r="N124" s="87">
        <v>0</v>
      </c>
      <c r="O124" s="87">
        <v>0</v>
      </c>
      <c r="P124" s="87">
        <v>0</v>
      </c>
      <c r="Q124" s="87">
        <v>0</v>
      </c>
      <c r="R124" s="87">
        <v>0</v>
      </c>
      <c r="S124" s="87">
        <v>0</v>
      </c>
      <c r="T124" s="87">
        <v>0</v>
      </c>
      <c r="U124" s="87">
        <v>0</v>
      </c>
      <c r="V124" s="87">
        <v>0</v>
      </c>
      <c r="W124" s="87">
        <v>0</v>
      </c>
      <c r="X124" s="87">
        <v>0</v>
      </c>
      <c r="Y124" s="87">
        <v>0</v>
      </c>
      <c r="Z124" s="87">
        <v>0</v>
      </c>
      <c r="AA124" s="87">
        <v>0</v>
      </c>
      <c r="AB124" s="87">
        <v>0</v>
      </c>
      <c r="AC124" s="87">
        <v>0</v>
      </c>
      <c r="AD124" s="87">
        <v>0</v>
      </c>
      <c r="AE124" s="87">
        <v>0</v>
      </c>
      <c r="AF124" s="87">
        <v>0</v>
      </c>
      <c r="AG124" s="87">
        <v>0</v>
      </c>
      <c r="AH124" s="87">
        <v>0</v>
      </c>
      <c r="AI124" s="87">
        <v>0</v>
      </c>
      <c r="AJ124" s="87">
        <v>0</v>
      </c>
      <c r="AK124" s="87">
        <v>0</v>
      </c>
      <c r="AL124" s="87">
        <v>0</v>
      </c>
      <c r="AM124" s="87">
        <v>0</v>
      </c>
      <c r="AN124" s="87">
        <v>0</v>
      </c>
      <c r="AO124" s="87">
        <v>0</v>
      </c>
      <c r="AP124" s="87">
        <v>0</v>
      </c>
      <c r="AQ124" s="87">
        <v>0</v>
      </c>
      <c r="AR124" s="87">
        <v>0</v>
      </c>
      <c r="AS124" s="87">
        <v>0</v>
      </c>
      <c r="AT124" s="87">
        <v>0</v>
      </c>
      <c r="AU124" s="87">
        <v>0</v>
      </c>
      <c r="AV124" s="87">
        <v>0</v>
      </c>
      <c r="AW124" s="87">
        <v>0</v>
      </c>
      <c r="AX124" s="87">
        <v>0</v>
      </c>
      <c r="AY124" s="87">
        <v>0</v>
      </c>
      <c r="AZ124" s="87">
        <v>0</v>
      </c>
      <c r="BA124" s="87">
        <v>0</v>
      </c>
      <c r="BB124" s="87">
        <v>0</v>
      </c>
      <c r="BC124" s="87">
        <v>0</v>
      </c>
      <c r="BD124" s="87">
        <v>0</v>
      </c>
      <c r="BE124" s="87">
        <v>0</v>
      </c>
      <c r="BF124" s="87">
        <v>0</v>
      </c>
    </row>
    <row r="125" spans="1:58" ht="14.1" customHeight="1">
      <c r="A125" s="75">
        <f t="shared" si="223"/>
        <v>119</v>
      </c>
      <c r="B125" s="93" t="s">
        <v>355</v>
      </c>
      <c r="C125" s="97">
        <f t="shared" ref="C125:V125" si="254">SUM(C113:C124)</f>
        <v>11940675.909999955</v>
      </c>
      <c r="D125" s="97">
        <f t="shared" si="254"/>
        <v>0</v>
      </c>
      <c r="E125" s="97">
        <f t="shared" si="254"/>
        <v>0</v>
      </c>
      <c r="F125" s="97">
        <f t="shared" si="254"/>
        <v>0</v>
      </c>
      <c r="G125" s="97">
        <f t="shared" si="254"/>
        <v>0</v>
      </c>
      <c r="H125" s="97">
        <f t="shared" si="254"/>
        <v>0</v>
      </c>
      <c r="I125" s="97">
        <f t="shared" si="254"/>
        <v>0</v>
      </c>
      <c r="J125" s="97">
        <f t="shared" si="254"/>
        <v>0</v>
      </c>
      <c r="K125" s="97">
        <f t="shared" si="254"/>
        <v>0</v>
      </c>
      <c r="L125" s="97">
        <f t="shared" si="254"/>
        <v>0</v>
      </c>
      <c r="M125" s="97">
        <f t="shared" si="254"/>
        <v>0</v>
      </c>
      <c r="N125" s="97">
        <f t="shared" si="254"/>
        <v>0</v>
      </c>
      <c r="O125" s="97">
        <f t="shared" si="254"/>
        <v>0</v>
      </c>
      <c r="P125" s="97">
        <f t="shared" si="254"/>
        <v>0</v>
      </c>
      <c r="Q125" s="97">
        <f t="shared" si="254"/>
        <v>0</v>
      </c>
      <c r="R125" s="97">
        <f t="shared" si="254"/>
        <v>0</v>
      </c>
      <c r="S125" s="97">
        <f t="shared" si="254"/>
        <v>0</v>
      </c>
      <c r="T125" s="97">
        <f t="shared" si="254"/>
        <v>0</v>
      </c>
      <c r="U125" s="97">
        <f t="shared" si="254"/>
        <v>11940675.909999955</v>
      </c>
      <c r="V125" s="97">
        <f t="shared" si="254"/>
        <v>0</v>
      </c>
      <c r="W125" s="97">
        <f>SUM(W113:W124)</f>
        <v>0</v>
      </c>
      <c r="X125" s="97">
        <f t="shared" ref="X125:AD125" si="255">SUM(X113:X124)</f>
        <v>0</v>
      </c>
      <c r="Y125" s="97">
        <f>SUM(Y113:Y124)</f>
        <v>0</v>
      </c>
      <c r="Z125" s="97">
        <f t="shared" si="255"/>
        <v>0</v>
      </c>
      <c r="AA125" s="97">
        <f t="shared" si="255"/>
        <v>0</v>
      </c>
      <c r="AB125" s="97">
        <f t="shared" si="255"/>
        <v>0</v>
      </c>
      <c r="AC125" s="97">
        <f t="shared" si="255"/>
        <v>0</v>
      </c>
      <c r="AD125" s="97">
        <f t="shared" si="255"/>
        <v>0</v>
      </c>
      <c r="AE125" s="97">
        <f>SUM(AE113:AE124)</f>
        <v>0</v>
      </c>
      <c r="AF125" s="97">
        <f>SUM(AF113:AF124)</f>
        <v>0</v>
      </c>
      <c r="AG125" s="97">
        <f>SUM(AG113:AG124)</f>
        <v>0</v>
      </c>
      <c r="AH125" s="97">
        <f t="shared" ref="AH125:AL125" si="256">SUM(AH113:AH124)</f>
        <v>0</v>
      </c>
      <c r="AI125" s="97">
        <f t="shared" si="256"/>
        <v>0</v>
      </c>
      <c r="AJ125" s="97">
        <f t="shared" si="256"/>
        <v>0</v>
      </c>
      <c r="AK125" s="97">
        <f t="shared" si="256"/>
        <v>0</v>
      </c>
      <c r="AL125" s="97">
        <f t="shared" si="256"/>
        <v>0</v>
      </c>
      <c r="AM125" s="97">
        <f>SUM(AM113:AM124)</f>
        <v>0</v>
      </c>
      <c r="AN125" s="97">
        <f>SUM(AN113:AN124)</f>
        <v>0</v>
      </c>
      <c r="AO125" s="97">
        <f>SUM(AO113:AO124)</f>
        <v>0</v>
      </c>
      <c r="AP125" s="97">
        <f>SUM(AP113:AP124)</f>
        <v>0</v>
      </c>
      <c r="AQ125" s="97">
        <f>SUM(AQ113:AQ124)</f>
        <v>0</v>
      </c>
      <c r="AR125" s="97">
        <f t="shared" ref="AR125" si="257">SUM(AR113:AR124)</f>
        <v>0</v>
      </c>
      <c r="AS125" s="97">
        <f>SUM(AS113:AS124)</f>
        <v>0</v>
      </c>
      <c r="AT125" s="97">
        <f t="shared" ref="AT125:AV125" si="258">SUM(AT113:AT124)</f>
        <v>0</v>
      </c>
      <c r="AU125" s="97">
        <f t="shared" si="258"/>
        <v>0</v>
      </c>
      <c r="AV125" s="97">
        <f t="shared" si="258"/>
        <v>0</v>
      </c>
      <c r="AW125" s="97">
        <f>SUM(AW113:AW124)</f>
        <v>0</v>
      </c>
      <c r="AX125" s="97">
        <f t="shared" ref="AX125:BF125" si="259">SUM(AX113:AX124)</f>
        <v>0</v>
      </c>
      <c r="AY125" s="97">
        <f t="shared" si="259"/>
        <v>0</v>
      </c>
      <c r="AZ125" s="97">
        <f t="shared" si="259"/>
        <v>0</v>
      </c>
      <c r="BA125" s="97">
        <f t="shared" si="259"/>
        <v>0</v>
      </c>
      <c r="BB125" s="97">
        <f t="shared" si="259"/>
        <v>0</v>
      </c>
      <c r="BC125" s="97">
        <f t="shared" si="259"/>
        <v>0</v>
      </c>
      <c r="BD125" s="97">
        <f t="shared" si="259"/>
        <v>0</v>
      </c>
      <c r="BE125" s="97">
        <f t="shared" si="259"/>
        <v>0</v>
      </c>
      <c r="BF125" s="97">
        <f t="shared" si="259"/>
        <v>0</v>
      </c>
    </row>
    <row r="126" spans="1:58" ht="14.1" customHeight="1">
      <c r="A126" s="75">
        <f t="shared" si="223"/>
        <v>120</v>
      </c>
      <c r="B126" s="96"/>
      <c r="C126" s="96"/>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row>
    <row r="127" spans="1:58" ht="14.1" customHeight="1">
      <c r="A127" s="75">
        <f t="shared" si="223"/>
        <v>121</v>
      </c>
      <c r="B127" s="81" t="s">
        <v>278</v>
      </c>
      <c r="C127" s="81"/>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c r="BF127" s="87"/>
    </row>
    <row r="128" spans="1:58" ht="14.1" customHeight="1">
      <c r="A128" s="75">
        <f t="shared" si="223"/>
        <v>122</v>
      </c>
      <c r="B128" s="76" t="s">
        <v>279</v>
      </c>
      <c r="C128" s="80">
        <f t="shared" ref="C128:C142" si="260">SUM(D128:BF128)</f>
        <v>0</v>
      </c>
      <c r="D128" s="87">
        <v>0</v>
      </c>
      <c r="E128" s="87">
        <v>0</v>
      </c>
      <c r="F128" s="87">
        <v>0</v>
      </c>
      <c r="G128" s="87">
        <v>0</v>
      </c>
      <c r="H128" s="87">
        <v>0</v>
      </c>
      <c r="I128" s="87">
        <v>0</v>
      </c>
      <c r="J128" s="87">
        <v>0</v>
      </c>
      <c r="K128" s="87">
        <v>0</v>
      </c>
      <c r="L128" s="87">
        <v>0</v>
      </c>
      <c r="M128" s="87">
        <v>0</v>
      </c>
      <c r="N128" s="87">
        <v>0</v>
      </c>
      <c r="O128" s="87">
        <v>0</v>
      </c>
      <c r="P128" s="87">
        <v>0</v>
      </c>
      <c r="Q128" s="87">
        <v>0</v>
      </c>
      <c r="R128" s="87">
        <v>0</v>
      </c>
      <c r="S128" s="87">
        <v>0</v>
      </c>
      <c r="T128" s="87">
        <v>0</v>
      </c>
      <c r="U128" s="87">
        <v>0</v>
      </c>
      <c r="V128" s="87">
        <v>0</v>
      </c>
      <c r="W128" s="87">
        <v>0</v>
      </c>
      <c r="X128" s="87">
        <v>0</v>
      </c>
      <c r="Y128" s="87">
        <v>0</v>
      </c>
      <c r="Z128" s="87">
        <v>0</v>
      </c>
      <c r="AA128" s="87">
        <v>0</v>
      </c>
      <c r="AB128" s="87">
        <v>0</v>
      </c>
      <c r="AC128" s="87">
        <v>0</v>
      </c>
      <c r="AD128" s="87">
        <v>0</v>
      </c>
      <c r="AE128" s="87">
        <v>0</v>
      </c>
      <c r="AF128" s="87">
        <v>0</v>
      </c>
      <c r="AG128" s="87">
        <v>0</v>
      </c>
      <c r="AH128" s="87">
        <v>0</v>
      </c>
      <c r="AI128" s="87">
        <v>0</v>
      </c>
      <c r="AJ128" s="87">
        <v>0</v>
      </c>
      <c r="AK128" s="87">
        <v>0</v>
      </c>
      <c r="AL128" s="87">
        <v>0</v>
      </c>
      <c r="AM128" s="87">
        <v>0</v>
      </c>
      <c r="AN128" s="87">
        <v>0</v>
      </c>
      <c r="AO128" s="87">
        <v>0</v>
      </c>
      <c r="AP128" s="87">
        <v>0</v>
      </c>
      <c r="AQ128" s="87">
        <v>0</v>
      </c>
      <c r="AR128" s="87">
        <v>0</v>
      </c>
      <c r="AS128" s="87">
        <v>0</v>
      </c>
      <c r="AT128" s="87">
        <v>0</v>
      </c>
      <c r="AU128" s="87">
        <v>0</v>
      </c>
      <c r="AV128" s="87">
        <v>0</v>
      </c>
      <c r="AW128" s="87">
        <v>0</v>
      </c>
      <c r="AX128" s="87">
        <v>0</v>
      </c>
      <c r="AY128" s="87">
        <v>0</v>
      </c>
      <c r="AZ128" s="87">
        <v>0</v>
      </c>
      <c r="BA128" s="87">
        <v>0</v>
      </c>
      <c r="BB128" s="87">
        <v>0</v>
      </c>
      <c r="BC128" s="87">
        <v>0</v>
      </c>
      <c r="BD128" s="87">
        <v>0</v>
      </c>
      <c r="BE128" s="87">
        <v>0</v>
      </c>
      <c r="BF128" s="87">
        <v>0</v>
      </c>
    </row>
    <row r="129" spans="1:58" ht="14.1" customHeight="1">
      <c r="A129" s="75">
        <f t="shared" si="223"/>
        <v>123</v>
      </c>
      <c r="B129" s="76" t="s">
        <v>281</v>
      </c>
      <c r="C129" s="80">
        <f t="shared" si="260"/>
        <v>0</v>
      </c>
      <c r="D129" s="87">
        <v>0</v>
      </c>
      <c r="E129" s="87">
        <v>0</v>
      </c>
      <c r="F129" s="87">
        <v>0</v>
      </c>
      <c r="G129" s="87">
        <v>0</v>
      </c>
      <c r="H129" s="87">
        <v>0</v>
      </c>
      <c r="I129" s="87">
        <v>0</v>
      </c>
      <c r="J129" s="87">
        <v>0</v>
      </c>
      <c r="K129" s="87">
        <v>0</v>
      </c>
      <c r="L129" s="87">
        <v>0</v>
      </c>
      <c r="M129" s="87">
        <v>0</v>
      </c>
      <c r="N129" s="87">
        <v>0</v>
      </c>
      <c r="O129" s="87">
        <v>0</v>
      </c>
      <c r="P129" s="87">
        <v>0</v>
      </c>
      <c r="Q129" s="87">
        <v>0</v>
      </c>
      <c r="R129" s="87">
        <v>0</v>
      </c>
      <c r="S129" s="87">
        <v>0</v>
      </c>
      <c r="T129" s="87">
        <v>0</v>
      </c>
      <c r="U129" s="87">
        <v>0</v>
      </c>
      <c r="V129" s="87">
        <v>0</v>
      </c>
      <c r="W129" s="87">
        <v>0</v>
      </c>
      <c r="X129" s="87">
        <v>0</v>
      </c>
      <c r="Y129" s="87">
        <v>0</v>
      </c>
      <c r="Z129" s="87">
        <v>0</v>
      </c>
      <c r="AA129" s="87">
        <v>0</v>
      </c>
      <c r="AB129" s="87">
        <v>0</v>
      </c>
      <c r="AC129" s="87">
        <v>0</v>
      </c>
      <c r="AD129" s="87">
        <v>0</v>
      </c>
      <c r="AE129" s="87">
        <v>0</v>
      </c>
      <c r="AF129" s="87">
        <v>0</v>
      </c>
      <c r="AG129" s="87">
        <v>0</v>
      </c>
      <c r="AH129" s="87">
        <v>0</v>
      </c>
      <c r="AI129" s="87">
        <v>0</v>
      </c>
      <c r="AJ129" s="87">
        <v>0</v>
      </c>
      <c r="AK129" s="87">
        <v>0</v>
      </c>
      <c r="AL129" s="87">
        <v>0</v>
      </c>
      <c r="AM129" s="87">
        <v>0</v>
      </c>
      <c r="AN129" s="87">
        <v>0</v>
      </c>
      <c r="AO129" s="87">
        <v>0</v>
      </c>
      <c r="AP129" s="87">
        <v>0</v>
      </c>
      <c r="AQ129" s="87">
        <v>0</v>
      </c>
      <c r="AR129" s="87">
        <v>0</v>
      </c>
      <c r="AS129" s="87">
        <v>0</v>
      </c>
      <c r="AT129" s="87">
        <v>0</v>
      </c>
      <c r="AU129" s="87">
        <v>0</v>
      </c>
      <c r="AV129" s="87">
        <v>0</v>
      </c>
      <c r="AW129" s="87">
        <v>0</v>
      </c>
      <c r="AX129" s="87">
        <v>0</v>
      </c>
      <c r="AY129" s="87">
        <v>0</v>
      </c>
      <c r="AZ129" s="87">
        <v>0</v>
      </c>
      <c r="BA129" s="87">
        <v>0</v>
      </c>
      <c r="BB129" s="87">
        <v>0</v>
      </c>
      <c r="BC129" s="87">
        <v>0</v>
      </c>
      <c r="BD129" s="87">
        <v>0</v>
      </c>
      <c r="BE129" s="87">
        <v>0</v>
      </c>
      <c r="BF129" s="87">
        <v>0</v>
      </c>
    </row>
    <row r="130" spans="1:58" ht="14.1" customHeight="1">
      <c r="A130" s="75">
        <f t="shared" si="223"/>
        <v>124</v>
      </c>
      <c r="B130" s="76" t="s">
        <v>282</v>
      </c>
      <c r="C130" s="80">
        <f t="shared" si="260"/>
        <v>0</v>
      </c>
      <c r="D130" s="87">
        <v>0</v>
      </c>
      <c r="E130" s="87">
        <v>0</v>
      </c>
      <c r="F130" s="87">
        <v>0</v>
      </c>
      <c r="G130" s="87">
        <v>0</v>
      </c>
      <c r="H130" s="87">
        <v>0</v>
      </c>
      <c r="I130" s="87">
        <v>0</v>
      </c>
      <c r="J130" s="87">
        <v>0</v>
      </c>
      <c r="K130" s="87">
        <v>0</v>
      </c>
      <c r="L130" s="87">
        <v>0</v>
      </c>
      <c r="M130" s="87">
        <v>0</v>
      </c>
      <c r="N130" s="87">
        <v>0</v>
      </c>
      <c r="O130" s="87">
        <v>0</v>
      </c>
      <c r="P130" s="87">
        <v>0</v>
      </c>
      <c r="Q130" s="87">
        <v>0</v>
      </c>
      <c r="R130" s="87">
        <v>0</v>
      </c>
      <c r="S130" s="87">
        <v>0</v>
      </c>
      <c r="T130" s="87">
        <v>0</v>
      </c>
      <c r="U130" s="87">
        <v>0</v>
      </c>
      <c r="V130" s="87">
        <v>0</v>
      </c>
      <c r="W130" s="87">
        <v>0</v>
      </c>
      <c r="X130" s="87">
        <v>0</v>
      </c>
      <c r="Y130" s="87">
        <v>0</v>
      </c>
      <c r="Z130" s="87">
        <v>0</v>
      </c>
      <c r="AA130" s="87">
        <v>0</v>
      </c>
      <c r="AB130" s="87">
        <v>0</v>
      </c>
      <c r="AC130" s="87">
        <v>0</v>
      </c>
      <c r="AD130" s="87">
        <v>0</v>
      </c>
      <c r="AE130" s="87">
        <v>0</v>
      </c>
      <c r="AF130" s="87">
        <v>0</v>
      </c>
      <c r="AG130" s="87">
        <v>0</v>
      </c>
      <c r="AH130" s="87">
        <v>0</v>
      </c>
      <c r="AI130" s="87">
        <v>0</v>
      </c>
      <c r="AJ130" s="87">
        <v>0</v>
      </c>
      <c r="AK130" s="87">
        <v>0</v>
      </c>
      <c r="AL130" s="87">
        <v>0</v>
      </c>
      <c r="AM130" s="87">
        <v>0</v>
      </c>
      <c r="AN130" s="87">
        <v>0</v>
      </c>
      <c r="AO130" s="87">
        <v>0</v>
      </c>
      <c r="AP130" s="87">
        <v>0</v>
      </c>
      <c r="AQ130" s="87">
        <v>0</v>
      </c>
      <c r="AR130" s="87">
        <v>0</v>
      </c>
      <c r="AS130" s="87">
        <v>0</v>
      </c>
      <c r="AT130" s="87">
        <v>0</v>
      </c>
      <c r="AU130" s="87">
        <v>0</v>
      </c>
      <c r="AV130" s="87">
        <v>0</v>
      </c>
      <c r="AW130" s="87">
        <v>0</v>
      </c>
      <c r="AX130" s="87">
        <v>0</v>
      </c>
      <c r="AY130" s="87">
        <v>0</v>
      </c>
      <c r="AZ130" s="87">
        <v>0</v>
      </c>
      <c r="BA130" s="87">
        <v>0</v>
      </c>
      <c r="BB130" s="87">
        <v>0</v>
      </c>
      <c r="BC130" s="87">
        <v>0</v>
      </c>
      <c r="BD130" s="87">
        <v>0</v>
      </c>
      <c r="BE130" s="87">
        <v>0</v>
      </c>
      <c r="BF130" s="87">
        <v>0</v>
      </c>
    </row>
    <row r="131" spans="1:58" ht="14.1" customHeight="1">
      <c r="A131" s="75">
        <f t="shared" si="223"/>
        <v>125</v>
      </c>
      <c r="B131" s="76" t="s">
        <v>283</v>
      </c>
      <c r="C131" s="80">
        <f t="shared" si="260"/>
        <v>0</v>
      </c>
      <c r="D131" s="87">
        <v>0</v>
      </c>
      <c r="E131" s="87">
        <v>0</v>
      </c>
      <c r="F131" s="87">
        <v>0</v>
      </c>
      <c r="G131" s="87">
        <v>0</v>
      </c>
      <c r="H131" s="87">
        <v>0</v>
      </c>
      <c r="I131" s="87">
        <v>0</v>
      </c>
      <c r="J131" s="87">
        <v>0</v>
      </c>
      <c r="K131" s="87">
        <v>0</v>
      </c>
      <c r="L131" s="87">
        <v>0</v>
      </c>
      <c r="M131" s="87">
        <v>0</v>
      </c>
      <c r="N131" s="87">
        <v>0</v>
      </c>
      <c r="O131" s="87">
        <v>0</v>
      </c>
      <c r="P131" s="87">
        <v>0</v>
      </c>
      <c r="Q131" s="87">
        <v>0</v>
      </c>
      <c r="R131" s="87">
        <v>0</v>
      </c>
      <c r="S131" s="87">
        <v>0</v>
      </c>
      <c r="T131" s="87">
        <v>0</v>
      </c>
      <c r="U131" s="87">
        <v>0</v>
      </c>
      <c r="V131" s="87">
        <v>0</v>
      </c>
      <c r="W131" s="87">
        <v>0</v>
      </c>
      <c r="X131" s="87">
        <v>0</v>
      </c>
      <c r="Y131" s="87">
        <v>0</v>
      </c>
      <c r="Z131" s="87">
        <v>0</v>
      </c>
      <c r="AA131" s="87">
        <v>0</v>
      </c>
      <c r="AB131" s="87">
        <v>0</v>
      </c>
      <c r="AC131" s="87">
        <v>0</v>
      </c>
      <c r="AD131" s="87">
        <v>0</v>
      </c>
      <c r="AE131" s="87">
        <v>0</v>
      </c>
      <c r="AF131" s="87">
        <v>0</v>
      </c>
      <c r="AG131" s="87">
        <v>0</v>
      </c>
      <c r="AH131" s="87">
        <v>0</v>
      </c>
      <c r="AI131" s="87">
        <v>0</v>
      </c>
      <c r="AJ131" s="87">
        <v>0</v>
      </c>
      <c r="AK131" s="87">
        <v>0</v>
      </c>
      <c r="AL131" s="87">
        <v>0</v>
      </c>
      <c r="AM131" s="87">
        <v>0</v>
      </c>
      <c r="AN131" s="87">
        <v>0</v>
      </c>
      <c r="AO131" s="87">
        <v>0</v>
      </c>
      <c r="AP131" s="87">
        <v>0</v>
      </c>
      <c r="AQ131" s="87">
        <v>0</v>
      </c>
      <c r="AR131" s="87">
        <v>0</v>
      </c>
      <c r="AS131" s="87">
        <v>0</v>
      </c>
      <c r="AT131" s="87">
        <v>0</v>
      </c>
      <c r="AU131" s="87">
        <v>0</v>
      </c>
      <c r="AV131" s="87">
        <v>0</v>
      </c>
      <c r="AW131" s="87">
        <v>0</v>
      </c>
      <c r="AX131" s="87">
        <v>0</v>
      </c>
      <c r="AY131" s="87">
        <v>0</v>
      </c>
      <c r="AZ131" s="87">
        <v>0</v>
      </c>
      <c r="BA131" s="87">
        <v>0</v>
      </c>
      <c r="BB131" s="87">
        <v>0</v>
      </c>
      <c r="BC131" s="87">
        <v>0</v>
      </c>
      <c r="BD131" s="87">
        <v>0</v>
      </c>
      <c r="BE131" s="87">
        <v>0</v>
      </c>
      <c r="BF131" s="87">
        <v>0</v>
      </c>
    </row>
    <row r="132" spans="1:58" ht="14.1" customHeight="1">
      <c r="A132" s="75">
        <f t="shared" si="223"/>
        <v>126</v>
      </c>
      <c r="B132" s="76" t="s">
        <v>285</v>
      </c>
      <c r="C132" s="80">
        <f t="shared" si="260"/>
        <v>0</v>
      </c>
      <c r="D132" s="87">
        <v>0</v>
      </c>
      <c r="E132" s="87">
        <v>0</v>
      </c>
      <c r="F132" s="87">
        <v>0</v>
      </c>
      <c r="G132" s="87">
        <v>0</v>
      </c>
      <c r="H132" s="87">
        <v>0</v>
      </c>
      <c r="I132" s="87">
        <v>0</v>
      </c>
      <c r="J132" s="87">
        <v>0</v>
      </c>
      <c r="K132" s="87">
        <v>0</v>
      </c>
      <c r="L132" s="87">
        <v>0</v>
      </c>
      <c r="M132" s="87">
        <v>0</v>
      </c>
      <c r="N132" s="87">
        <v>0</v>
      </c>
      <c r="O132" s="87">
        <v>0</v>
      </c>
      <c r="P132" s="87">
        <v>0</v>
      </c>
      <c r="Q132" s="87">
        <v>0</v>
      </c>
      <c r="R132" s="87">
        <v>0</v>
      </c>
      <c r="S132" s="87">
        <v>0</v>
      </c>
      <c r="T132" s="87">
        <v>0</v>
      </c>
      <c r="U132" s="87">
        <v>0</v>
      </c>
      <c r="V132" s="87">
        <v>0</v>
      </c>
      <c r="W132" s="87">
        <v>0</v>
      </c>
      <c r="X132" s="87">
        <v>0</v>
      </c>
      <c r="Y132" s="87">
        <v>0</v>
      </c>
      <c r="Z132" s="87">
        <v>0</v>
      </c>
      <c r="AA132" s="87">
        <v>0</v>
      </c>
      <c r="AB132" s="87">
        <v>0</v>
      </c>
      <c r="AC132" s="87">
        <v>0</v>
      </c>
      <c r="AD132" s="87">
        <v>0</v>
      </c>
      <c r="AE132" s="87">
        <v>0</v>
      </c>
      <c r="AF132" s="87">
        <v>0</v>
      </c>
      <c r="AG132" s="87">
        <v>0</v>
      </c>
      <c r="AH132" s="87">
        <v>0</v>
      </c>
      <c r="AI132" s="87">
        <v>0</v>
      </c>
      <c r="AJ132" s="87">
        <v>0</v>
      </c>
      <c r="AK132" s="87">
        <v>0</v>
      </c>
      <c r="AL132" s="87">
        <v>0</v>
      </c>
      <c r="AM132" s="87">
        <v>0</v>
      </c>
      <c r="AN132" s="87">
        <v>0</v>
      </c>
      <c r="AO132" s="87">
        <v>0</v>
      </c>
      <c r="AP132" s="87">
        <v>0</v>
      </c>
      <c r="AQ132" s="87">
        <v>0</v>
      </c>
      <c r="AR132" s="87">
        <v>0</v>
      </c>
      <c r="AS132" s="87">
        <v>0</v>
      </c>
      <c r="AT132" s="87">
        <v>0</v>
      </c>
      <c r="AU132" s="87">
        <v>0</v>
      </c>
      <c r="AV132" s="87">
        <v>0</v>
      </c>
      <c r="AW132" s="87">
        <v>0</v>
      </c>
      <c r="AX132" s="87">
        <v>0</v>
      </c>
      <c r="AY132" s="87">
        <v>0</v>
      </c>
      <c r="AZ132" s="87">
        <v>0</v>
      </c>
      <c r="BA132" s="87">
        <v>0</v>
      </c>
      <c r="BB132" s="87">
        <v>0</v>
      </c>
      <c r="BC132" s="87">
        <v>0</v>
      </c>
      <c r="BD132" s="87">
        <v>0</v>
      </c>
      <c r="BE132" s="87">
        <v>0</v>
      </c>
      <c r="BF132" s="87">
        <v>0</v>
      </c>
    </row>
    <row r="133" spans="1:58" ht="14.1" customHeight="1">
      <c r="A133" s="75">
        <f t="shared" si="223"/>
        <v>127</v>
      </c>
      <c r="B133" s="76" t="s">
        <v>286</v>
      </c>
      <c r="C133" s="80">
        <f t="shared" si="260"/>
        <v>18000000</v>
      </c>
      <c r="D133" s="87">
        <v>0</v>
      </c>
      <c r="E133" s="87">
        <v>0</v>
      </c>
      <c r="F133" s="87">
        <v>0</v>
      </c>
      <c r="G133" s="87">
        <v>0</v>
      </c>
      <c r="H133" s="87">
        <v>0</v>
      </c>
      <c r="I133" s="87">
        <v>0</v>
      </c>
      <c r="J133" s="87">
        <v>0</v>
      </c>
      <c r="K133" s="87">
        <v>0</v>
      </c>
      <c r="L133" s="87">
        <v>0</v>
      </c>
      <c r="M133" s="87">
        <v>0</v>
      </c>
      <c r="N133" s="87">
        <v>0</v>
      </c>
      <c r="O133" s="87">
        <v>0</v>
      </c>
      <c r="P133" s="87">
        <v>0</v>
      </c>
      <c r="Q133" s="87">
        <v>0</v>
      </c>
      <c r="R133" s="87">
        <v>0</v>
      </c>
      <c r="S133" s="87">
        <v>0</v>
      </c>
      <c r="T133" s="87">
        <v>0</v>
      </c>
      <c r="U133" s="87">
        <v>0</v>
      </c>
      <c r="V133" s="87">
        <v>0</v>
      </c>
      <c r="W133" s="87">
        <v>0</v>
      </c>
      <c r="X133" s="87">
        <v>0</v>
      </c>
      <c r="Y133" s="87">
        <v>0</v>
      </c>
      <c r="Z133" s="87">
        <v>0</v>
      </c>
      <c r="AA133" s="87">
        <v>0</v>
      </c>
      <c r="AB133" s="87">
        <v>0</v>
      </c>
      <c r="AC133" s="87">
        <v>0</v>
      </c>
      <c r="AD133" s="87">
        <v>0</v>
      </c>
      <c r="AE133" s="87">
        <v>0</v>
      </c>
      <c r="AF133" s="87">
        <v>0</v>
      </c>
      <c r="AG133" s="87">
        <v>0</v>
      </c>
      <c r="AH133" s="87">
        <v>0</v>
      </c>
      <c r="AI133" s="87">
        <v>0</v>
      </c>
      <c r="AJ133" s="87">
        <v>0</v>
      </c>
      <c r="AK133" s="87">
        <v>0</v>
      </c>
      <c r="AL133" s="87">
        <v>0</v>
      </c>
      <c r="AM133" s="87">
        <v>0</v>
      </c>
      <c r="AN133" s="87">
        <v>0</v>
      </c>
      <c r="AO133" s="87">
        <v>0</v>
      </c>
      <c r="AP133" s="87">
        <v>0</v>
      </c>
      <c r="AQ133" s="87">
        <v>0</v>
      </c>
      <c r="AR133" s="87">
        <v>0</v>
      </c>
      <c r="AS133" s="87">
        <v>0</v>
      </c>
      <c r="AT133" s="87">
        <v>0</v>
      </c>
      <c r="AU133" s="87">
        <v>0</v>
      </c>
      <c r="AV133" s="87">
        <v>18000000</v>
      </c>
      <c r="AW133" s="87">
        <v>0</v>
      </c>
      <c r="AX133" s="87">
        <v>0</v>
      </c>
      <c r="AY133" s="87">
        <v>0</v>
      </c>
      <c r="AZ133" s="87">
        <v>0</v>
      </c>
      <c r="BA133" s="87">
        <v>0</v>
      </c>
      <c r="BB133" s="87">
        <v>0</v>
      </c>
      <c r="BC133" s="87">
        <v>0</v>
      </c>
      <c r="BD133" s="87">
        <v>0</v>
      </c>
      <c r="BE133" s="87">
        <v>0</v>
      </c>
      <c r="BF133" s="87">
        <v>0</v>
      </c>
    </row>
    <row r="134" spans="1:58" ht="14.1" customHeight="1">
      <c r="A134" s="75">
        <f t="shared" si="223"/>
        <v>128</v>
      </c>
      <c r="B134" s="76" t="s">
        <v>287</v>
      </c>
      <c r="C134" s="80">
        <f t="shared" si="260"/>
        <v>0</v>
      </c>
      <c r="D134" s="87">
        <v>0</v>
      </c>
      <c r="E134" s="87">
        <v>0</v>
      </c>
      <c r="F134" s="87">
        <v>0</v>
      </c>
      <c r="G134" s="87">
        <v>0</v>
      </c>
      <c r="H134" s="87">
        <v>0</v>
      </c>
      <c r="I134" s="87">
        <v>0</v>
      </c>
      <c r="J134" s="87">
        <v>0</v>
      </c>
      <c r="K134" s="87">
        <v>0</v>
      </c>
      <c r="L134" s="87">
        <v>0</v>
      </c>
      <c r="M134" s="87">
        <v>0</v>
      </c>
      <c r="N134" s="87">
        <v>0</v>
      </c>
      <c r="O134" s="87">
        <v>0</v>
      </c>
      <c r="P134" s="87">
        <v>0</v>
      </c>
      <c r="Q134" s="87">
        <v>0</v>
      </c>
      <c r="R134" s="87">
        <v>0</v>
      </c>
      <c r="S134" s="87">
        <v>0</v>
      </c>
      <c r="T134" s="87">
        <v>0</v>
      </c>
      <c r="U134" s="87">
        <v>0</v>
      </c>
      <c r="V134" s="87">
        <v>0</v>
      </c>
      <c r="W134" s="87">
        <v>0</v>
      </c>
      <c r="X134" s="87">
        <v>0</v>
      </c>
      <c r="Y134" s="87">
        <v>0</v>
      </c>
      <c r="Z134" s="87">
        <v>0</v>
      </c>
      <c r="AA134" s="87">
        <v>0</v>
      </c>
      <c r="AB134" s="87">
        <v>0</v>
      </c>
      <c r="AC134" s="87">
        <v>0</v>
      </c>
      <c r="AD134" s="87">
        <v>0</v>
      </c>
      <c r="AE134" s="87">
        <v>0</v>
      </c>
      <c r="AF134" s="87">
        <v>0</v>
      </c>
      <c r="AG134" s="87">
        <v>0</v>
      </c>
      <c r="AH134" s="87">
        <v>0</v>
      </c>
      <c r="AI134" s="87">
        <v>0</v>
      </c>
      <c r="AJ134" s="87">
        <v>0</v>
      </c>
      <c r="AK134" s="87">
        <v>0</v>
      </c>
      <c r="AL134" s="87">
        <v>0</v>
      </c>
      <c r="AM134" s="87">
        <v>0</v>
      </c>
      <c r="AN134" s="87">
        <v>0</v>
      </c>
      <c r="AO134" s="87">
        <v>0</v>
      </c>
      <c r="AP134" s="87">
        <v>0</v>
      </c>
      <c r="AQ134" s="87">
        <v>0</v>
      </c>
      <c r="AR134" s="87">
        <v>0</v>
      </c>
      <c r="AS134" s="87">
        <v>0</v>
      </c>
      <c r="AT134" s="87">
        <v>0</v>
      </c>
      <c r="AU134" s="87">
        <v>0</v>
      </c>
      <c r="AV134" s="87">
        <v>0</v>
      </c>
      <c r="AW134" s="87">
        <v>0</v>
      </c>
      <c r="AX134" s="87">
        <v>0</v>
      </c>
      <c r="AY134" s="87">
        <v>0</v>
      </c>
      <c r="AZ134" s="87">
        <v>0</v>
      </c>
      <c r="BA134" s="87">
        <v>0</v>
      </c>
      <c r="BB134" s="87">
        <v>0</v>
      </c>
      <c r="BC134" s="87">
        <v>0</v>
      </c>
      <c r="BD134" s="87">
        <v>0</v>
      </c>
      <c r="BE134" s="87">
        <v>0</v>
      </c>
      <c r="BF134" s="87">
        <v>0</v>
      </c>
    </row>
    <row r="135" spans="1:58" ht="14.1" customHeight="1">
      <c r="A135" s="75">
        <f t="shared" si="223"/>
        <v>129</v>
      </c>
      <c r="B135" s="76" t="s">
        <v>288</v>
      </c>
      <c r="C135" s="80">
        <f t="shared" si="260"/>
        <v>0</v>
      </c>
      <c r="D135" s="87">
        <v>0</v>
      </c>
      <c r="E135" s="87">
        <v>0</v>
      </c>
      <c r="F135" s="87">
        <v>0</v>
      </c>
      <c r="G135" s="87">
        <v>0</v>
      </c>
      <c r="H135" s="87">
        <v>0</v>
      </c>
      <c r="I135" s="87">
        <v>0</v>
      </c>
      <c r="J135" s="87">
        <v>0</v>
      </c>
      <c r="K135" s="87">
        <v>0</v>
      </c>
      <c r="L135" s="87">
        <v>0</v>
      </c>
      <c r="M135" s="87">
        <v>0</v>
      </c>
      <c r="N135" s="87">
        <v>0</v>
      </c>
      <c r="O135" s="87">
        <v>0</v>
      </c>
      <c r="P135" s="87">
        <v>0</v>
      </c>
      <c r="Q135" s="87">
        <v>0</v>
      </c>
      <c r="R135" s="87">
        <v>0</v>
      </c>
      <c r="S135" s="87">
        <v>0</v>
      </c>
      <c r="T135" s="87">
        <v>0</v>
      </c>
      <c r="U135" s="87">
        <v>0</v>
      </c>
      <c r="V135" s="87">
        <v>0</v>
      </c>
      <c r="W135" s="87">
        <v>0</v>
      </c>
      <c r="X135" s="87">
        <v>0</v>
      </c>
      <c r="Y135" s="87">
        <v>0</v>
      </c>
      <c r="Z135" s="87">
        <v>0</v>
      </c>
      <c r="AA135" s="87">
        <v>0</v>
      </c>
      <c r="AB135" s="87">
        <v>0</v>
      </c>
      <c r="AC135" s="87">
        <v>0</v>
      </c>
      <c r="AD135" s="87">
        <v>0</v>
      </c>
      <c r="AE135" s="87">
        <v>0</v>
      </c>
      <c r="AF135" s="87">
        <v>0</v>
      </c>
      <c r="AG135" s="87">
        <v>0</v>
      </c>
      <c r="AH135" s="87">
        <v>0</v>
      </c>
      <c r="AI135" s="87">
        <v>0</v>
      </c>
      <c r="AJ135" s="87">
        <v>0</v>
      </c>
      <c r="AK135" s="87">
        <v>0</v>
      </c>
      <c r="AL135" s="87">
        <v>0</v>
      </c>
      <c r="AM135" s="87">
        <v>0</v>
      </c>
      <c r="AN135" s="87">
        <v>0</v>
      </c>
      <c r="AO135" s="87">
        <v>0</v>
      </c>
      <c r="AP135" s="87">
        <v>0</v>
      </c>
      <c r="AQ135" s="87">
        <v>0</v>
      </c>
      <c r="AR135" s="87">
        <v>0</v>
      </c>
      <c r="AS135" s="87">
        <v>0</v>
      </c>
      <c r="AT135" s="87">
        <v>0</v>
      </c>
      <c r="AU135" s="87">
        <v>0</v>
      </c>
      <c r="AV135" s="87">
        <v>0</v>
      </c>
      <c r="AW135" s="87">
        <v>0</v>
      </c>
      <c r="AX135" s="87">
        <v>0</v>
      </c>
      <c r="AY135" s="87">
        <v>0</v>
      </c>
      <c r="AZ135" s="87">
        <v>0</v>
      </c>
      <c r="BA135" s="87">
        <v>0</v>
      </c>
      <c r="BB135" s="87">
        <v>0</v>
      </c>
      <c r="BC135" s="87">
        <v>0</v>
      </c>
      <c r="BD135" s="87">
        <v>0</v>
      </c>
      <c r="BE135" s="87">
        <v>0</v>
      </c>
      <c r="BF135" s="87">
        <v>0</v>
      </c>
    </row>
    <row r="136" spans="1:58" ht="14.1" customHeight="1">
      <c r="A136" s="75">
        <f t="shared" si="223"/>
        <v>130</v>
      </c>
      <c r="B136" s="76" t="s">
        <v>289</v>
      </c>
      <c r="C136" s="80">
        <f t="shared" si="260"/>
        <v>0</v>
      </c>
      <c r="D136" s="87">
        <v>0</v>
      </c>
      <c r="E136" s="87">
        <v>0</v>
      </c>
      <c r="F136" s="87">
        <v>0</v>
      </c>
      <c r="G136" s="87">
        <v>0</v>
      </c>
      <c r="H136" s="87">
        <v>0</v>
      </c>
      <c r="I136" s="87">
        <v>0</v>
      </c>
      <c r="J136" s="87">
        <v>0</v>
      </c>
      <c r="K136" s="87">
        <v>0</v>
      </c>
      <c r="L136" s="87">
        <v>0</v>
      </c>
      <c r="M136" s="87">
        <v>0</v>
      </c>
      <c r="N136" s="87">
        <v>0</v>
      </c>
      <c r="O136" s="87">
        <v>0</v>
      </c>
      <c r="P136" s="87">
        <v>0</v>
      </c>
      <c r="Q136" s="87">
        <v>0</v>
      </c>
      <c r="R136" s="87">
        <v>0</v>
      </c>
      <c r="S136" s="87">
        <v>0</v>
      </c>
      <c r="T136" s="87">
        <v>0</v>
      </c>
      <c r="U136" s="87">
        <v>0</v>
      </c>
      <c r="V136" s="87">
        <v>0</v>
      </c>
      <c r="W136" s="87">
        <v>0</v>
      </c>
      <c r="X136" s="87">
        <v>0</v>
      </c>
      <c r="Y136" s="87">
        <v>0</v>
      </c>
      <c r="Z136" s="87">
        <v>0</v>
      </c>
      <c r="AA136" s="87">
        <v>0</v>
      </c>
      <c r="AB136" s="87">
        <v>0</v>
      </c>
      <c r="AC136" s="87">
        <v>0</v>
      </c>
      <c r="AD136" s="87">
        <v>0</v>
      </c>
      <c r="AE136" s="87">
        <v>0</v>
      </c>
      <c r="AF136" s="87">
        <v>0</v>
      </c>
      <c r="AG136" s="87">
        <v>0</v>
      </c>
      <c r="AH136" s="87">
        <v>0</v>
      </c>
      <c r="AI136" s="87">
        <v>0</v>
      </c>
      <c r="AJ136" s="87">
        <v>0</v>
      </c>
      <c r="AK136" s="87">
        <v>0</v>
      </c>
      <c r="AL136" s="87">
        <v>0</v>
      </c>
      <c r="AM136" s="87">
        <v>0</v>
      </c>
      <c r="AN136" s="87">
        <v>0</v>
      </c>
      <c r="AO136" s="87">
        <v>0</v>
      </c>
      <c r="AP136" s="87">
        <v>0</v>
      </c>
      <c r="AQ136" s="87">
        <v>0</v>
      </c>
      <c r="AR136" s="87">
        <v>0</v>
      </c>
      <c r="AS136" s="87">
        <v>0</v>
      </c>
      <c r="AT136" s="87">
        <v>0</v>
      </c>
      <c r="AU136" s="87">
        <v>0</v>
      </c>
      <c r="AV136" s="87">
        <v>0</v>
      </c>
      <c r="AW136" s="87">
        <v>0</v>
      </c>
      <c r="AX136" s="87">
        <v>0</v>
      </c>
      <c r="AY136" s="87">
        <v>0</v>
      </c>
      <c r="AZ136" s="87">
        <v>0</v>
      </c>
      <c r="BA136" s="87">
        <v>0</v>
      </c>
      <c r="BB136" s="87">
        <v>0</v>
      </c>
      <c r="BC136" s="87">
        <v>0</v>
      </c>
      <c r="BD136" s="87">
        <v>0</v>
      </c>
      <c r="BE136" s="87">
        <v>0</v>
      </c>
      <c r="BF136" s="87">
        <v>0</v>
      </c>
    </row>
    <row r="137" spans="1:58" ht="14.1" customHeight="1">
      <c r="A137" s="75">
        <f t="shared" si="223"/>
        <v>131</v>
      </c>
      <c r="B137" s="76" t="s">
        <v>290</v>
      </c>
      <c r="C137" s="80">
        <f t="shared" si="260"/>
        <v>0</v>
      </c>
      <c r="D137" s="87">
        <v>0</v>
      </c>
      <c r="E137" s="87">
        <v>0</v>
      </c>
      <c r="F137" s="87">
        <v>0</v>
      </c>
      <c r="G137" s="87">
        <v>0</v>
      </c>
      <c r="H137" s="87">
        <v>0</v>
      </c>
      <c r="I137" s="87">
        <v>0</v>
      </c>
      <c r="J137" s="87">
        <v>0</v>
      </c>
      <c r="K137" s="87">
        <v>0</v>
      </c>
      <c r="L137" s="87">
        <v>0</v>
      </c>
      <c r="M137" s="87">
        <v>0</v>
      </c>
      <c r="N137" s="87">
        <v>0</v>
      </c>
      <c r="O137" s="87">
        <v>0</v>
      </c>
      <c r="P137" s="87">
        <v>0</v>
      </c>
      <c r="Q137" s="87">
        <v>0</v>
      </c>
      <c r="R137" s="87">
        <v>0</v>
      </c>
      <c r="S137" s="87">
        <v>0</v>
      </c>
      <c r="T137" s="87">
        <v>0</v>
      </c>
      <c r="U137" s="87">
        <v>0</v>
      </c>
      <c r="V137" s="87">
        <v>0</v>
      </c>
      <c r="W137" s="87">
        <v>0</v>
      </c>
      <c r="X137" s="87">
        <v>0</v>
      </c>
      <c r="Y137" s="87">
        <v>0</v>
      </c>
      <c r="Z137" s="87">
        <v>0</v>
      </c>
      <c r="AA137" s="87">
        <v>0</v>
      </c>
      <c r="AB137" s="87">
        <v>0</v>
      </c>
      <c r="AC137" s="87">
        <v>0</v>
      </c>
      <c r="AD137" s="87">
        <v>0</v>
      </c>
      <c r="AE137" s="87">
        <v>0</v>
      </c>
      <c r="AF137" s="87">
        <v>0</v>
      </c>
      <c r="AG137" s="87">
        <v>0</v>
      </c>
      <c r="AH137" s="87">
        <v>0</v>
      </c>
      <c r="AI137" s="87">
        <v>0</v>
      </c>
      <c r="AJ137" s="87">
        <v>0</v>
      </c>
      <c r="AK137" s="87">
        <v>0</v>
      </c>
      <c r="AL137" s="87">
        <v>0</v>
      </c>
      <c r="AM137" s="87">
        <v>0</v>
      </c>
      <c r="AN137" s="87">
        <v>0</v>
      </c>
      <c r="AO137" s="87">
        <v>0</v>
      </c>
      <c r="AP137" s="87">
        <v>0</v>
      </c>
      <c r="AQ137" s="87">
        <v>0</v>
      </c>
      <c r="AR137" s="87">
        <v>0</v>
      </c>
      <c r="AS137" s="87">
        <v>0</v>
      </c>
      <c r="AT137" s="87">
        <v>0</v>
      </c>
      <c r="AU137" s="87">
        <v>0</v>
      </c>
      <c r="AV137" s="87">
        <v>0</v>
      </c>
      <c r="AW137" s="87">
        <v>0</v>
      </c>
      <c r="AX137" s="87">
        <v>0</v>
      </c>
      <c r="AY137" s="87">
        <v>0</v>
      </c>
      <c r="AZ137" s="87">
        <v>0</v>
      </c>
      <c r="BA137" s="87">
        <v>0</v>
      </c>
      <c r="BB137" s="87">
        <v>0</v>
      </c>
      <c r="BC137" s="87">
        <v>0</v>
      </c>
      <c r="BD137" s="87">
        <v>0</v>
      </c>
      <c r="BE137" s="87">
        <v>0</v>
      </c>
      <c r="BF137" s="87">
        <v>0</v>
      </c>
    </row>
    <row r="138" spans="1:58" ht="14.1" customHeight="1">
      <c r="A138" s="75">
        <f t="shared" si="223"/>
        <v>132</v>
      </c>
      <c r="B138" s="76" t="s">
        <v>291</v>
      </c>
      <c r="C138" s="80">
        <f t="shared" si="260"/>
        <v>0</v>
      </c>
      <c r="D138" s="87">
        <v>0</v>
      </c>
      <c r="E138" s="87">
        <v>0</v>
      </c>
      <c r="F138" s="87">
        <v>0</v>
      </c>
      <c r="G138" s="87">
        <v>0</v>
      </c>
      <c r="H138" s="87">
        <v>0</v>
      </c>
      <c r="I138" s="87">
        <v>0</v>
      </c>
      <c r="J138" s="87">
        <v>0</v>
      </c>
      <c r="K138" s="87">
        <v>0</v>
      </c>
      <c r="L138" s="87">
        <v>0</v>
      </c>
      <c r="M138" s="87">
        <v>0</v>
      </c>
      <c r="N138" s="87">
        <v>0</v>
      </c>
      <c r="O138" s="87">
        <v>0</v>
      </c>
      <c r="P138" s="87">
        <v>0</v>
      </c>
      <c r="Q138" s="87">
        <v>0</v>
      </c>
      <c r="R138" s="87">
        <v>0</v>
      </c>
      <c r="S138" s="87">
        <v>0</v>
      </c>
      <c r="T138" s="87">
        <v>0</v>
      </c>
      <c r="U138" s="87">
        <v>0</v>
      </c>
      <c r="V138" s="87">
        <v>0</v>
      </c>
      <c r="W138" s="87">
        <v>0</v>
      </c>
      <c r="X138" s="87">
        <v>0</v>
      </c>
      <c r="Y138" s="87">
        <v>0</v>
      </c>
      <c r="Z138" s="87">
        <v>0</v>
      </c>
      <c r="AA138" s="87">
        <v>0</v>
      </c>
      <c r="AB138" s="87">
        <v>0</v>
      </c>
      <c r="AC138" s="87">
        <v>0</v>
      </c>
      <c r="AD138" s="87">
        <v>0</v>
      </c>
      <c r="AE138" s="87">
        <v>0</v>
      </c>
      <c r="AF138" s="87">
        <v>0</v>
      </c>
      <c r="AG138" s="87">
        <v>0</v>
      </c>
      <c r="AH138" s="87">
        <v>0</v>
      </c>
      <c r="AI138" s="87">
        <v>0</v>
      </c>
      <c r="AJ138" s="87">
        <v>0</v>
      </c>
      <c r="AK138" s="87">
        <v>0</v>
      </c>
      <c r="AL138" s="87">
        <v>0</v>
      </c>
      <c r="AM138" s="87">
        <v>0</v>
      </c>
      <c r="AN138" s="87">
        <v>0</v>
      </c>
      <c r="AO138" s="87">
        <v>0</v>
      </c>
      <c r="AP138" s="87">
        <v>0</v>
      </c>
      <c r="AQ138" s="87">
        <v>0</v>
      </c>
      <c r="AR138" s="87">
        <v>0</v>
      </c>
      <c r="AS138" s="87">
        <v>0</v>
      </c>
      <c r="AT138" s="87">
        <v>0</v>
      </c>
      <c r="AU138" s="87">
        <v>0</v>
      </c>
      <c r="AV138" s="87">
        <v>0</v>
      </c>
      <c r="AW138" s="87">
        <v>0</v>
      </c>
      <c r="AX138" s="87">
        <v>0</v>
      </c>
      <c r="AY138" s="87">
        <v>0</v>
      </c>
      <c r="AZ138" s="87">
        <v>0</v>
      </c>
      <c r="BA138" s="87">
        <v>0</v>
      </c>
      <c r="BB138" s="87">
        <v>0</v>
      </c>
      <c r="BC138" s="87">
        <v>0</v>
      </c>
      <c r="BD138" s="87">
        <v>0</v>
      </c>
      <c r="BE138" s="87">
        <v>0</v>
      </c>
      <c r="BF138" s="87">
        <v>0</v>
      </c>
    </row>
    <row r="139" spans="1:58" ht="14.1" customHeight="1">
      <c r="A139" s="75">
        <f t="shared" ref="A139:A202" si="261">+A138+1</f>
        <v>133</v>
      </c>
      <c r="B139" s="76" t="s">
        <v>293</v>
      </c>
      <c r="C139" s="80">
        <f t="shared" si="260"/>
        <v>0</v>
      </c>
      <c r="D139" s="87">
        <v>0</v>
      </c>
      <c r="E139" s="87">
        <v>0</v>
      </c>
      <c r="F139" s="87">
        <v>0</v>
      </c>
      <c r="G139" s="87">
        <v>0</v>
      </c>
      <c r="H139" s="87">
        <v>0</v>
      </c>
      <c r="I139" s="87">
        <v>0</v>
      </c>
      <c r="J139" s="87">
        <v>0</v>
      </c>
      <c r="K139" s="87">
        <v>0</v>
      </c>
      <c r="L139" s="87">
        <v>0</v>
      </c>
      <c r="M139" s="87">
        <v>0</v>
      </c>
      <c r="N139" s="87">
        <v>0</v>
      </c>
      <c r="O139" s="87">
        <v>0</v>
      </c>
      <c r="P139" s="87">
        <v>0</v>
      </c>
      <c r="Q139" s="87">
        <v>0</v>
      </c>
      <c r="R139" s="87">
        <v>0</v>
      </c>
      <c r="S139" s="87">
        <v>0</v>
      </c>
      <c r="T139" s="87">
        <v>0</v>
      </c>
      <c r="U139" s="87">
        <v>0</v>
      </c>
      <c r="V139" s="87">
        <v>0</v>
      </c>
      <c r="W139" s="87">
        <v>0</v>
      </c>
      <c r="X139" s="87">
        <v>0</v>
      </c>
      <c r="Y139" s="87">
        <v>0</v>
      </c>
      <c r="Z139" s="87">
        <v>0</v>
      </c>
      <c r="AA139" s="87">
        <v>0</v>
      </c>
      <c r="AB139" s="87">
        <v>0</v>
      </c>
      <c r="AC139" s="87">
        <v>0</v>
      </c>
      <c r="AD139" s="87">
        <v>0</v>
      </c>
      <c r="AE139" s="87">
        <v>0</v>
      </c>
      <c r="AF139" s="87">
        <v>0</v>
      </c>
      <c r="AG139" s="87">
        <v>0</v>
      </c>
      <c r="AH139" s="87">
        <v>0</v>
      </c>
      <c r="AI139" s="87">
        <v>0</v>
      </c>
      <c r="AJ139" s="87">
        <v>0</v>
      </c>
      <c r="AK139" s="87">
        <v>0</v>
      </c>
      <c r="AL139" s="87">
        <v>0</v>
      </c>
      <c r="AM139" s="87">
        <v>0</v>
      </c>
      <c r="AN139" s="87">
        <v>0</v>
      </c>
      <c r="AO139" s="87">
        <v>0</v>
      </c>
      <c r="AP139" s="87">
        <v>0</v>
      </c>
      <c r="AQ139" s="87">
        <v>0</v>
      </c>
      <c r="AR139" s="87">
        <v>0</v>
      </c>
      <c r="AS139" s="87">
        <v>0</v>
      </c>
      <c r="AT139" s="87">
        <v>0</v>
      </c>
      <c r="AU139" s="87">
        <v>0</v>
      </c>
      <c r="AV139" s="87">
        <v>0</v>
      </c>
      <c r="AW139" s="87">
        <v>0</v>
      </c>
      <c r="AX139" s="87">
        <v>0</v>
      </c>
      <c r="AY139" s="87">
        <v>0</v>
      </c>
      <c r="AZ139" s="87">
        <v>0</v>
      </c>
      <c r="BA139" s="87">
        <v>0</v>
      </c>
      <c r="BB139" s="87">
        <v>0</v>
      </c>
      <c r="BC139" s="87">
        <v>0</v>
      </c>
      <c r="BD139" s="87">
        <v>0</v>
      </c>
      <c r="BE139" s="87">
        <v>0</v>
      </c>
      <c r="BF139" s="87">
        <v>0</v>
      </c>
    </row>
    <row r="140" spans="1:58" ht="14.1" customHeight="1">
      <c r="A140" s="75">
        <f t="shared" si="261"/>
        <v>134</v>
      </c>
      <c r="B140" s="76" t="s">
        <v>294</v>
      </c>
      <c r="C140" s="80">
        <f t="shared" si="260"/>
        <v>0</v>
      </c>
      <c r="D140" s="87">
        <v>0</v>
      </c>
      <c r="E140" s="87">
        <v>0</v>
      </c>
      <c r="F140" s="87">
        <v>0</v>
      </c>
      <c r="G140" s="87">
        <v>0</v>
      </c>
      <c r="H140" s="87">
        <v>0</v>
      </c>
      <c r="I140" s="87">
        <v>0</v>
      </c>
      <c r="J140" s="87">
        <v>0</v>
      </c>
      <c r="K140" s="87">
        <v>0</v>
      </c>
      <c r="L140" s="87">
        <v>0</v>
      </c>
      <c r="M140" s="87">
        <v>0</v>
      </c>
      <c r="N140" s="87">
        <v>0</v>
      </c>
      <c r="O140" s="87">
        <v>0</v>
      </c>
      <c r="P140" s="87">
        <v>0</v>
      </c>
      <c r="Q140" s="87">
        <v>0</v>
      </c>
      <c r="R140" s="87">
        <v>0</v>
      </c>
      <c r="S140" s="87">
        <v>0</v>
      </c>
      <c r="T140" s="87">
        <v>0</v>
      </c>
      <c r="U140" s="87">
        <v>0</v>
      </c>
      <c r="V140" s="87">
        <v>0</v>
      </c>
      <c r="W140" s="87">
        <v>0</v>
      </c>
      <c r="X140" s="87">
        <v>0</v>
      </c>
      <c r="Y140" s="87">
        <v>0</v>
      </c>
      <c r="Z140" s="87">
        <v>0</v>
      </c>
      <c r="AA140" s="87">
        <v>0</v>
      </c>
      <c r="AB140" s="87">
        <v>0</v>
      </c>
      <c r="AC140" s="87">
        <v>0</v>
      </c>
      <c r="AD140" s="87">
        <v>0</v>
      </c>
      <c r="AE140" s="87">
        <v>0</v>
      </c>
      <c r="AF140" s="87">
        <v>0</v>
      </c>
      <c r="AG140" s="87">
        <v>0</v>
      </c>
      <c r="AH140" s="87">
        <v>0</v>
      </c>
      <c r="AI140" s="87">
        <v>0</v>
      </c>
      <c r="AJ140" s="87">
        <v>0</v>
      </c>
      <c r="AK140" s="87">
        <v>0</v>
      </c>
      <c r="AL140" s="87">
        <v>0</v>
      </c>
      <c r="AM140" s="87">
        <v>0</v>
      </c>
      <c r="AN140" s="87">
        <v>0</v>
      </c>
      <c r="AO140" s="87">
        <v>0</v>
      </c>
      <c r="AP140" s="87">
        <v>0</v>
      </c>
      <c r="AQ140" s="87">
        <v>0</v>
      </c>
      <c r="AR140" s="87">
        <v>0</v>
      </c>
      <c r="AS140" s="87">
        <v>0</v>
      </c>
      <c r="AT140" s="87">
        <v>0</v>
      </c>
      <c r="AU140" s="87">
        <v>0</v>
      </c>
      <c r="AV140" s="87">
        <v>0</v>
      </c>
      <c r="AW140" s="87">
        <v>0</v>
      </c>
      <c r="AX140" s="87">
        <v>0</v>
      </c>
      <c r="AY140" s="87">
        <v>0</v>
      </c>
      <c r="AZ140" s="87">
        <v>0</v>
      </c>
      <c r="BA140" s="87">
        <v>0</v>
      </c>
      <c r="BB140" s="87">
        <v>0</v>
      </c>
      <c r="BC140" s="87">
        <v>0</v>
      </c>
      <c r="BD140" s="87">
        <v>0</v>
      </c>
      <c r="BE140" s="87">
        <v>0</v>
      </c>
      <c r="BF140" s="87">
        <v>0</v>
      </c>
    </row>
    <row r="141" spans="1:58" ht="14.1" customHeight="1">
      <c r="A141" s="75">
        <f t="shared" si="261"/>
        <v>135</v>
      </c>
      <c r="B141" s="76" t="s">
        <v>295</v>
      </c>
      <c r="C141" s="80">
        <f t="shared" si="260"/>
        <v>0</v>
      </c>
      <c r="D141" s="87">
        <v>0</v>
      </c>
      <c r="E141" s="87">
        <v>0</v>
      </c>
      <c r="F141" s="87">
        <v>0</v>
      </c>
      <c r="G141" s="87">
        <v>0</v>
      </c>
      <c r="H141" s="87">
        <v>0</v>
      </c>
      <c r="I141" s="87">
        <v>0</v>
      </c>
      <c r="J141" s="87">
        <v>0</v>
      </c>
      <c r="K141" s="87">
        <v>0</v>
      </c>
      <c r="L141" s="87">
        <v>0</v>
      </c>
      <c r="M141" s="87">
        <v>0</v>
      </c>
      <c r="N141" s="87">
        <v>0</v>
      </c>
      <c r="O141" s="87">
        <v>0</v>
      </c>
      <c r="P141" s="87">
        <v>0</v>
      </c>
      <c r="Q141" s="87">
        <v>0</v>
      </c>
      <c r="R141" s="87">
        <v>0</v>
      </c>
      <c r="S141" s="87">
        <v>0</v>
      </c>
      <c r="T141" s="87">
        <v>0</v>
      </c>
      <c r="U141" s="87">
        <v>0</v>
      </c>
      <c r="V141" s="87">
        <v>0</v>
      </c>
      <c r="W141" s="87">
        <v>0</v>
      </c>
      <c r="X141" s="87">
        <v>0</v>
      </c>
      <c r="Y141" s="87">
        <v>0</v>
      </c>
      <c r="Z141" s="87">
        <v>0</v>
      </c>
      <c r="AA141" s="87">
        <v>0</v>
      </c>
      <c r="AB141" s="87">
        <v>0</v>
      </c>
      <c r="AC141" s="87">
        <v>0</v>
      </c>
      <c r="AD141" s="87">
        <v>0</v>
      </c>
      <c r="AE141" s="87">
        <v>0</v>
      </c>
      <c r="AF141" s="87">
        <v>0</v>
      </c>
      <c r="AG141" s="87">
        <v>0</v>
      </c>
      <c r="AH141" s="87">
        <v>0</v>
      </c>
      <c r="AI141" s="87">
        <v>0</v>
      </c>
      <c r="AJ141" s="87">
        <v>0</v>
      </c>
      <c r="AK141" s="87">
        <v>0</v>
      </c>
      <c r="AL141" s="87">
        <v>0</v>
      </c>
      <c r="AM141" s="87">
        <v>0</v>
      </c>
      <c r="AN141" s="87">
        <v>0</v>
      </c>
      <c r="AO141" s="87">
        <v>0</v>
      </c>
      <c r="AP141" s="87">
        <v>0</v>
      </c>
      <c r="AQ141" s="87">
        <v>0</v>
      </c>
      <c r="AR141" s="87">
        <v>0</v>
      </c>
      <c r="AS141" s="87">
        <v>0</v>
      </c>
      <c r="AT141" s="87">
        <v>0</v>
      </c>
      <c r="AU141" s="87">
        <v>0</v>
      </c>
      <c r="AV141" s="87">
        <v>0</v>
      </c>
      <c r="AW141" s="87">
        <v>0</v>
      </c>
      <c r="AX141" s="87">
        <v>0</v>
      </c>
      <c r="AY141" s="87">
        <v>0</v>
      </c>
      <c r="AZ141" s="87">
        <v>0</v>
      </c>
      <c r="BA141" s="87">
        <v>0</v>
      </c>
      <c r="BB141" s="87">
        <v>0</v>
      </c>
      <c r="BC141" s="87">
        <v>0</v>
      </c>
      <c r="BD141" s="87">
        <v>0</v>
      </c>
      <c r="BE141" s="87">
        <v>0</v>
      </c>
      <c r="BF141" s="87">
        <v>0</v>
      </c>
    </row>
    <row r="142" spans="1:58" ht="14.1" customHeight="1">
      <c r="A142" s="75">
        <f t="shared" si="261"/>
        <v>136</v>
      </c>
      <c r="B142" s="90" t="s">
        <v>296</v>
      </c>
      <c r="C142" s="80">
        <f t="shared" si="260"/>
        <v>0</v>
      </c>
      <c r="D142" s="87">
        <v>0</v>
      </c>
      <c r="E142" s="87">
        <v>0</v>
      </c>
      <c r="F142" s="87">
        <v>0</v>
      </c>
      <c r="G142" s="87">
        <v>0</v>
      </c>
      <c r="H142" s="87">
        <v>0</v>
      </c>
      <c r="I142" s="87">
        <v>0</v>
      </c>
      <c r="J142" s="87">
        <v>0</v>
      </c>
      <c r="K142" s="87">
        <v>0</v>
      </c>
      <c r="L142" s="87">
        <v>0</v>
      </c>
      <c r="M142" s="87">
        <v>0</v>
      </c>
      <c r="N142" s="87">
        <v>0</v>
      </c>
      <c r="O142" s="87">
        <v>0</v>
      </c>
      <c r="P142" s="87">
        <v>0</v>
      </c>
      <c r="Q142" s="87">
        <v>0</v>
      </c>
      <c r="R142" s="87">
        <v>0</v>
      </c>
      <c r="S142" s="87">
        <v>0</v>
      </c>
      <c r="T142" s="87">
        <v>0</v>
      </c>
      <c r="U142" s="87">
        <v>0</v>
      </c>
      <c r="V142" s="87">
        <v>0</v>
      </c>
      <c r="W142" s="87">
        <v>0</v>
      </c>
      <c r="X142" s="87">
        <v>0</v>
      </c>
      <c r="Y142" s="87">
        <v>0</v>
      </c>
      <c r="Z142" s="87">
        <v>0</v>
      </c>
      <c r="AA142" s="87">
        <v>0</v>
      </c>
      <c r="AB142" s="87">
        <v>0</v>
      </c>
      <c r="AC142" s="87">
        <v>0</v>
      </c>
      <c r="AD142" s="87">
        <v>0</v>
      </c>
      <c r="AE142" s="87">
        <v>0</v>
      </c>
      <c r="AF142" s="87">
        <v>0</v>
      </c>
      <c r="AG142" s="87">
        <v>0</v>
      </c>
      <c r="AH142" s="87">
        <v>0</v>
      </c>
      <c r="AI142" s="87">
        <v>0</v>
      </c>
      <c r="AJ142" s="87">
        <v>0</v>
      </c>
      <c r="AK142" s="87">
        <v>0</v>
      </c>
      <c r="AL142" s="87">
        <v>0</v>
      </c>
      <c r="AM142" s="87">
        <v>0</v>
      </c>
      <c r="AN142" s="87">
        <v>0</v>
      </c>
      <c r="AO142" s="87">
        <v>0</v>
      </c>
      <c r="AP142" s="87">
        <v>0</v>
      </c>
      <c r="AQ142" s="87">
        <v>0</v>
      </c>
      <c r="AR142" s="87">
        <v>0</v>
      </c>
      <c r="AS142" s="87">
        <v>0</v>
      </c>
      <c r="AT142" s="87">
        <v>0</v>
      </c>
      <c r="AU142" s="87">
        <v>0</v>
      </c>
      <c r="AV142" s="87">
        <v>0</v>
      </c>
      <c r="AW142" s="87">
        <v>0</v>
      </c>
      <c r="AX142" s="87">
        <v>0</v>
      </c>
      <c r="AY142" s="87">
        <v>0</v>
      </c>
      <c r="AZ142" s="87">
        <v>0</v>
      </c>
      <c r="BA142" s="87">
        <v>0</v>
      </c>
      <c r="BB142" s="87">
        <v>0</v>
      </c>
      <c r="BC142" s="87">
        <v>0</v>
      </c>
      <c r="BD142" s="87">
        <v>0</v>
      </c>
      <c r="BE142" s="87">
        <v>0</v>
      </c>
      <c r="BF142" s="87">
        <v>0</v>
      </c>
    </row>
    <row r="143" spans="1:58" ht="14.1" customHeight="1">
      <c r="A143" s="75">
        <f t="shared" si="261"/>
        <v>137</v>
      </c>
      <c r="B143" s="93" t="s">
        <v>356</v>
      </c>
      <c r="C143" s="97">
        <f t="shared" ref="C143:V143" si="262">SUM(C128:C142)</f>
        <v>18000000</v>
      </c>
      <c r="D143" s="97">
        <f t="shared" si="262"/>
        <v>0</v>
      </c>
      <c r="E143" s="97">
        <f t="shared" si="262"/>
        <v>0</v>
      </c>
      <c r="F143" s="97">
        <f t="shared" si="262"/>
        <v>0</v>
      </c>
      <c r="G143" s="97">
        <f t="shared" si="262"/>
        <v>0</v>
      </c>
      <c r="H143" s="97">
        <f t="shared" si="262"/>
        <v>0</v>
      </c>
      <c r="I143" s="97">
        <f t="shared" si="262"/>
        <v>0</v>
      </c>
      <c r="J143" s="97">
        <f t="shared" si="262"/>
        <v>0</v>
      </c>
      <c r="K143" s="97">
        <f t="shared" si="262"/>
        <v>0</v>
      </c>
      <c r="L143" s="97">
        <f t="shared" si="262"/>
        <v>0</v>
      </c>
      <c r="M143" s="97">
        <f t="shared" si="262"/>
        <v>0</v>
      </c>
      <c r="N143" s="97">
        <f t="shared" si="262"/>
        <v>0</v>
      </c>
      <c r="O143" s="97">
        <f t="shared" si="262"/>
        <v>0</v>
      </c>
      <c r="P143" s="97">
        <f t="shared" si="262"/>
        <v>0</v>
      </c>
      <c r="Q143" s="97">
        <f t="shared" si="262"/>
        <v>0</v>
      </c>
      <c r="R143" s="97">
        <f t="shared" si="262"/>
        <v>0</v>
      </c>
      <c r="S143" s="97">
        <f t="shared" si="262"/>
        <v>0</v>
      </c>
      <c r="T143" s="97">
        <f t="shared" si="262"/>
        <v>0</v>
      </c>
      <c r="U143" s="97">
        <f t="shared" si="262"/>
        <v>0</v>
      </c>
      <c r="V143" s="97">
        <f t="shared" si="262"/>
        <v>0</v>
      </c>
      <c r="W143" s="97">
        <f>SUM(W128:W142)</f>
        <v>0</v>
      </c>
      <c r="X143" s="97">
        <f t="shared" ref="X143:AD143" si="263">SUM(X128:X142)</f>
        <v>0</v>
      </c>
      <c r="Y143" s="97">
        <f>SUM(Y128:Y142)</f>
        <v>0</v>
      </c>
      <c r="Z143" s="97">
        <f t="shared" si="263"/>
        <v>0</v>
      </c>
      <c r="AA143" s="97">
        <f t="shared" si="263"/>
        <v>0</v>
      </c>
      <c r="AB143" s="97">
        <f t="shared" si="263"/>
        <v>0</v>
      </c>
      <c r="AC143" s="97">
        <f t="shared" si="263"/>
        <v>0</v>
      </c>
      <c r="AD143" s="97">
        <f t="shared" si="263"/>
        <v>0</v>
      </c>
      <c r="AE143" s="97">
        <f>SUM(AE128:AE142)</f>
        <v>0</v>
      </c>
      <c r="AF143" s="97">
        <f>SUM(AF128:AF142)</f>
        <v>0</v>
      </c>
      <c r="AG143" s="97">
        <f>SUM(AG128:AG142)</f>
        <v>0</v>
      </c>
      <c r="AH143" s="97">
        <f t="shared" ref="AH143:AL143" si="264">SUM(AH128:AH142)</f>
        <v>0</v>
      </c>
      <c r="AI143" s="97">
        <f t="shared" si="264"/>
        <v>0</v>
      </c>
      <c r="AJ143" s="97">
        <f t="shared" si="264"/>
        <v>0</v>
      </c>
      <c r="AK143" s="97">
        <f t="shared" si="264"/>
        <v>0</v>
      </c>
      <c r="AL143" s="97">
        <f t="shared" si="264"/>
        <v>0</v>
      </c>
      <c r="AM143" s="97">
        <f>SUM(AM128:AM142)</f>
        <v>0</v>
      </c>
      <c r="AN143" s="97">
        <f>SUM(AN128:AN142)</f>
        <v>0</v>
      </c>
      <c r="AO143" s="97">
        <f>SUM(AO128:AO142)</f>
        <v>0</v>
      </c>
      <c r="AP143" s="97">
        <f>SUM(AP128:AP142)</f>
        <v>0</v>
      </c>
      <c r="AQ143" s="97">
        <f>SUM(AQ128:AQ142)</f>
        <v>0</v>
      </c>
      <c r="AR143" s="97">
        <f t="shared" ref="AR143" si="265">SUM(AR128:AR142)</f>
        <v>0</v>
      </c>
      <c r="AS143" s="97">
        <f>SUM(AS128:AS142)</f>
        <v>0</v>
      </c>
      <c r="AT143" s="97">
        <f t="shared" ref="AT143:AV143" si="266">SUM(AT128:AT142)</f>
        <v>0</v>
      </c>
      <c r="AU143" s="97">
        <f t="shared" si="266"/>
        <v>0</v>
      </c>
      <c r="AV143" s="97">
        <f t="shared" si="266"/>
        <v>18000000</v>
      </c>
      <c r="AW143" s="97">
        <f>SUM(AW128:AW142)</f>
        <v>0</v>
      </c>
      <c r="AX143" s="97">
        <f t="shared" ref="AX143:BF143" si="267">SUM(AX128:AX142)</f>
        <v>0</v>
      </c>
      <c r="AY143" s="97">
        <f t="shared" si="267"/>
        <v>0</v>
      </c>
      <c r="AZ143" s="97">
        <f t="shared" si="267"/>
        <v>0</v>
      </c>
      <c r="BA143" s="97">
        <f t="shared" si="267"/>
        <v>0</v>
      </c>
      <c r="BB143" s="97">
        <f t="shared" si="267"/>
        <v>0</v>
      </c>
      <c r="BC143" s="97">
        <f t="shared" si="267"/>
        <v>0</v>
      </c>
      <c r="BD143" s="97">
        <f t="shared" si="267"/>
        <v>0</v>
      </c>
      <c r="BE143" s="97">
        <f t="shared" si="267"/>
        <v>0</v>
      </c>
      <c r="BF143" s="97">
        <f t="shared" si="267"/>
        <v>0</v>
      </c>
    </row>
    <row r="144" spans="1:58" ht="14.1" customHeight="1">
      <c r="A144" s="75">
        <f t="shared" si="261"/>
        <v>138</v>
      </c>
      <c r="B144" s="96"/>
      <c r="C144" s="96"/>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row>
    <row r="145" spans="1:58" ht="14.1" customHeight="1">
      <c r="A145" s="75">
        <f t="shared" si="261"/>
        <v>139</v>
      </c>
      <c r="B145" s="81" t="s">
        <v>298</v>
      </c>
      <c r="C145" s="81"/>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87"/>
      <c r="AW145" s="87"/>
      <c r="AX145" s="87"/>
      <c r="AY145" s="87"/>
      <c r="AZ145" s="87"/>
      <c r="BA145" s="87"/>
      <c r="BB145" s="87"/>
      <c r="BC145" s="87"/>
      <c r="BD145" s="87"/>
      <c r="BE145" s="87"/>
      <c r="BF145" s="87"/>
    </row>
    <row r="146" spans="1:58" ht="14.1" customHeight="1">
      <c r="A146" s="75">
        <f t="shared" si="261"/>
        <v>140</v>
      </c>
      <c r="B146" s="76" t="s">
        <v>299</v>
      </c>
      <c r="C146" s="80">
        <f t="shared" ref="C146:C157" si="268">SUM(D146:BF146)</f>
        <v>42693.770000000019</v>
      </c>
      <c r="D146" s="87">
        <v>0</v>
      </c>
      <c r="E146" s="87">
        <v>0</v>
      </c>
      <c r="F146" s="87">
        <v>0</v>
      </c>
      <c r="G146" s="87">
        <v>0</v>
      </c>
      <c r="H146" s="87">
        <v>0</v>
      </c>
      <c r="I146" s="87">
        <v>0</v>
      </c>
      <c r="J146" s="87">
        <v>0</v>
      </c>
      <c r="K146" s="87">
        <v>0</v>
      </c>
      <c r="L146" s="87">
        <v>0</v>
      </c>
      <c r="M146" s="87">
        <v>0</v>
      </c>
      <c r="N146" s="87">
        <v>0</v>
      </c>
      <c r="O146" s="87">
        <v>0</v>
      </c>
      <c r="P146" s="87">
        <v>0</v>
      </c>
      <c r="Q146" s="87">
        <v>0</v>
      </c>
      <c r="R146" s="87">
        <v>0</v>
      </c>
      <c r="S146" s="87">
        <v>0</v>
      </c>
      <c r="T146" s="87">
        <v>0</v>
      </c>
      <c r="U146" s="87">
        <v>42693.770000000019</v>
      </c>
      <c r="V146" s="87">
        <v>0</v>
      </c>
      <c r="W146" s="87">
        <v>0</v>
      </c>
      <c r="X146" s="87">
        <v>0</v>
      </c>
      <c r="Y146" s="87">
        <v>0</v>
      </c>
      <c r="Z146" s="87">
        <v>0</v>
      </c>
      <c r="AA146" s="87">
        <v>0</v>
      </c>
      <c r="AB146" s="87">
        <v>0</v>
      </c>
      <c r="AC146" s="87">
        <v>0</v>
      </c>
      <c r="AD146" s="87">
        <v>0</v>
      </c>
      <c r="AE146" s="87">
        <v>0</v>
      </c>
      <c r="AF146" s="87">
        <v>0</v>
      </c>
      <c r="AG146" s="87">
        <v>0</v>
      </c>
      <c r="AH146" s="87">
        <v>0</v>
      </c>
      <c r="AI146" s="87">
        <v>0</v>
      </c>
      <c r="AJ146" s="87">
        <v>0</v>
      </c>
      <c r="AK146" s="87">
        <v>0</v>
      </c>
      <c r="AL146" s="87">
        <v>0</v>
      </c>
      <c r="AM146" s="87">
        <v>0</v>
      </c>
      <c r="AN146" s="87">
        <v>0</v>
      </c>
      <c r="AO146" s="87">
        <v>0</v>
      </c>
      <c r="AP146" s="87">
        <v>0</v>
      </c>
      <c r="AQ146" s="87">
        <v>0</v>
      </c>
      <c r="AR146" s="87">
        <v>0</v>
      </c>
      <c r="AS146" s="87">
        <v>0</v>
      </c>
      <c r="AT146" s="87">
        <v>0</v>
      </c>
      <c r="AU146" s="87">
        <v>0</v>
      </c>
      <c r="AV146" s="87">
        <v>0</v>
      </c>
      <c r="AW146" s="87">
        <v>0</v>
      </c>
      <c r="AX146" s="87">
        <v>0</v>
      </c>
      <c r="AY146" s="87">
        <v>0</v>
      </c>
      <c r="AZ146" s="87">
        <v>0</v>
      </c>
      <c r="BA146" s="87">
        <v>0</v>
      </c>
      <c r="BB146" s="87">
        <v>0</v>
      </c>
      <c r="BC146" s="87">
        <v>0</v>
      </c>
      <c r="BD146" s="87">
        <v>0</v>
      </c>
      <c r="BE146" s="87">
        <v>0</v>
      </c>
      <c r="BF146" s="87">
        <v>0</v>
      </c>
    </row>
    <row r="147" spans="1:58" ht="14.1" customHeight="1">
      <c r="A147" s="75">
        <f t="shared" si="261"/>
        <v>141</v>
      </c>
      <c r="B147" s="76" t="s">
        <v>300</v>
      </c>
      <c r="C147" s="80">
        <f t="shared" si="268"/>
        <v>574766.33999999985</v>
      </c>
      <c r="D147" s="87">
        <v>0</v>
      </c>
      <c r="E147" s="87">
        <v>0</v>
      </c>
      <c r="F147" s="87">
        <v>0</v>
      </c>
      <c r="G147" s="87">
        <v>0</v>
      </c>
      <c r="H147" s="87">
        <v>0</v>
      </c>
      <c r="I147" s="87">
        <v>0</v>
      </c>
      <c r="J147" s="87">
        <v>0</v>
      </c>
      <c r="K147" s="87">
        <v>0</v>
      </c>
      <c r="L147" s="87">
        <v>0</v>
      </c>
      <c r="M147" s="87">
        <v>0</v>
      </c>
      <c r="N147" s="87">
        <v>0</v>
      </c>
      <c r="O147" s="87">
        <v>0</v>
      </c>
      <c r="P147" s="87">
        <v>0</v>
      </c>
      <c r="Q147" s="87">
        <v>0</v>
      </c>
      <c r="R147" s="87">
        <v>0</v>
      </c>
      <c r="S147" s="87">
        <v>0</v>
      </c>
      <c r="T147" s="87">
        <v>0</v>
      </c>
      <c r="U147" s="87">
        <v>574766.33999999985</v>
      </c>
      <c r="V147" s="87">
        <v>0</v>
      </c>
      <c r="W147" s="87">
        <v>0</v>
      </c>
      <c r="X147" s="87">
        <v>0</v>
      </c>
      <c r="Y147" s="87">
        <v>0</v>
      </c>
      <c r="Z147" s="87">
        <v>0</v>
      </c>
      <c r="AA147" s="87">
        <v>0</v>
      </c>
      <c r="AB147" s="87">
        <v>0</v>
      </c>
      <c r="AC147" s="87">
        <v>0</v>
      </c>
      <c r="AD147" s="87">
        <v>0</v>
      </c>
      <c r="AE147" s="87">
        <v>0</v>
      </c>
      <c r="AF147" s="87">
        <v>0</v>
      </c>
      <c r="AG147" s="87">
        <v>0</v>
      </c>
      <c r="AH147" s="87">
        <v>0</v>
      </c>
      <c r="AI147" s="87">
        <v>0</v>
      </c>
      <c r="AJ147" s="87">
        <v>0</v>
      </c>
      <c r="AK147" s="87">
        <v>0</v>
      </c>
      <c r="AL147" s="87">
        <v>0</v>
      </c>
      <c r="AM147" s="87">
        <v>0</v>
      </c>
      <c r="AN147" s="87">
        <v>0</v>
      </c>
      <c r="AO147" s="87">
        <v>0</v>
      </c>
      <c r="AP147" s="87">
        <v>0</v>
      </c>
      <c r="AQ147" s="87">
        <v>0</v>
      </c>
      <c r="AR147" s="87">
        <v>0</v>
      </c>
      <c r="AS147" s="87">
        <v>0</v>
      </c>
      <c r="AT147" s="87">
        <v>0</v>
      </c>
      <c r="AU147" s="87">
        <v>0</v>
      </c>
      <c r="AV147" s="87">
        <v>0</v>
      </c>
      <c r="AW147" s="87">
        <v>0</v>
      </c>
      <c r="AX147" s="87">
        <v>0</v>
      </c>
      <c r="AY147" s="87">
        <v>0</v>
      </c>
      <c r="AZ147" s="87">
        <v>0</v>
      </c>
      <c r="BA147" s="87">
        <v>0</v>
      </c>
      <c r="BB147" s="87">
        <v>0</v>
      </c>
      <c r="BC147" s="87">
        <v>0</v>
      </c>
      <c r="BD147" s="87">
        <v>0</v>
      </c>
      <c r="BE147" s="87">
        <v>0</v>
      </c>
      <c r="BF147" s="87">
        <v>0</v>
      </c>
    </row>
    <row r="148" spans="1:58" ht="14.1" customHeight="1">
      <c r="A148" s="75">
        <f t="shared" si="261"/>
        <v>142</v>
      </c>
      <c r="B148" s="76" t="s">
        <v>301</v>
      </c>
      <c r="C148" s="80">
        <f t="shared" si="268"/>
        <v>50416.049999999814</v>
      </c>
      <c r="D148" s="87">
        <v>0</v>
      </c>
      <c r="E148" s="87">
        <v>0</v>
      </c>
      <c r="F148" s="87">
        <v>0</v>
      </c>
      <c r="G148" s="87">
        <v>0</v>
      </c>
      <c r="H148" s="87">
        <v>0</v>
      </c>
      <c r="I148" s="87">
        <v>0</v>
      </c>
      <c r="J148" s="87">
        <v>0</v>
      </c>
      <c r="K148" s="87">
        <v>0</v>
      </c>
      <c r="L148" s="87">
        <v>0</v>
      </c>
      <c r="M148" s="87">
        <v>0</v>
      </c>
      <c r="N148" s="87">
        <v>0</v>
      </c>
      <c r="O148" s="87">
        <v>0</v>
      </c>
      <c r="P148" s="87">
        <v>0</v>
      </c>
      <c r="Q148" s="87">
        <v>0</v>
      </c>
      <c r="R148" s="87">
        <v>0</v>
      </c>
      <c r="S148" s="87">
        <v>0</v>
      </c>
      <c r="T148" s="87">
        <v>0</v>
      </c>
      <c r="U148" s="87">
        <v>50416.049999999814</v>
      </c>
      <c r="V148" s="87">
        <v>0</v>
      </c>
      <c r="W148" s="87">
        <v>0</v>
      </c>
      <c r="X148" s="87">
        <v>0</v>
      </c>
      <c r="Y148" s="87">
        <v>0</v>
      </c>
      <c r="Z148" s="87">
        <v>0</v>
      </c>
      <c r="AA148" s="87">
        <v>0</v>
      </c>
      <c r="AB148" s="87">
        <v>0</v>
      </c>
      <c r="AC148" s="87">
        <v>0</v>
      </c>
      <c r="AD148" s="87">
        <v>0</v>
      </c>
      <c r="AE148" s="87">
        <v>0</v>
      </c>
      <c r="AF148" s="87">
        <v>0</v>
      </c>
      <c r="AG148" s="87">
        <v>0</v>
      </c>
      <c r="AH148" s="87">
        <v>0</v>
      </c>
      <c r="AI148" s="87">
        <v>0</v>
      </c>
      <c r="AJ148" s="87">
        <v>0</v>
      </c>
      <c r="AK148" s="87">
        <v>0</v>
      </c>
      <c r="AL148" s="87">
        <v>0</v>
      </c>
      <c r="AM148" s="87">
        <v>0</v>
      </c>
      <c r="AN148" s="87">
        <v>0</v>
      </c>
      <c r="AO148" s="87">
        <v>0</v>
      </c>
      <c r="AP148" s="87">
        <v>0</v>
      </c>
      <c r="AQ148" s="87">
        <v>0</v>
      </c>
      <c r="AR148" s="87">
        <v>0</v>
      </c>
      <c r="AS148" s="87">
        <v>0</v>
      </c>
      <c r="AT148" s="87">
        <v>0</v>
      </c>
      <c r="AU148" s="87">
        <v>0</v>
      </c>
      <c r="AV148" s="87">
        <v>0</v>
      </c>
      <c r="AW148" s="87">
        <v>0</v>
      </c>
      <c r="AX148" s="87">
        <v>0</v>
      </c>
      <c r="AY148" s="87">
        <v>0</v>
      </c>
      <c r="AZ148" s="87">
        <v>0</v>
      </c>
      <c r="BA148" s="87">
        <v>0</v>
      </c>
      <c r="BB148" s="87">
        <v>0</v>
      </c>
      <c r="BC148" s="87">
        <v>0</v>
      </c>
      <c r="BD148" s="87">
        <v>0</v>
      </c>
      <c r="BE148" s="87">
        <v>0</v>
      </c>
      <c r="BF148" s="87">
        <v>0</v>
      </c>
    </row>
    <row r="149" spans="1:58" ht="14.1" customHeight="1">
      <c r="A149" s="75">
        <f t="shared" si="261"/>
        <v>143</v>
      </c>
      <c r="B149" s="76" t="s">
        <v>302</v>
      </c>
      <c r="C149" s="80">
        <f t="shared" si="268"/>
        <v>481369.65000000224</v>
      </c>
      <c r="D149" s="87">
        <v>0</v>
      </c>
      <c r="E149" s="87">
        <v>0</v>
      </c>
      <c r="F149" s="87">
        <v>0</v>
      </c>
      <c r="G149" s="87">
        <v>0</v>
      </c>
      <c r="H149" s="87">
        <v>0</v>
      </c>
      <c r="I149" s="87">
        <v>0</v>
      </c>
      <c r="J149" s="87">
        <v>0</v>
      </c>
      <c r="K149" s="87">
        <v>0</v>
      </c>
      <c r="L149" s="87">
        <v>0</v>
      </c>
      <c r="M149" s="87">
        <v>0</v>
      </c>
      <c r="N149" s="87">
        <v>0</v>
      </c>
      <c r="O149" s="87">
        <v>0</v>
      </c>
      <c r="P149" s="87">
        <v>0</v>
      </c>
      <c r="Q149" s="87">
        <v>0</v>
      </c>
      <c r="R149" s="87">
        <v>0</v>
      </c>
      <c r="S149" s="87">
        <v>0</v>
      </c>
      <c r="T149" s="87">
        <v>0</v>
      </c>
      <c r="U149" s="87">
        <v>481369.65000000224</v>
      </c>
      <c r="V149" s="87">
        <v>0</v>
      </c>
      <c r="W149" s="87">
        <v>0</v>
      </c>
      <c r="X149" s="87">
        <v>0</v>
      </c>
      <c r="Y149" s="87">
        <v>0</v>
      </c>
      <c r="Z149" s="87">
        <v>0</v>
      </c>
      <c r="AA149" s="87">
        <v>0</v>
      </c>
      <c r="AB149" s="87">
        <v>0</v>
      </c>
      <c r="AC149" s="87">
        <v>0</v>
      </c>
      <c r="AD149" s="87">
        <v>0</v>
      </c>
      <c r="AE149" s="87">
        <v>0</v>
      </c>
      <c r="AF149" s="87">
        <v>0</v>
      </c>
      <c r="AG149" s="87">
        <v>0</v>
      </c>
      <c r="AH149" s="87">
        <v>0</v>
      </c>
      <c r="AI149" s="87">
        <v>0</v>
      </c>
      <c r="AJ149" s="87">
        <v>0</v>
      </c>
      <c r="AK149" s="87">
        <v>0</v>
      </c>
      <c r="AL149" s="87">
        <v>0</v>
      </c>
      <c r="AM149" s="87">
        <v>0</v>
      </c>
      <c r="AN149" s="87">
        <v>0</v>
      </c>
      <c r="AO149" s="87">
        <v>0</v>
      </c>
      <c r="AP149" s="87">
        <v>0</v>
      </c>
      <c r="AQ149" s="87">
        <v>0</v>
      </c>
      <c r="AR149" s="87">
        <v>0</v>
      </c>
      <c r="AS149" s="87">
        <v>0</v>
      </c>
      <c r="AT149" s="87">
        <v>0</v>
      </c>
      <c r="AU149" s="87">
        <v>0</v>
      </c>
      <c r="AV149" s="87">
        <v>0</v>
      </c>
      <c r="AW149" s="87">
        <v>0</v>
      </c>
      <c r="AX149" s="87">
        <v>0</v>
      </c>
      <c r="AY149" s="87">
        <v>0</v>
      </c>
      <c r="AZ149" s="87">
        <v>0</v>
      </c>
      <c r="BA149" s="87">
        <v>0</v>
      </c>
      <c r="BB149" s="87">
        <v>0</v>
      </c>
      <c r="BC149" s="87">
        <v>0</v>
      </c>
      <c r="BD149" s="87">
        <v>0</v>
      </c>
      <c r="BE149" s="87">
        <v>0</v>
      </c>
      <c r="BF149" s="87">
        <v>0</v>
      </c>
    </row>
    <row r="150" spans="1:58" ht="14.1" customHeight="1">
      <c r="A150" s="75">
        <f t="shared" si="261"/>
        <v>144</v>
      </c>
      <c r="B150" s="76" t="s">
        <v>303</v>
      </c>
      <c r="C150" s="80">
        <f t="shared" si="268"/>
        <v>8852.1600000000326</v>
      </c>
      <c r="D150" s="87">
        <v>0</v>
      </c>
      <c r="E150" s="87">
        <v>0</v>
      </c>
      <c r="F150" s="87">
        <v>0</v>
      </c>
      <c r="G150" s="87">
        <v>0</v>
      </c>
      <c r="H150" s="87">
        <v>0</v>
      </c>
      <c r="I150" s="87">
        <v>0</v>
      </c>
      <c r="J150" s="87">
        <v>0</v>
      </c>
      <c r="K150" s="87">
        <v>0</v>
      </c>
      <c r="L150" s="87">
        <v>0</v>
      </c>
      <c r="M150" s="87">
        <v>0</v>
      </c>
      <c r="N150" s="87">
        <v>0</v>
      </c>
      <c r="O150" s="87">
        <v>0</v>
      </c>
      <c r="P150" s="87">
        <v>0</v>
      </c>
      <c r="Q150" s="87">
        <v>0</v>
      </c>
      <c r="R150" s="87">
        <v>0</v>
      </c>
      <c r="S150" s="87">
        <v>0</v>
      </c>
      <c r="T150" s="87">
        <v>0</v>
      </c>
      <c r="U150" s="87">
        <v>8852.1600000000326</v>
      </c>
      <c r="V150" s="87">
        <v>0</v>
      </c>
      <c r="W150" s="87">
        <v>0</v>
      </c>
      <c r="X150" s="87">
        <v>0</v>
      </c>
      <c r="Y150" s="87">
        <v>0</v>
      </c>
      <c r="Z150" s="87">
        <v>0</v>
      </c>
      <c r="AA150" s="87">
        <v>0</v>
      </c>
      <c r="AB150" s="87">
        <v>0</v>
      </c>
      <c r="AC150" s="87">
        <v>0</v>
      </c>
      <c r="AD150" s="87">
        <v>0</v>
      </c>
      <c r="AE150" s="87">
        <v>0</v>
      </c>
      <c r="AF150" s="87">
        <v>0</v>
      </c>
      <c r="AG150" s="87">
        <v>0</v>
      </c>
      <c r="AH150" s="87">
        <v>0</v>
      </c>
      <c r="AI150" s="87">
        <v>0</v>
      </c>
      <c r="AJ150" s="87">
        <v>0</v>
      </c>
      <c r="AK150" s="87">
        <v>0</v>
      </c>
      <c r="AL150" s="87">
        <v>0</v>
      </c>
      <c r="AM150" s="87">
        <v>0</v>
      </c>
      <c r="AN150" s="87">
        <v>0</v>
      </c>
      <c r="AO150" s="87">
        <v>0</v>
      </c>
      <c r="AP150" s="87">
        <v>0</v>
      </c>
      <c r="AQ150" s="87">
        <v>0</v>
      </c>
      <c r="AR150" s="87">
        <v>0</v>
      </c>
      <c r="AS150" s="87">
        <v>0</v>
      </c>
      <c r="AT150" s="87">
        <v>0</v>
      </c>
      <c r="AU150" s="87">
        <v>0</v>
      </c>
      <c r="AV150" s="87">
        <v>0</v>
      </c>
      <c r="AW150" s="87">
        <f>21810.2</f>
        <v>21810.2</v>
      </c>
      <c r="AX150" s="87">
        <v>-21810.2</v>
      </c>
      <c r="AY150" s="87">
        <v>0</v>
      </c>
      <c r="AZ150" s="87">
        <v>0</v>
      </c>
      <c r="BA150" s="87">
        <v>0</v>
      </c>
      <c r="BB150" s="87">
        <v>0</v>
      </c>
      <c r="BC150" s="87">
        <v>0</v>
      </c>
      <c r="BD150" s="87">
        <v>0</v>
      </c>
      <c r="BE150" s="87">
        <v>0</v>
      </c>
      <c r="BF150" s="87">
        <v>0</v>
      </c>
    </row>
    <row r="151" spans="1:58" ht="14.1" customHeight="1">
      <c r="A151" s="75">
        <f t="shared" si="261"/>
        <v>145</v>
      </c>
      <c r="B151" s="76" t="s">
        <v>304</v>
      </c>
      <c r="C151" s="80">
        <f t="shared" si="268"/>
        <v>166993.51999999955</v>
      </c>
      <c r="D151" s="87">
        <v>0</v>
      </c>
      <c r="E151" s="87">
        <v>0</v>
      </c>
      <c r="F151" s="87">
        <v>0</v>
      </c>
      <c r="G151" s="87">
        <v>0</v>
      </c>
      <c r="H151" s="87">
        <v>0</v>
      </c>
      <c r="I151" s="87">
        <v>0</v>
      </c>
      <c r="J151" s="87">
        <v>0</v>
      </c>
      <c r="K151" s="87">
        <v>0</v>
      </c>
      <c r="L151" s="87">
        <v>0</v>
      </c>
      <c r="M151" s="87">
        <v>0</v>
      </c>
      <c r="N151" s="87">
        <v>0</v>
      </c>
      <c r="O151" s="87">
        <v>0</v>
      </c>
      <c r="P151" s="87">
        <v>0</v>
      </c>
      <c r="Q151" s="87">
        <v>0</v>
      </c>
      <c r="R151" s="87">
        <v>0</v>
      </c>
      <c r="S151" s="87">
        <v>0</v>
      </c>
      <c r="T151" s="87">
        <v>0</v>
      </c>
      <c r="U151" s="87">
        <v>166993.51999999955</v>
      </c>
      <c r="V151" s="87">
        <v>0</v>
      </c>
      <c r="W151" s="87">
        <v>0</v>
      </c>
      <c r="X151" s="87">
        <v>0</v>
      </c>
      <c r="Y151" s="87">
        <v>0</v>
      </c>
      <c r="Z151" s="87">
        <v>0</v>
      </c>
      <c r="AA151" s="87">
        <v>0</v>
      </c>
      <c r="AB151" s="87">
        <v>0</v>
      </c>
      <c r="AC151" s="87">
        <v>0</v>
      </c>
      <c r="AD151" s="87">
        <v>0</v>
      </c>
      <c r="AE151" s="87">
        <v>0</v>
      </c>
      <c r="AF151" s="87">
        <v>0</v>
      </c>
      <c r="AG151" s="87">
        <v>0</v>
      </c>
      <c r="AH151" s="87">
        <v>0</v>
      </c>
      <c r="AI151" s="87">
        <v>0</v>
      </c>
      <c r="AJ151" s="87">
        <v>0</v>
      </c>
      <c r="AK151" s="87">
        <v>0</v>
      </c>
      <c r="AL151" s="87">
        <v>0</v>
      </c>
      <c r="AM151" s="87">
        <v>0</v>
      </c>
      <c r="AN151" s="87">
        <v>0</v>
      </c>
      <c r="AO151" s="87">
        <v>0</v>
      </c>
      <c r="AP151" s="87">
        <v>0</v>
      </c>
      <c r="AQ151" s="87">
        <v>0</v>
      </c>
      <c r="AR151" s="87">
        <v>0</v>
      </c>
      <c r="AS151" s="87">
        <v>0</v>
      </c>
      <c r="AT151" s="87">
        <v>0</v>
      </c>
      <c r="AU151" s="87">
        <v>0</v>
      </c>
      <c r="AV151" s="87">
        <v>0</v>
      </c>
      <c r="AW151" s="87">
        <v>0</v>
      </c>
      <c r="AX151" s="87">
        <v>0</v>
      </c>
      <c r="AY151" s="87">
        <v>0</v>
      </c>
      <c r="AZ151" s="87">
        <v>0</v>
      </c>
      <c r="BA151" s="87">
        <v>0</v>
      </c>
      <c r="BB151" s="87">
        <v>0</v>
      </c>
      <c r="BC151" s="87">
        <v>0</v>
      </c>
      <c r="BD151" s="87">
        <v>0</v>
      </c>
      <c r="BE151" s="87">
        <v>0</v>
      </c>
      <c r="BF151" s="87">
        <v>0</v>
      </c>
    </row>
    <row r="152" spans="1:58" ht="14.1" customHeight="1">
      <c r="A152" s="75">
        <f t="shared" si="261"/>
        <v>146</v>
      </c>
      <c r="B152" s="76" t="s">
        <v>305</v>
      </c>
      <c r="C152" s="80">
        <f t="shared" si="268"/>
        <v>4514.4000000000269</v>
      </c>
      <c r="D152" s="87">
        <v>0</v>
      </c>
      <c r="E152" s="87">
        <v>0</v>
      </c>
      <c r="F152" s="87">
        <v>0</v>
      </c>
      <c r="G152" s="87">
        <v>0</v>
      </c>
      <c r="H152" s="87">
        <v>0</v>
      </c>
      <c r="I152" s="87">
        <v>0</v>
      </c>
      <c r="J152" s="87">
        <v>0</v>
      </c>
      <c r="K152" s="87">
        <v>0</v>
      </c>
      <c r="L152" s="87">
        <v>0</v>
      </c>
      <c r="M152" s="87">
        <v>0</v>
      </c>
      <c r="N152" s="87">
        <v>0</v>
      </c>
      <c r="O152" s="87">
        <v>0</v>
      </c>
      <c r="P152" s="87">
        <v>0</v>
      </c>
      <c r="Q152" s="87">
        <v>0</v>
      </c>
      <c r="R152" s="87">
        <v>0</v>
      </c>
      <c r="S152" s="87">
        <v>0</v>
      </c>
      <c r="T152" s="87">
        <v>0</v>
      </c>
      <c r="U152" s="87">
        <v>4514.4000000000233</v>
      </c>
      <c r="V152" s="87">
        <v>0</v>
      </c>
      <c r="W152" s="87">
        <v>0</v>
      </c>
      <c r="X152" s="87">
        <v>0</v>
      </c>
      <c r="Y152" s="87">
        <v>0</v>
      </c>
      <c r="Z152" s="87">
        <v>0</v>
      </c>
      <c r="AA152" s="87">
        <v>0</v>
      </c>
      <c r="AB152" s="87">
        <v>0</v>
      </c>
      <c r="AC152" s="87">
        <v>0</v>
      </c>
      <c r="AD152" s="87">
        <v>0</v>
      </c>
      <c r="AE152" s="87">
        <v>0</v>
      </c>
      <c r="AF152" s="87">
        <v>0</v>
      </c>
      <c r="AG152" s="87">
        <v>0</v>
      </c>
      <c r="AH152" s="87">
        <v>0</v>
      </c>
      <c r="AI152" s="87">
        <v>0</v>
      </c>
      <c r="AJ152" s="87">
        <v>0</v>
      </c>
      <c r="AK152" s="87">
        <v>0</v>
      </c>
      <c r="AL152" s="87">
        <v>0</v>
      </c>
      <c r="AM152" s="87">
        <v>0</v>
      </c>
      <c r="AN152" s="87">
        <v>0</v>
      </c>
      <c r="AO152" s="87">
        <v>0</v>
      </c>
      <c r="AP152" s="87">
        <v>0</v>
      </c>
      <c r="AQ152" s="87">
        <v>0</v>
      </c>
      <c r="AR152" s="87">
        <v>0</v>
      </c>
      <c r="AS152" s="87">
        <v>0</v>
      </c>
      <c r="AT152" s="87">
        <v>0</v>
      </c>
      <c r="AU152" s="87">
        <v>0</v>
      </c>
      <c r="AV152" s="87">
        <v>0</v>
      </c>
      <c r="AW152" s="87">
        <f>31115.66</f>
        <v>31115.66</v>
      </c>
      <c r="AX152" s="87">
        <v>-31115.66</v>
      </c>
      <c r="AY152" s="87">
        <v>0</v>
      </c>
      <c r="AZ152" s="87">
        <v>0</v>
      </c>
      <c r="BA152" s="87">
        <v>0</v>
      </c>
      <c r="BB152" s="87">
        <v>0</v>
      </c>
      <c r="BC152" s="87">
        <v>0</v>
      </c>
      <c r="BD152" s="87">
        <v>0</v>
      </c>
      <c r="BE152" s="87">
        <v>0</v>
      </c>
      <c r="BF152" s="87">
        <v>0</v>
      </c>
    </row>
    <row r="153" spans="1:58" ht="14.1" customHeight="1">
      <c r="A153" s="75">
        <f t="shared" si="261"/>
        <v>147</v>
      </c>
      <c r="B153" s="76" t="s">
        <v>306</v>
      </c>
      <c r="C153" s="80">
        <f t="shared" si="268"/>
        <v>44424.689999999944</v>
      </c>
      <c r="D153" s="87">
        <v>0</v>
      </c>
      <c r="E153" s="87">
        <v>0</v>
      </c>
      <c r="F153" s="87">
        <v>0</v>
      </c>
      <c r="G153" s="87">
        <v>0</v>
      </c>
      <c r="H153" s="87">
        <v>0</v>
      </c>
      <c r="I153" s="87">
        <v>0</v>
      </c>
      <c r="J153" s="87">
        <v>0</v>
      </c>
      <c r="K153" s="87">
        <v>0</v>
      </c>
      <c r="L153" s="87">
        <v>0</v>
      </c>
      <c r="M153" s="87">
        <v>0</v>
      </c>
      <c r="N153" s="87">
        <v>0</v>
      </c>
      <c r="O153" s="87">
        <v>0</v>
      </c>
      <c r="P153" s="87">
        <v>0</v>
      </c>
      <c r="Q153" s="87">
        <v>0</v>
      </c>
      <c r="R153" s="87">
        <v>0</v>
      </c>
      <c r="S153" s="87">
        <v>0</v>
      </c>
      <c r="T153" s="87">
        <v>0</v>
      </c>
      <c r="U153" s="87">
        <v>44424.689999999944</v>
      </c>
      <c r="V153" s="87">
        <v>0</v>
      </c>
      <c r="W153" s="87">
        <v>0</v>
      </c>
      <c r="X153" s="87">
        <v>0</v>
      </c>
      <c r="Y153" s="87">
        <v>0</v>
      </c>
      <c r="Z153" s="87">
        <v>0</v>
      </c>
      <c r="AA153" s="87">
        <v>0</v>
      </c>
      <c r="AB153" s="87">
        <v>0</v>
      </c>
      <c r="AC153" s="87">
        <v>0</v>
      </c>
      <c r="AD153" s="87">
        <v>0</v>
      </c>
      <c r="AE153" s="87">
        <v>0</v>
      </c>
      <c r="AF153" s="87">
        <v>0</v>
      </c>
      <c r="AG153" s="87">
        <v>0</v>
      </c>
      <c r="AH153" s="87">
        <v>0</v>
      </c>
      <c r="AI153" s="87">
        <v>0</v>
      </c>
      <c r="AJ153" s="87">
        <v>0</v>
      </c>
      <c r="AK153" s="87">
        <v>0</v>
      </c>
      <c r="AL153" s="87">
        <v>0</v>
      </c>
      <c r="AM153" s="87">
        <v>0</v>
      </c>
      <c r="AN153" s="87">
        <v>0</v>
      </c>
      <c r="AO153" s="87">
        <v>0</v>
      </c>
      <c r="AP153" s="87">
        <v>0</v>
      </c>
      <c r="AQ153" s="87">
        <v>0</v>
      </c>
      <c r="AR153" s="87">
        <v>0</v>
      </c>
      <c r="AS153" s="87">
        <v>0</v>
      </c>
      <c r="AT153" s="87">
        <v>0</v>
      </c>
      <c r="AU153" s="87">
        <v>0</v>
      </c>
      <c r="AV153" s="87">
        <v>0</v>
      </c>
      <c r="AW153" s="87">
        <v>0</v>
      </c>
      <c r="AX153" s="87">
        <v>0</v>
      </c>
      <c r="AY153" s="87">
        <v>0</v>
      </c>
      <c r="AZ153" s="87">
        <v>0</v>
      </c>
      <c r="BA153" s="87">
        <v>0</v>
      </c>
      <c r="BB153" s="87">
        <v>0</v>
      </c>
      <c r="BC153" s="87">
        <v>0</v>
      </c>
      <c r="BD153" s="87">
        <v>0</v>
      </c>
      <c r="BE153" s="87">
        <v>0</v>
      </c>
      <c r="BF153" s="87">
        <v>0</v>
      </c>
    </row>
    <row r="154" spans="1:58" ht="14.1" customHeight="1">
      <c r="A154" s="75">
        <f t="shared" si="261"/>
        <v>148</v>
      </c>
      <c r="B154" s="76" t="s">
        <v>307</v>
      </c>
      <c r="C154" s="80">
        <f t="shared" si="268"/>
        <v>2015523.75</v>
      </c>
      <c r="D154" s="87">
        <v>0</v>
      </c>
      <c r="E154" s="87">
        <v>0</v>
      </c>
      <c r="F154" s="87">
        <v>0</v>
      </c>
      <c r="G154" s="87">
        <v>0</v>
      </c>
      <c r="H154" s="87">
        <v>0</v>
      </c>
      <c r="I154" s="87">
        <v>0</v>
      </c>
      <c r="J154" s="87">
        <v>0</v>
      </c>
      <c r="K154" s="87">
        <v>0</v>
      </c>
      <c r="L154" s="87">
        <v>0</v>
      </c>
      <c r="M154" s="87">
        <v>0</v>
      </c>
      <c r="N154" s="87">
        <v>0</v>
      </c>
      <c r="O154" s="87">
        <v>0</v>
      </c>
      <c r="P154" s="87">
        <v>0</v>
      </c>
      <c r="Q154" s="87">
        <v>0</v>
      </c>
      <c r="R154" s="87">
        <v>0</v>
      </c>
      <c r="S154" s="87">
        <v>0</v>
      </c>
      <c r="T154" s="87">
        <v>0</v>
      </c>
      <c r="U154" s="87">
        <v>2015523.75</v>
      </c>
      <c r="V154" s="87">
        <v>0</v>
      </c>
      <c r="W154" s="87">
        <v>0</v>
      </c>
      <c r="X154" s="87">
        <v>0</v>
      </c>
      <c r="Y154" s="87">
        <v>0</v>
      </c>
      <c r="Z154" s="87">
        <v>0</v>
      </c>
      <c r="AA154" s="87">
        <v>0</v>
      </c>
      <c r="AB154" s="87">
        <v>0</v>
      </c>
      <c r="AC154" s="87">
        <v>0</v>
      </c>
      <c r="AD154" s="87">
        <v>0</v>
      </c>
      <c r="AE154" s="87">
        <v>0</v>
      </c>
      <c r="AF154" s="87">
        <v>0</v>
      </c>
      <c r="AG154" s="87">
        <v>0</v>
      </c>
      <c r="AH154" s="87">
        <v>0</v>
      </c>
      <c r="AI154" s="87">
        <v>0</v>
      </c>
      <c r="AJ154" s="87">
        <v>0</v>
      </c>
      <c r="AK154" s="87">
        <v>0</v>
      </c>
      <c r="AL154" s="87">
        <v>0</v>
      </c>
      <c r="AM154" s="87">
        <v>0</v>
      </c>
      <c r="AN154" s="87">
        <v>0</v>
      </c>
      <c r="AO154" s="87">
        <v>0</v>
      </c>
      <c r="AP154" s="87">
        <v>0</v>
      </c>
      <c r="AQ154" s="87">
        <v>0</v>
      </c>
      <c r="AR154" s="87">
        <v>0</v>
      </c>
      <c r="AS154" s="87">
        <v>0</v>
      </c>
      <c r="AT154" s="87">
        <v>0</v>
      </c>
      <c r="AU154" s="87">
        <v>0</v>
      </c>
      <c r="AV154" s="87">
        <v>0</v>
      </c>
      <c r="AW154" s="87">
        <f>65113</f>
        <v>65113</v>
      </c>
      <c r="AX154" s="87">
        <v>-65113</v>
      </c>
      <c r="AY154" s="87">
        <v>0</v>
      </c>
      <c r="AZ154" s="87">
        <v>0</v>
      </c>
      <c r="BA154" s="87">
        <v>0</v>
      </c>
      <c r="BB154" s="87">
        <v>0</v>
      </c>
      <c r="BC154" s="87">
        <v>0</v>
      </c>
      <c r="BD154" s="87">
        <v>0</v>
      </c>
      <c r="BE154" s="87">
        <v>0</v>
      </c>
      <c r="BF154" s="87">
        <v>0</v>
      </c>
    </row>
    <row r="155" spans="1:58" ht="14.1" customHeight="1">
      <c r="A155" s="75">
        <f t="shared" si="261"/>
        <v>149</v>
      </c>
      <c r="B155" s="76" t="s">
        <v>308</v>
      </c>
      <c r="C155" s="80">
        <f t="shared" si="268"/>
        <v>43080.739999999758</v>
      </c>
      <c r="D155" s="87">
        <v>0</v>
      </c>
      <c r="E155" s="87">
        <v>0</v>
      </c>
      <c r="F155" s="87">
        <v>0</v>
      </c>
      <c r="G155" s="87">
        <v>0</v>
      </c>
      <c r="H155" s="87">
        <v>0</v>
      </c>
      <c r="I155" s="87">
        <v>0</v>
      </c>
      <c r="J155" s="87">
        <v>0</v>
      </c>
      <c r="K155" s="87">
        <v>0</v>
      </c>
      <c r="L155" s="87">
        <v>0</v>
      </c>
      <c r="M155" s="87">
        <v>0</v>
      </c>
      <c r="N155" s="87">
        <v>0</v>
      </c>
      <c r="O155" s="87">
        <v>0</v>
      </c>
      <c r="P155" s="87">
        <v>0</v>
      </c>
      <c r="Q155" s="87">
        <v>0</v>
      </c>
      <c r="R155" s="87">
        <v>0</v>
      </c>
      <c r="S155" s="87">
        <v>0</v>
      </c>
      <c r="T155" s="87">
        <v>0</v>
      </c>
      <c r="U155" s="87">
        <v>43080.739999999758</v>
      </c>
      <c r="V155" s="87">
        <v>0</v>
      </c>
      <c r="W155" s="87">
        <v>0</v>
      </c>
      <c r="X155" s="87">
        <v>0</v>
      </c>
      <c r="Y155" s="87">
        <v>0</v>
      </c>
      <c r="Z155" s="87">
        <v>0</v>
      </c>
      <c r="AA155" s="87">
        <v>0</v>
      </c>
      <c r="AB155" s="87">
        <v>0</v>
      </c>
      <c r="AC155" s="87">
        <v>0</v>
      </c>
      <c r="AD155" s="87">
        <v>0</v>
      </c>
      <c r="AE155" s="87">
        <v>0</v>
      </c>
      <c r="AF155" s="87">
        <v>0</v>
      </c>
      <c r="AG155" s="87">
        <v>0</v>
      </c>
      <c r="AH155" s="87">
        <v>0</v>
      </c>
      <c r="AI155" s="87">
        <v>0</v>
      </c>
      <c r="AJ155" s="87">
        <v>0</v>
      </c>
      <c r="AK155" s="87">
        <v>0</v>
      </c>
      <c r="AL155" s="87">
        <v>0</v>
      </c>
      <c r="AM155" s="87">
        <v>0</v>
      </c>
      <c r="AN155" s="87">
        <v>0</v>
      </c>
      <c r="AO155" s="87">
        <v>0</v>
      </c>
      <c r="AP155" s="87">
        <v>0</v>
      </c>
      <c r="AQ155" s="87">
        <v>0</v>
      </c>
      <c r="AR155" s="87">
        <v>0</v>
      </c>
      <c r="AS155" s="87">
        <v>0</v>
      </c>
      <c r="AT155" s="87">
        <v>0</v>
      </c>
      <c r="AU155" s="87">
        <v>0</v>
      </c>
      <c r="AV155" s="87">
        <v>0</v>
      </c>
      <c r="AW155" s="87">
        <f>13849.56</f>
        <v>13849.56</v>
      </c>
      <c r="AX155" s="87">
        <v>-13849.56</v>
      </c>
      <c r="AY155" s="87">
        <v>0</v>
      </c>
      <c r="AZ155" s="87">
        <v>0</v>
      </c>
      <c r="BA155" s="87">
        <v>0</v>
      </c>
      <c r="BB155" s="87">
        <v>0</v>
      </c>
      <c r="BC155" s="87">
        <v>0</v>
      </c>
      <c r="BD155" s="87">
        <v>0</v>
      </c>
      <c r="BE155" s="87">
        <v>0</v>
      </c>
      <c r="BF155" s="87">
        <v>0</v>
      </c>
    </row>
    <row r="156" spans="1:58" ht="14.1" customHeight="1">
      <c r="A156" s="75">
        <f t="shared" si="261"/>
        <v>150</v>
      </c>
      <c r="B156" s="76" t="s">
        <v>309</v>
      </c>
      <c r="C156" s="80">
        <f t="shared" si="268"/>
        <v>0</v>
      </c>
      <c r="D156" s="87">
        <v>0</v>
      </c>
      <c r="E156" s="87">
        <v>0</v>
      </c>
      <c r="F156" s="87">
        <v>0</v>
      </c>
      <c r="G156" s="87">
        <v>0</v>
      </c>
      <c r="H156" s="87">
        <v>0</v>
      </c>
      <c r="I156" s="87">
        <v>0</v>
      </c>
      <c r="J156" s="87">
        <v>0</v>
      </c>
      <c r="K156" s="87">
        <v>0</v>
      </c>
      <c r="L156" s="87">
        <v>0</v>
      </c>
      <c r="M156" s="87">
        <v>0</v>
      </c>
      <c r="N156" s="87">
        <v>0</v>
      </c>
      <c r="O156" s="87">
        <v>0</v>
      </c>
      <c r="P156" s="87">
        <v>0</v>
      </c>
      <c r="Q156" s="87">
        <v>0</v>
      </c>
      <c r="R156" s="87">
        <v>0</v>
      </c>
      <c r="S156" s="87">
        <v>0</v>
      </c>
      <c r="T156" s="87">
        <v>0</v>
      </c>
      <c r="U156" s="87">
        <v>0</v>
      </c>
      <c r="V156" s="87">
        <v>0</v>
      </c>
      <c r="W156" s="87">
        <v>0</v>
      </c>
      <c r="X156" s="87">
        <v>0</v>
      </c>
      <c r="Y156" s="87">
        <v>0</v>
      </c>
      <c r="Z156" s="87">
        <v>0</v>
      </c>
      <c r="AA156" s="87">
        <v>0</v>
      </c>
      <c r="AB156" s="87">
        <v>0</v>
      </c>
      <c r="AC156" s="87">
        <v>0</v>
      </c>
      <c r="AD156" s="87">
        <v>0</v>
      </c>
      <c r="AE156" s="87">
        <v>0</v>
      </c>
      <c r="AF156" s="87">
        <v>0</v>
      </c>
      <c r="AG156" s="87">
        <v>0</v>
      </c>
      <c r="AH156" s="87">
        <v>0</v>
      </c>
      <c r="AI156" s="87">
        <v>0</v>
      </c>
      <c r="AJ156" s="87">
        <v>0</v>
      </c>
      <c r="AK156" s="87">
        <v>0</v>
      </c>
      <c r="AL156" s="87">
        <v>0</v>
      </c>
      <c r="AM156" s="87">
        <v>0</v>
      </c>
      <c r="AN156" s="87">
        <v>0</v>
      </c>
      <c r="AO156" s="87">
        <v>0</v>
      </c>
      <c r="AP156" s="87">
        <v>0</v>
      </c>
      <c r="AQ156" s="87">
        <v>0</v>
      </c>
      <c r="AR156" s="87">
        <v>0</v>
      </c>
      <c r="AS156" s="87">
        <v>0</v>
      </c>
      <c r="AT156" s="87">
        <v>0</v>
      </c>
      <c r="AU156" s="87">
        <v>0</v>
      </c>
      <c r="AV156" s="87">
        <v>0</v>
      </c>
      <c r="AW156" s="87">
        <v>0</v>
      </c>
      <c r="AX156" s="87">
        <v>0</v>
      </c>
      <c r="AY156" s="87">
        <v>0</v>
      </c>
      <c r="AZ156" s="87">
        <v>0</v>
      </c>
      <c r="BA156" s="87">
        <v>0</v>
      </c>
      <c r="BB156" s="87">
        <v>0</v>
      </c>
      <c r="BC156" s="87">
        <v>0</v>
      </c>
      <c r="BD156" s="87">
        <v>0</v>
      </c>
      <c r="BE156" s="87">
        <v>0</v>
      </c>
      <c r="BF156" s="87">
        <v>0</v>
      </c>
    </row>
    <row r="157" spans="1:58" ht="14.1" customHeight="1">
      <c r="A157" s="75">
        <f t="shared" si="261"/>
        <v>151</v>
      </c>
      <c r="B157" s="90" t="s">
        <v>310</v>
      </c>
      <c r="C157" s="80">
        <f t="shared" si="268"/>
        <v>0</v>
      </c>
      <c r="D157" s="87">
        <v>0</v>
      </c>
      <c r="E157" s="87">
        <v>0</v>
      </c>
      <c r="F157" s="87">
        <v>0</v>
      </c>
      <c r="G157" s="87">
        <v>0</v>
      </c>
      <c r="H157" s="87">
        <v>0</v>
      </c>
      <c r="I157" s="87">
        <v>0</v>
      </c>
      <c r="J157" s="87">
        <v>0</v>
      </c>
      <c r="K157" s="87">
        <v>0</v>
      </c>
      <c r="L157" s="87">
        <v>0</v>
      </c>
      <c r="M157" s="87">
        <v>0</v>
      </c>
      <c r="N157" s="87">
        <v>0</v>
      </c>
      <c r="O157" s="87">
        <v>0</v>
      </c>
      <c r="P157" s="87">
        <v>0</v>
      </c>
      <c r="Q157" s="87">
        <v>0</v>
      </c>
      <c r="R157" s="87">
        <v>0</v>
      </c>
      <c r="S157" s="87">
        <v>0</v>
      </c>
      <c r="T157" s="87">
        <v>0</v>
      </c>
      <c r="U157" s="87">
        <v>0</v>
      </c>
      <c r="V157" s="87">
        <v>0</v>
      </c>
      <c r="W157" s="87">
        <v>0</v>
      </c>
      <c r="X157" s="87">
        <v>0</v>
      </c>
      <c r="Y157" s="87">
        <v>0</v>
      </c>
      <c r="Z157" s="87">
        <v>0</v>
      </c>
      <c r="AA157" s="87">
        <v>0</v>
      </c>
      <c r="AB157" s="87">
        <v>0</v>
      </c>
      <c r="AC157" s="87">
        <v>0</v>
      </c>
      <c r="AD157" s="87">
        <v>0</v>
      </c>
      <c r="AE157" s="87">
        <v>0</v>
      </c>
      <c r="AF157" s="87">
        <v>0</v>
      </c>
      <c r="AG157" s="87">
        <v>0</v>
      </c>
      <c r="AH157" s="87">
        <v>0</v>
      </c>
      <c r="AI157" s="87">
        <v>0</v>
      </c>
      <c r="AJ157" s="87">
        <v>0</v>
      </c>
      <c r="AK157" s="87">
        <v>0</v>
      </c>
      <c r="AL157" s="87">
        <v>0</v>
      </c>
      <c r="AM157" s="87">
        <v>0</v>
      </c>
      <c r="AN157" s="87">
        <v>0</v>
      </c>
      <c r="AO157" s="87">
        <v>0</v>
      </c>
      <c r="AP157" s="87">
        <v>0</v>
      </c>
      <c r="AQ157" s="87">
        <v>0</v>
      </c>
      <c r="AR157" s="87">
        <v>0</v>
      </c>
      <c r="AS157" s="87">
        <v>0</v>
      </c>
      <c r="AT157" s="87">
        <v>0</v>
      </c>
      <c r="AU157" s="87">
        <v>0</v>
      </c>
      <c r="AV157" s="87">
        <v>0</v>
      </c>
      <c r="AW157" s="87">
        <v>0</v>
      </c>
      <c r="AX157" s="87">
        <v>0</v>
      </c>
      <c r="AY157" s="87">
        <v>0</v>
      </c>
      <c r="AZ157" s="87">
        <v>0</v>
      </c>
      <c r="BA157" s="87">
        <v>0</v>
      </c>
      <c r="BB157" s="87">
        <v>0</v>
      </c>
      <c r="BC157" s="87">
        <v>0</v>
      </c>
      <c r="BD157" s="87">
        <v>0</v>
      </c>
      <c r="BE157" s="87">
        <v>0</v>
      </c>
      <c r="BF157" s="87">
        <v>0</v>
      </c>
    </row>
    <row r="158" spans="1:58" ht="14.1" customHeight="1">
      <c r="A158" s="75">
        <f t="shared" si="261"/>
        <v>152</v>
      </c>
      <c r="B158" s="93" t="s">
        <v>357</v>
      </c>
      <c r="C158" s="97">
        <f t="shared" ref="C158:V158" si="269">SUM(C146:C157)</f>
        <v>3432635.0700000017</v>
      </c>
      <c r="D158" s="97">
        <f t="shared" si="269"/>
        <v>0</v>
      </c>
      <c r="E158" s="97">
        <f t="shared" si="269"/>
        <v>0</v>
      </c>
      <c r="F158" s="97">
        <f t="shared" si="269"/>
        <v>0</v>
      </c>
      <c r="G158" s="97">
        <f t="shared" si="269"/>
        <v>0</v>
      </c>
      <c r="H158" s="97">
        <f t="shared" si="269"/>
        <v>0</v>
      </c>
      <c r="I158" s="97">
        <f t="shared" si="269"/>
        <v>0</v>
      </c>
      <c r="J158" s="97">
        <f t="shared" si="269"/>
        <v>0</v>
      </c>
      <c r="K158" s="97">
        <f t="shared" si="269"/>
        <v>0</v>
      </c>
      <c r="L158" s="97">
        <f t="shared" si="269"/>
        <v>0</v>
      </c>
      <c r="M158" s="97">
        <f t="shared" si="269"/>
        <v>0</v>
      </c>
      <c r="N158" s="97">
        <f t="shared" si="269"/>
        <v>0</v>
      </c>
      <c r="O158" s="97">
        <f t="shared" si="269"/>
        <v>0</v>
      </c>
      <c r="P158" s="97">
        <f t="shared" si="269"/>
        <v>0</v>
      </c>
      <c r="Q158" s="97">
        <f t="shared" si="269"/>
        <v>0</v>
      </c>
      <c r="R158" s="97">
        <f t="shared" si="269"/>
        <v>0</v>
      </c>
      <c r="S158" s="97">
        <f t="shared" si="269"/>
        <v>0</v>
      </c>
      <c r="T158" s="97">
        <f t="shared" si="269"/>
        <v>0</v>
      </c>
      <c r="U158" s="97">
        <f t="shared" si="269"/>
        <v>3432635.0700000012</v>
      </c>
      <c r="V158" s="97">
        <f t="shared" si="269"/>
        <v>0</v>
      </c>
      <c r="W158" s="97">
        <f>SUM(W146:W157)</f>
        <v>0</v>
      </c>
      <c r="X158" s="97">
        <f t="shared" ref="X158:AD158" si="270">SUM(X146:X157)</f>
        <v>0</v>
      </c>
      <c r="Y158" s="97">
        <f>SUM(Y146:Y157)</f>
        <v>0</v>
      </c>
      <c r="Z158" s="97">
        <f t="shared" si="270"/>
        <v>0</v>
      </c>
      <c r="AA158" s="97">
        <f t="shared" si="270"/>
        <v>0</v>
      </c>
      <c r="AB158" s="97">
        <f t="shared" si="270"/>
        <v>0</v>
      </c>
      <c r="AC158" s="97">
        <f t="shared" si="270"/>
        <v>0</v>
      </c>
      <c r="AD158" s="97">
        <f t="shared" si="270"/>
        <v>0</v>
      </c>
      <c r="AE158" s="97">
        <f>SUM(AE146:AE157)</f>
        <v>0</v>
      </c>
      <c r="AF158" s="97">
        <f>SUM(AF146:AF157)</f>
        <v>0</v>
      </c>
      <c r="AG158" s="97">
        <f>SUM(AG146:AG157)</f>
        <v>0</v>
      </c>
      <c r="AH158" s="97">
        <f t="shared" ref="AH158:AL158" si="271">SUM(AH146:AH157)</f>
        <v>0</v>
      </c>
      <c r="AI158" s="97">
        <f t="shared" si="271"/>
        <v>0</v>
      </c>
      <c r="AJ158" s="97">
        <f t="shared" si="271"/>
        <v>0</v>
      </c>
      <c r="AK158" s="97">
        <f t="shared" si="271"/>
        <v>0</v>
      </c>
      <c r="AL158" s="97">
        <f t="shared" si="271"/>
        <v>0</v>
      </c>
      <c r="AM158" s="97">
        <f>SUM(AM146:AM157)</f>
        <v>0</v>
      </c>
      <c r="AN158" s="97">
        <f>SUM(AN146:AN157)</f>
        <v>0</v>
      </c>
      <c r="AO158" s="97">
        <f>SUM(AO146:AO157)</f>
        <v>0</v>
      </c>
      <c r="AP158" s="97">
        <f>SUM(AP146:AP157)</f>
        <v>0</v>
      </c>
      <c r="AQ158" s="97">
        <f>SUM(AQ146:AQ157)</f>
        <v>0</v>
      </c>
      <c r="AR158" s="97">
        <f t="shared" ref="AR158" si="272">SUM(AR146:AR157)</f>
        <v>0</v>
      </c>
      <c r="AS158" s="97">
        <f>SUM(AS146:AS157)</f>
        <v>0</v>
      </c>
      <c r="AT158" s="97">
        <f t="shared" ref="AT158:AV158" si="273">SUM(AT146:AT157)</f>
        <v>0</v>
      </c>
      <c r="AU158" s="97">
        <f t="shared" si="273"/>
        <v>0</v>
      </c>
      <c r="AV158" s="97">
        <f t="shared" si="273"/>
        <v>0</v>
      </c>
      <c r="AW158" s="97">
        <f>SUM(AW146:AW157)</f>
        <v>131888.42000000001</v>
      </c>
      <c r="AX158" s="97">
        <f t="shared" ref="AX158:BF158" si="274">SUM(AX146:AX157)</f>
        <v>-131888.42000000001</v>
      </c>
      <c r="AY158" s="97">
        <f t="shared" si="274"/>
        <v>0</v>
      </c>
      <c r="AZ158" s="97">
        <f t="shared" si="274"/>
        <v>0</v>
      </c>
      <c r="BA158" s="97">
        <f t="shared" si="274"/>
        <v>0</v>
      </c>
      <c r="BB158" s="97">
        <f t="shared" si="274"/>
        <v>0</v>
      </c>
      <c r="BC158" s="97">
        <f t="shared" si="274"/>
        <v>0</v>
      </c>
      <c r="BD158" s="97">
        <f t="shared" si="274"/>
        <v>0</v>
      </c>
      <c r="BE158" s="97">
        <f t="shared" si="274"/>
        <v>0</v>
      </c>
      <c r="BF158" s="97">
        <f t="shared" si="274"/>
        <v>0</v>
      </c>
    </row>
    <row r="159" spans="1:58" ht="14.1" customHeight="1">
      <c r="A159" s="75">
        <f t="shared" si="261"/>
        <v>153</v>
      </c>
      <c r="B159" s="93"/>
      <c r="C159" s="93"/>
      <c r="D159" s="94"/>
      <c r="E159" s="94"/>
      <c r="F159" s="94"/>
      <c r="G159" s="94"/>
      <c r="H159" s="94"/>
      <c r="I159" s="94"/>
      <c r="J159" s="94"/>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row>
    <row r="160" spans="1:58" s="95" customFormat="1" ht="14.1" customHeight="1">
      <c r="A160" s="75">
        <f t="shared" si="261"/>
        <v>154</v>
      </c>
      <c r="B160" s="93" t="s">
        <v>312</v>
      </c>
      <c r="C160" s="93"/>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87"/>
      <c r="BC160" s="87"/>
      <c r="BD160" s="87"/>
      <c r="BE160" s="87"/>
      <c r="BF160" s="87"/>
    </row>
    <row r="161" spans="1:58" s="95" customFormat="1" ht="14.1" customHeight="1">
      <c r="A161" s="75">
        <f t="shared" si="261"/>
        <v>155</v>
      </c>
      <c r="B161" s="96" t="s">
        <v>313</v>
      </c>
      <c r="C161" s="80">
        <f>SUM(D161:BF161)</f>
        <v>0</v>
      </c>
      <c r="D161" s="87">
        <v>0</v>
      </c>
      <c r="E161" s="87">
        <v>0</v>
      </c>
      <c r="F161" s="87">
        <v>0</v>
      </c>
      <c r="G161" s="87">
        <v>0</v>
      </c>
      <c r="H161" s="87">
        <v>0</v>
      </c>
      <c r="I161" s="87">
        <v>0</v>
      </c>
      <c r="J161" s="87">
        <v>0</v>
      </c>
      <c r="K161" s="87">
        <v>0</v>
      </c>
      <c r="L161" s="87">
        <v>0</v>
      </c>
      <c r="M161" s="87">
        <v>0</v>
      </c>
      <c r="N161" s="87">
        <v>0</v>
      </c>
      <c r="O161" s="87">
        <v>0</v>
      </c>
      <c r="P161" s="87">
        <v>0</v>
      </c>
      <c r="Q161" s="87">
        <v>0</v>
      </c>
      <c r="R161" s="87">
        <v>0</v>
      </c>
      <c r="S161" s="87">
        <v>0</v>
      </c>
      <c r="T161" s="87">
        <v>0</v>
      </c>
      <c r="U161" s="87">
        <v>0</v>
      </c>
      <c r="V161" s="87">
        <v>0</v>
      </c>
      <c r="W161" s="87">
        <v>0</v>
      </c>
      <c r="X161" s="87">
        <v>0</v>
      </c>
      <c r="Y161" s="87">
        <v>0</v>
      </c>
      <c r="Z161" s="87">
        <v>0</v>
      </c>
      <c r="AA161" s="87">
        <v>0</v>
      </c>
      <c r="AB161" s="87">
        <v>0</v>
      </c>
      <c r="AC161" s="87">
        <v>0</v>
      </c>
      <c r="AD161" s="87">
        <v>0</v>
      </c>
      <c r="AE161" s="87">
        <v>0</v>
      </c>
      <c r="AF161" s="87">
        <v>0</v>
      </c>
      <c r="AG161" s="87">
        <v>0</v>
      </c>
      <c r="AH161" s="87">
        <v>0</v>
      </c>
      <c r="AI161" s="87">
        <v>0</v>
      </c>
      <c r="AJ161" s="87">
        <v>0</v>
      </c>
      <c r="AK161" s="87">
        <v>0</v>
      </c>
      <c r="AL161" s="87">
        <v>0</v>
      </c>
      <c r="AM161" s="87">
        <v>0</v>
      </c>
      <c r="AN161" s="87">
        <v>0</v>
      </c>
      <c r="AO161" s="87">
        <v>0</v>
      </c>
      <c r="AP161" s="87">
        <v>0</v>
      </c>
      <c r="AQ161" s="87">
        <v>0</v>
      </c>
      <c r="AR161" s="87">
        <v>0</v>
      </c>
      <c r="AS161" s="87">
        <v>0</v>
      </c>
      <c r="AT161" s="87">
        <v>0</v>
      </c>
      <c r="AU161" s="87">
        <v>0</v>
      </c>
      <c r="AV161" s="87">
        <v>0</v>
      </c>
      <c r="AW161" s="87">
        <v>0</v>
      </c>
      <c r="AX161" s="87">
        <v>0</v>
      </c>
      <c r="AY161" s="87">
        <v>0</v>
      </c>
      <c r="AZ161" s="87">
        <v>0</v>
      </c>
      <c r="BA161" s="87">
        <v>0</v>
      </c>
      <c r="BB161" s="87">
        <v>0</v>
      </c>
      <c r="BC161" s="87">
        <v>0</v>
      </c>
      <c r="BD161" s="87">
        <v>0</v>
      </c>
      <c r="BE161" s="87">
        <v>0</v>
      </c>
      <c r="BF161" s="87">
        <v>0</v>
      </c>
    </row>
    <row r="162" spans="1:58" s="95" customFormat="1" ht="14.1" customHeight="1">
      <c r="A162" s="75">
        <f t="shared" si="261"/>
        <v>156</v>
      </c>
      <c r="B162" s="96" t="s">
        <v>314</v>
      </c>
      <c r="C162" s="80">
        <f>SUM(D162:BF162)</f>
        <v>560833.06000000983</v>
      </c>
      <c r="D162" s="87">
        <v>0</v>
      </c>
      <c r="E162" s="87">
        <v>0</v>
      </c>
      <c r="F162" s="87">
        <v>0</v>
      </c>
      <c r="G162" s="87">
        <v>0</v>
      </c>
      <c r="H162" s="87">
        <v>0</v>
      </c>
      <c r="I162" s="87">
        <v>0</v>
      </c>
      <c r="J162" s="87">
        <v>0</v>
      </c>
      <c r="K162" s="87">
        <v>0</v>
      </c>
      <c r="L162" s="87">
        <v>0</v>
      </c>
      <c r="M162" s="87">
        <v>0</v>
      </c>
      <c r="N162" s="87">
        <v>0</v>
      </c>
      <c r="O162" s="87">
        <v>0</v>
      </c>
      <c r="P162" s="87">
        <v>0</v>
      </c>
      <c r="Q162" s="87">
        <v>0</v>
      </c>
      <c r="R162" s="87">
        <v>0</v>
      </c>
      <c r="S162" s="87">
        <v>0</v>
      </c>
      <c r="T162" s="87">
        <v>0</v>
      </c>
      <c r="U162" s="87">
        <v>560833.06000000983</v>
      </c>
      <c r="V162" s="87">
        <v>0</v>
      </c>
      <c r="W162" s="87">
        <v>0</v>
      </c>
      <c r="X162" s="87">
        <v>0</v>
      </c>
      <c r="Y162" s="87">
        <v>0</v>
      </c>
      <c r="Z162" s="87">
        <v>0</v>
      </c>
      <c r="AA162" s="87">
        <v>0</v>
      </c>
      <c r="AB162" s="87">
        <v>0</v>
      </c>
      <c r="AC162" s="87">
        <v>0</v>
      </c>
      <c r="AD162" s="87">
        <v>0</v>
      </c>
      <c r="AE162" s="87">
        <v>0</v>
      </c>
      <c r="AF162" s="87">
        <v>0</v>
      </c>
      <c r="AG162" s="87">
        <v>0</v>
      </c>
      <c r="AH162" s="87">
        <v>0</v>
      </c>
      <c r="AI162" s="87">
        <v>0</v>
      </c>
      <c r="AJ162" s="87">
        <v>0</v>
      </c>
      <c r="AK162" s="87">
        <v>0</v>
      </c>
      <c r="AL162" s="87">
        <v>0</v>
      </c>
      <c r="AM162" s="87">
        <v>0</v>
      </c>
      <c r="AN162" s="87">
        <v>0</v>
      </c>
      <c r="AO162" s="87">
        <v>0</v>
      </c>
      <c r="AP162" s="87">
        <v>0</v>
      </c>
      <c r="AQ162" s="87">
        <v>0</v>
      </c>
      <c r="AR162" s="87">
        <v>0</v>
      </c>
      <c r="AS162" s="87">
        <v>0</v>
      </c>
      <c r="AT162" s="87">
        <v>0</v>
      </c>
      <c r="AU162" s="87">
        <v>0</v>
      </c>
      <c r="AV162" s="87">
        <v>0</v>
      </c>
      <c r="AW162" s="87">
        <f>14966968.5+11466156.84</f>
        <v>26433125.34</v>
      </c>
      <c r="AX162" s="87">
        <f>-14966968.5-11466156.84</f>
        <v>-26433125.34</v>
      </c>
      <c r="AY162" s="87">
        <v>0</v>
      </c>
      <c r="AZ162" s="87">
        <v>0</v>
      </c>
      <c r="BA162" s="87">
        <v>0</v>
      </c>
      <c r="BB162" s="87">
        <v>0</v>
      </c>
      <c r="BC162" s="87">
        <v>0</v>
      </c>
      <c r="BD162" s="87">
        <v>0</v>
      </c>
      <c r="BE162" s="87">
        <v>0</v>
      </c>
      <c r="BF162" s="87">
        <v>0</v>
      </c>
    </row>
    <row r="163" spans="1:58" s="95" customFormat="1" ht="14.1" customHeight="1">
      <c r="A163" s="75">
        <f t="shared" si="261"/>
        <v>157</v>
      </c>
      <c r="B163" s="96" t="s">
        <v>315</v>
      </c>
      <c r="C163" s="80">
        <f>SUM(D163:BF163)</f>
        <v>2514934.5300000608</v>
      </c>
      <c r="D163" s="87">
        <v>0</v>
      </c>
      <c r="E163" s="87">
        <v>0</v>
      </c>
      <c r="F163" s="87">
        <v>0</v>
      </c>
      <c r="G163" s="87">
        <v>0</v>
      </c>
      <c r="H163" s="87">
        <v>0</v>
      </c>
      <c r="I163" s="87">
        <v>0</v>
      </c>
      <c r="J163" s="87">
        <v>0</v>
      </c>
      <c r="K163" s="87">
        <v>0</v>
      </c>
      <c r="L163" s="87">
        <v>0</v>
      </c>
      <c r="M163" s="87">
        <v>0</v>
      </c>
      <c r="N163" s="87">
        <v>0</v>
      </c>
      <c r="O163" s="87">
        <v>0</v>
      </c>
      <c r="P163" s="87">
        <v>0</v>
      </c>
      <c r="Q163" s="87">
        <v>0</v>
      </c>
      <c r="R163" s="87">
        <v>0</v>
      </c>
      <c r="S163" s="87">
        <v>0</v>
      </c>
      <c r="T163" s="87">
        <v>0</v>
      </c>
      <c r="U163" s="87">
        <v>2514934.5300000608</v>
      </c>
      <c r="V163" s="87">
        <v>0</v>
      </c>
      <c r="W163" s="87">
        <v>0</v>
      </c>
      <c r="X163" s="87">
        <v>0</v>
      </c>
      <c r="Y163" s="87">
        <v>0</v>
      </c>
      <c r="Z163" s="87">
        <v>0</v>
      </c>
      <c r="AA163" s="87">
        <v>0</v>
      </c>
      <c r="AB163" s="87">
        <v>0</v>
      </c>
      <c r="AC163" s="87">
        <v>0</v>
      </c>
      <c r="AD163" s="87">
        <v>0</v>
      </c>
      <c r="AE163" s="87">
        <v>0</v>
      </c>
      <c r="AF163" s="87">
        <v>0</v>
      </c>
      <c r="AG163" s="87">
        <v>0</v>
      </c>
      <c r="AH163" s="87">
        <v>0</v>
      </c>
      <c r="AI163" s="87">
        <v>0</v>
      </c>
      <c r="AJ163" s="87">
        <v>0</v>
      </c>
      <c r="AK163" s="87">
        <v>0</v>
      </c>
      <c r="AL163" s="87">
        <v>0</v>
      </c>
      <c r="AM163" s="87">
        <v>0</v>
      </c>
      <c r="AN163" s="87">
        <v>0</v>
      </c>
      <c r="AO163" s="87">
        <v>0</v>
      </c>
      <c r="AP163" s="87">
        <v>0</v>
      </c>
      <c r="AQ163" s="87">
        <v>0</v>
      </c>
      <c r="AR163" s="87">
        <v>0</v>
      </c>
      <c r="AS163" s="87">
        <v>0</v>
      </c>
      <c r="AT163" s="87">
        <v>0</v>
      </c>
      <c r="AU163" s="87">
        <v>0</v>
      </c>
      <c r="AV163" s="87">
        <v>0</v>
      </c>
      <c r="AW163" s="87">
        <v>0</v>
      </c>
      <c r="AX163" s="87">
        <v>0</v>
      </c>
      <c r="AY163" s="87">
        <v>0</v>
      </c>
      <c r="AZ163" s="87">
        <v>0</v>
      </c>
      <c r="BA163" s="87">
        <v>0</v>
      </c>
      <c r="BB163" s="87">
        <v>0</v>
      </c>
      <c r="BC163" s="87">
        <v>0</v>
      </c>
      <c r="BD163" s="87">
        <v>0</v>
      </c>
      <c r="BE163" s="87">
        <v>0</v>
      </c>
      <c r="BF163" s="87">
        <v>0</v>
      </c>
    </row>
    <row r="164" spans="1:58" s="95" customFormat="1" ht="14.1" customHeight="1">
      <c r="A164" s="75">
        <f t="shared" si="261"/>
        <v>158</v>
      </c>
      <c r="B164" s="96" t="s">
        <v>316</v>
      </c>
      <c r="C164" s="80">
        <f>SUM(D164:BF164)</f>
        <v>0</v>
      </c>
      <c r="D164" s="87">
        <v>0</v>
      </c>
      <c r="E164" s="87">
        <v>0</v>
      </c>
      <c r="F164" s="87">
        <v>0</v>
      </c>
      <c r="G164" s="87">
        <v>0</v>
      </c>
      <c r="H164" s="87">
        <v>0</v>
      </c>
      <c r="I164" s="87">
        <v>0</v>
      </c>
      <c r="J164" s="87">
        <v>0</v>
      </c>
      <c r="K164" s="87">
        <v>0</v>
      </c>
      <c r="L164" s="87">
        <v>0</v>
      </c>
      <c r="M164" s="87">
        <v>0</v>
      </c>
      <c r="N164" s="87">
        <v>0</v>
      </c>
      <c r="O164" s="87">
        <v>0</v>
      </c>
      <c r="P164" s="87">
        <v>0</v>
      </c>
      <c r="Q164" s="87">
        <v>0</v>
      </c>
      <c r="R164" s="87">
        <v>0</v>
      </c>
      <c r="S164" s="87">
        <v>0</v>
      </c>
      <c r="T164" s="87">
        <v>0</v>
      </c>
      <c r="U164" s="87">
        <v>0</v>
      </c>
      <c r="V164" s="87">
        <v>0</v>
      </c>
      <c r="W164" s="87">
        <v>0</v>
      </c>
      <c r="X164" s="87">
        <v>0</v>
      </c>
      <c r="Y164" s="87">
        <v>0</v>
      </c>
      <c r="Z164" s="87">
        <v>0</v>
      </c>
      <c r="AA164" s="87">
        <v>0</v>
      </c>
      <c r="AB164" s="87">
        <v>0</v>
      </c>
      <c r="AC164" s="87">
        <v>0</v>
      </c>
      <c r="AD164" s="87">
        <v>0</v>
      </c>
      <c r="AE164" s="87">
        <v>0</v>
      </c>
      <c r="AF164" s="87">
        <v>0</v>
      </c>
      <c r="AG164" s="87">
        <v>0</v>
      </c>
      <c r="AH164" s="87">
        <v>0</v>
      </c>
      <c r="AI164" s="87">
        <v>0</v>
      </c>
      <c r="AJ164" s="87">
        <v>0</v>
      </c>
      <c r="AK164" s="87">
        <v>0</v>
      </c>
      <c r="AL164" s="87">
        <v>0</v>
      </c>
      <c r="AM164" s="87">
        <v>0</v>
      </c>
      <c r="AN164" s="87">
        <v>0</v>
      </c>
      <c r="AO164" s="87">
        <v>0</v>
      </c>
      <c r="AP164" s="87">
        <v>0</v>
      </c>
      <c r="AQ164" s="87">
        <v>0</v>
      </c>
      <c r="AR164" s="87">
        <v>0</v>
      </c>
      <c r="AS164" s="87">
        <v>0</v>
      </c>
      <c r="AT164" s="87">
        <v>0</v>
      </c>
      <c r="AU164" s="87">
        <v>0</v>
      </c>
      <c r="AV164" s="87">
        <v>0</v>
      </c>
      <c r="AW164" s="87">
        <v>0</v>
      </c>
      <c r="AX164" s="87">
        <v>0</v>
      </c>
      <c r="AY164" s="87">
        <v>0</v>
      </c>
      <c r="AZ164" s="87">
        <v>0</v>
      </c>
      <c r="BA164" s="87">
        <v>0</v>
      </c>
      <c r="BB164" s="87">
        <v>0</v>
      </c>
      <c r="BC164" s="87">
        <v>0</v>
      </c>
      <c r="BD164" s="87">
        <v>0</v>
      </c>
      <c r="BE164" s="87">
        <v>0</v>
      </c>
      <c r="BF164" s="87">
        <v>0</v>
      </c>
    </row>
    <row r="165" spans="1:58" ht="14.1" customHeight="1">
      <c r="A165" s="75">
        <f t="shared" si="261"/>
        <v>159</v>
      </c>
      <c r="B165" s="114" t="s">
        <v>317</v>
      </c>
      <c r="C165" s="80">
        <f>SUM(D165:BF165)</f>
        <v>43156.970000000205</v>
      </c>
      <c r="D165" s="87">
        <v>0</v>
      </c>
      <c r="E165" s="87">
        <v>0</v>
      </c>
      <c r="F165" s="87">
        <v>0</v>
      </c>
      <c r="G165" s="87">
        <v>0</v>
      </c>
      <c r="H165" s="87">
        <v>0</v>
      </c>
      <c r="I165" s="87">
        <v>0</v>
      </c>
      <c r="J165" s="87">
        <v>0</v>
      </c>
      <c r="K165" s="87">
        <v>0</v>
      </c>
      <c r="L165" s="87">
        <v>0</v>
      </c>
      <c r="M165" s="87">
        <v>0</v>
      </c>
      <c r="N165" s="87">
        <v>0</v>
      </c>
      <c r="O165" s="87">
        <v>0</v>
      </c>
      <c r="P165" s="87">
        <v>0</v>
      </c>
      <c r="Q165" s="87">
        <v>0</v>
      </c>
      <c r="R165" s="87">
        <v>0</v>
      </c>
      <c r="S165" s="87">
        <v>0</v>
      </c>
      <c r="T165" s="87">
        <v>0</v>
      </c>
      <c r="U165" s="87">
        <v>43156.970000000205</v>
      </c>
      <c r="V165" s="87">
        <v>0</v>
      </c>
      <c r="W165" s="87">
        <v>0</v>
      </c>
      <c r="X165" s="87">
        <v>0</v>
      </c>
      <c r="Y165" s="87">
        <v>0</v>
      </c>
      <c r="Z165" s="87">
        <v>0</v>
      </c>
      <c r="AA165" s="87">
        <v>0</v>
      </c>
      <c r="AB165" s="87">
        <v>0</v>
      </c>
      <c r="AC165" s="87">
        <v>0</v>
      </c>
      <c r="AD165" s="87">
        <v>0</v>
      </c>
      <c r="AE165" s="87">
        <v>0</v>
      </c>
      <c r="AF165" s="87">
        <v>0</v>
      </c>
      <c r="AG165" s="87">
        <v>0</v>
      </c>
      <c r="AH165" s="87">
        <v>0</v>
      </c>
      <c r="AI165" s="87">
        <v>0</v>
      </c>
      <c r="AJ165" s="87">
        <v>0</v>
      </c>
      <c r="AK165" s="87">
        <v>0</v>
      </c>
      <c r="AL165" s="87">
        <v>0</v>
      </c>
      <c r="AM165" s="87">
        <v>0</v>
      </c>
      <c r="AN165" s="87">
        <v>0</v>
      </c>
      <c r="AO165" s="87">
        <v>0</v>
      </c>
      <c r="AP165" s="87">
        <v>0</v>
      </c>
      <c r="AQ165" s="87">
        <v>0</v>
      </c>
      <c r="AR165" s="87">
        <v>0</v>
      </c>
      <c r="AS165" s="87">
        <v>0</v>
      </c>
      <c r="AT165" s="87">
        <v>0</v>
      </c>
      <c r="AU165" s="87">
        <v>0</v>
      </c>
      <c r="AV165" s="87">
        <v>0</v>
      </c>
      <c r="AW165" s="87">
        <v>0</v>
      </c>
      <c r="AX165" s="87">
        <v>0</v>
      </c>
      <c r="AY165" s="87">
        <v>0</v>
      </c>
      <c r="AZ165" s="87">
        <v>0</v>
      </c>
      <c r="BA165" s="87">
        <v>0</v>
      </c>
      <c r="BB165" s="87">
        <v>0</v>
      </c>
      <c r="BC165" s="87">
        <v>0</v>
      </c>
      <c r="BD165" s="87">
        <v>0</v>
      </c>
      <c r="BE165" s="87">
        <v>0</v>
      </c>
      <c r="BF165" s="87">
        <v>0</v>
      </c>
    </row>
    <row r="166" spans="1:58" ht="14.1" customHeight="1">
      <c r="A166" s="75">
        <f t="shared" si="261"/>
        <v>160</v>
      </c>
      <c r="B166" s="93" t="s">
        <v>318</v>
      </c>
      <c r="C166" s="97">
        <f t="shared" ref="C166:V166" si="275">SUM(C161:C165)</f>
        <v>3118924.5600000708</v>
      </c>
      <c r="D166" s="97">
        <f t="shared" si="275"/>
        <v>0</v>
      </c>
      <c r="E166" s="97">
        <f t="shared" si="275"/>
        <v>0</v>
      </c>
      <c r="F166" s="97">
        <f t="shared" si="275"/>
        <v>0</v>
      </c>
      <c r="G166" s="97">
        <f t="shared" si="275"/>
        <v>0</v>
      </c>
      <c r="H166" s="97">
        <f t="shared" si="275"/>
        <v>0</v>
      </c>
      <c r="I166" s="97">
        <f t="shared" si="275"/>
        <v>0</v>
      </c>
      <c r="J166" s="97">
        <f t="shared" si="275"/>
        <v>0</v>
      </c>
      <c r="K166" s="97">
        <f t="shared" si="275"/>
        <v>0</v>
      </c>
      <c r="L166" s="97">
        <f t="shared" si="275"/>
        <v>0</v>
      </c>
      <c r="M166" s="97">
        <f t="shared" si="275"/>
        <v>0</v>
      </c>
      <c r="N166" s="97">
        <f t="shared" si="275"/>
        <v>0</v>
      </c>
      <c r="O166" s="97">
        <f t="shared" si="275"/>
        <v>0</v>
      </c>
      <c r="P166" s="97">
        <f t="shared" si="275"/>
        <v>0</v>
      </c>
      <c r="Q166" s="97">
        <f t="shared" si="275"/>
        <v>0</v>
      </c>
      <c r="R166" s="97">
        <f t="shared" si="275"/>
        <v>0</v>
      </c>
      <c r="S166" s="97">
        <f t="shared" si="275"/>
        <v>0</v>
      </c>
      <c r="T166" s="97">
        <f t="shared" si="275"/>
        <v>0</v>
      </c>
      <c r="U166" s="97">
        <f t="shared" si="275"/>
        <v>3118924.5600000708</v>
      </c>
      <c r="V166" s="97">
        <f t="shared" si="275"/>
        <v>0</v>
      </c>
      <c r="W166" s="97">
        <f>SUM(W161:W165)</f>
        <v>0</v>
      </c>
      <c r="X166" s="97">
        <f t="shared" ref="X166:AD166" si="276">SUM(X161:X165)</f>
        <v>0</v>
      </c>
      <c r="Y166" s="97">
        <f>SUM(Y161:Y165)</f>
        <v>0</v>
      </c>
      <c r="Z166" s="97">
        <f t="shared" si="276"/>
        <v>0</v>
      </c>
      <c r="AA166" s="97">
        <f t="shared" si="276"/>
        <v>0</v>
      </c>
      <c r="AB166" s="97">
        <f t="shared" si="276"/>
        <v>0</v>
      </c>
      <c r="AC166" s="97">
        <f t="shared" si="276"/>
        <v>0</v>
      </c>
      <c r="AD166" s="97">
        <f t="shared" si="276"/>
        <v>0</v>
      </c>
      <c r="AE166" s="97">
        <f>SUM(AE161:AE165)</f>
        <v>0</v>
      </c>
      <c r="AF166" s="97">
        <f>SUM(AF161:AF165)</f>
        <v>0</v>
      </c>
      <c r="AG166" s="97">
        <f>SUM(AG161:AG165)</f>
        <v>0</v>
      </c>
      <c r="AH166" s="97">
        <f t="shared" ref="AH166:AL166" si="277">SUM(AH161:AH165)</f>
        <v>0</v>
      </c>
      <c r="AI166" s="97">
        <f t="shared" si="277"/>
        <v>0</v>
      </c>
      <c r="AJ166" s="97">
        <f t="shared" si="277"/>
        <v>0</v>
      </c>
      <c r="AK166" s="97">
        <f t="shared" si="277"/>
        <v>0</v>
      </c>
      <c r="AL166" s="97">
        <f t="shared" si="277"/>
        <v>0</v>
      </c>
      <c r="AM166" s="97">
        <f>SUM(AM161:AM165)</f>
        <v>0</v>
      </c>
      <c r="AN166" s="97">
        <f>SUM(AN161:AN165)</f>
        <v>0</v>
      </c>
      <c r="AO166" s="97">
        <f>SUM(AO161:AO165)</f>
        <v>0</v>
      </c>
      <c r="AP166" s="97">
        <f>SUM(AP161:AP165)</f>
        <v>0</v>
      </c>
      <c r="AQ166" s="97">
        <f>SUM(AQ161:AQ165)</f>
        <v>0</v>
      </c>
      <c r="AR166" s="97">
        <f t="shared" ref="AR166" si="278">SUM(AR161:AR165)</f>
        <v>0</v>
      </c>
      <c r="AS166" s="97">
        <f>SUM(AS161:AS165)</f>
        <v>0</v>
      </c>
      <c r="AT166" s="97">
        <f t="shared" ref="AT166:AV166" si="279">SUM(AT161:AT165)</f>
        <v>0</v>
      </c>
      <c r="AU166" s="97">
        <f t="shared" si="279"/>
        <v>0</v>
      </c>
      <c r="AV166" s="97">
        <f t="shared" si="279"/>
        <v>0</v>
      </c>
      <c r="AW166" s="97">
        <f>SUM(AW161:AW165)</f>
        <v>26433125.34</v>
      </c>
      <c r="AX166" s="97">
        <f t="shared" ref="AX166:BF166" si="280">SUM(AX161:AX165)</f>
        <v>-26433125.34</v>
      </c>
      <c r="AY166" s="97">
        <f t="shared" si="280"/>
        <v>0</v>
      </c>
      <c r="AZ166" s="97">
        <f t="shared" si="280"/>
        <v>0</v>
      </c>
      <c r="BA166" s="97">
        <f t="shared" si="280"/>
        <v>0</v>
      </c>
      <c r="BB166" s="97">
        <f t="shared" si="280"/>
        <v>0</v>
      </c>
      <c r="BC166" s="97">
        <f t="shared" si="280"/>
        <v>0</v>
      </c>
      <c r="BD166" s="97">
        <f t="shared" si="280"/>
        <v>0</v>
      </c>
      <c r="BE166" s="97">
        <f t="shared" si="280"/>
        <v>0</v>
      </c>
      <c r="BF166" s="97">
        <f t="shared" si="280"/>
        <v>0</v>
      </c>
    </row>
    <row r="167" spans="1:58" s="95" customFormat="1" ht="14.1" customHeight="1">
      <c r="A167" s="75">
        <f t="shared" si="261"/>
        <v>161</v>
      </c>
      <c r="B167" s="96"/>
      <c r="C167" s="96"/>
      <c r="D167" s="94"/>
      <c r="E167" s="94"/>
      <c r="F167" s="94"/>
      <c r="G167" s="94"/>
      <c r="H167" s="94"/>
      <c r="I167" s="94"/>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row>
    <row r="168" spans="1:58" ht="14.1" customHeight="1">
      <c r="A168" s="75">
        <f t="shared" si="261"/>
        <v>162</v>
      </c>
      <c r="B168" s="96" t="s">
        <v>765</v>
      </c>
      <c r="C168" s="80">
        <f>SUM(D168:BF168)</f>
        <v>0</v>
      </c>
      <c r="D168" s="94">
        <v>0</v>
      </c>
      <c r="E168" s="94">
        <v>0</v>
      </c>
      <c r="F168" s="94">
        <v>0</v>
      </c>
      <c r="G168" s="94">
        <v>0</v>
      </c>
      <c r="H168" s="94">
        <v>0</v>
      </c>
      <c r="I168" s="94">
        <v>0</v>
      </c>
      <c r="J168" s="94">
        <v>0</v>
      </c>
      <c r="K168" s="94">
        <v>0</v>
      </c>
      <c r="L168" s="94">
        <v>0</v>
      </c>
      <c r="M168" s="94">
        <v>0</v>
      </c>
      <c r="N168" s="94">
        <v>0</v>
      </c>
      <c r="O168" s="94">
        <v>0</v>
      </c>
      <c r="P168" s="94">
        <v>0</v>
      </c>
      <c r="Q168" s="94">
        <v>0</v>
      </c>
      <c r="R168" s="94">
        <v>0</v>
      </c>
      <c r="S168" s="94">
        <v>0</v>
      </c>
      <c r="T168" s="94">
        <v>0</v>
      </c>
      <c r="U168" s="94">
        <v>0</v>
      </c>
      <c r="V168" s="94">
        <v>0</v>
      </c>
      <c r="W168" s="94">
        <v>0</v>
      </c>
      <c r="X168" s="94">
        <v>0</v>
      </c>
      <c r="Y168" s="94">
        <v>0</v>
      </c>
      <c r="Z168" s="94">
        <v>0</v>
      </c>
      <c r="AA168" s="94">
        <v>0</v>
      </c>
      <c r="AB168" s="94">
        <v>0</v>
      </c>
      <c r="AC168" s="94">
        <v>0</v>
      </c>
      <c r="AD168" s="94">
        <v>0</v>
      </c>
      <c r="AE168" s="94">
        <v>0</v>
      </c>
      <c r="AF168" s="94">
        <v>0</v>
      </c>
      <c r="AG168" s="94">
        <v>0</v>
      </c>
      <c r="AH168" s="94">
        <v>0</v>
      </c>
      <c r="AI168" s="94">
        <v>0</v>
      </c>
      <c r="AJ168" s="94">
        <v>0</v>
      </c>
      <c r="AK168" s="94">
        <v>0</v>
      </c>
      <c r="AL168" s="94">
        <v>0</v>
      </c>
      <c r="AM168" s="94">
        <v>0</v>
      </c>
      <c r="AN168" s="94">
        <v>0</v>
      </c>
      <c r="AO168" s="94">
        <v>0</v>
      </c>
      <c r="AP168" s="94">
        <v>0</v>
      </c>
      <c r="AQ168" s="94">
        <v>0</v>
      </c>
      <c r="AR168" s="94">
        <v>0</v>
      </c>
      <c r="AS168" s="94">
        <v>0</v>
      </c>
      <c r="AT168" s="94">
        <v>0</v>
      </c>
      <c r="AU168" s="94">
        <v>0</v>
      </c>
      <c r="AV168" s="94">
        <v>0</v>
      </c>
      <c r="AW168" s="94">
        <v>0</v>
      </c>
      <c r="AX168" s="94">
        <v>0</v>
      </c>
      <c r="AY168" s="94">
        <v>0</v>
      </c>
      <c r="AZ168" s="94">
        <v>0</v>
      </c>
      <c r="BA168" s="94">
        <v>0</v>
      </c>
      <c r="BB168" s="94">
        <v>0</v>
      </c>
      <c r="BC168" s="94">
        <v>0</v>
      </c>
      <c r="BD168" s="94">
        <v>0</v>
      </c>
      <c r="BE168" s="94">
        <v>0</v>
      </c>
      <c r="BF168" s="94">
        <v>0</v>
      </c>
    </row>
    <row r="169" spans="1:58" ht="14.1" customHeight="1">
      <c r="A169" s="75">
        <f t="shared" si="261"/>
        <v>163</v>
      </c>
      <c r="B169" s="114" t="s">
        <v>766</v>
      </c>
      <c r="C169" s="80">
        <f>SUM(D169:BF169)</f>
        <v>0</v>
      </c>
      <c r="D169" s="115">
        <v>0</v>
      </c>
      <c r="E169" s="115">
        <v>0</v>
      </c>
      <c r="F169" s="115">
        <v>0</v>
      </c>
      <c r="G169" s="115">
        <v>0</v>
      </c>
      <c r="H169" s="115">
        <v>0</v>
      </c>
      <c r="I169" s="115">
        <v>0</v>
      </c>
      <c r="J169" s="115">
        <v>0</v>
      </c>
      <c r="K169" s="115">
        <v>0</v>
      </c>
      <c r="L169" s="115">
        <v>0</v>
      </c>
      <c r="M169" s="115">
        <v>0</v>
      </c>
      <c r="N169" s="115">
        <v>0</v>
      </c>
      <c r="O169" s="115">
        <v>0</v>
      </c>
      <c r="P169" s="115">
        <v>0</v>
      </c>
      <c r="Q169" s="115">
        <v>0</v>
      </c>
      <c r="R169" s="115">
        <v>0</v>
      </c>
      <c r="S169" s="115">
        <v>0</v>
      </c>
      <c r="T169" s="115">
        <v>0</v>
      </c>
      <c r="U169" s="115">
        <v>0</v>
      </c>
      <c r="V169" s="115">
        <v>0</v>
      </c>
      <c r="W169" s="115">
        <v>0</v>
      </c>
      <c r="X169" s="115">
        <v>0</v>
      </c>
      <c r="Y169" s="115">
        <v>0</v>
      </c>
      <c r="Z169" s="115">
        <v>0</v>
      </c>
      <c r="AA169" s="115">
        <v>0</v>
      </c>
      <c r="AB169" s="115">
        <v>0</v>
      </c>
      <c r="AC169" s="115">
        <v>0</v>
      </c>
      <c r="AD169" s="115">
        <v>0</v>
      </c>
      <c r="AE169" s="115">
        <v>0</v>
      </c>
      <c r="AF169" s="115">
        <v>0</v>
      </c>
      <c r="AG169" s="115">
        <v>0</v>
      </c>
      <c r="AH169" s="115">
        <v>0</v>
      </c>
      <c r="AI169" s="115">
        <v>0</v>
      </c>
      <c r="AJ169" s="115">
        <v>0</v>
      </c>
      <c r="AK169" s="115">
        <v>0</v>
      </c>
      <c r="AL169" s="115">
        <v>0</v>
      </c>
      <c r="AM169" s="115">
        <v>0</v>
      </c>
      <c r="AN169" s="115">
        <v>0</v>
      </c>
      <c r="AO169" s="115">
        <v>0</v>
      </c>
      <c r="AP169" s="115">
        <v>0</v>
      </c>
      <c r="AQ169" s="115">
        <v>0</v>
      </c>
      <c r="AR169" s="115">
        <v>0</v>
      </c>
      <c r="AS169" s="115">
        <v>0</v>
      </c>
      <c r="AT169" s="115">
        <v>0</v>
      </c>
      <c r="AU169" s="115">
        <v>0</v>
      </c>
      <c r="AV169" s="115">
        <v>0</v>
      </c>
      <c r="AW169" s="115">
        <v>0</v>
      </c>
      <c r="AX169" s="115">
        <v>0</v>
      </c>
      <c r="AY169" s="115">
        <v>0</v>
      </c>
      <c r="AZ169" s="115">
        <v>0</v>
      </c>
      <c r="BA169" s="115">
        <v>0</v>
      </c>
      <c r="BB169" s="115">
        <v>0</v>
      </c>
      <c r="BC169" s="115">
        <v>0</v>
      </c>
      <c r="BD169" s="115">
        <v>0</v>
      </c>
      <c r="BE169" s="115">
        <v>0</v>
      </c>
      <c r="BF169" s="115">
        <v>0</v>
      </c>
    </row>
    <row r="170" spans="1:58" ht="14.1" customHeight="1">
      <c r="A170" s="75">
        <f t="shared" si="261"/>
        <v>164</v>
      </c>
      <c r="B170" s="93" t="s">
        <v>767</v>
      </c>
      <c r="C170" s="97">
        <f t="shared" ref="C170:V170" si="281">SUM(C168:C169)</f>
        <v>0</v>
      </c>
      <c r="D170" s="97">
        <f t="shared" si="281"/>
        <v>0</v>
      </c>
      <c r="E170" s="97">
        <f t="shared" si="281"/>
        <v>0</v>
      </c>
      <c r="F170" s="97">
        <f t="shared" si="281"/>
        <v>0</v>
      </c>
      <c r="G170" s="97">
        <f t="shared" si="281"/>
        <v>0</v>
      </c>
      <c r="H170" s="97">
        <f t="shared" si="281"/>
        <v>0</v>
      </c>
      <c r="I170" s="97">
        <f t="shared" si="281"/>
        <v>0</v>
      </c>
      <c r="J170" s="97">
        <f t="shared" si="281"/>
        <v>0</v>
      </c>
      <c r="K170" s="97">
        <f t="shared" si="281"/>
        <v>0</v>
      </c>
      <c r="L170" s="97">
        <f t="shared" si="281"/>
        <v>0</v>
      </c>
      <c r="M170" s="97">
        <f t="shared" si="281"/>
        <v>0</v>
      </c>
      <c r="N170" s="97">
        <f t="shared" si="281"/>
        <v>0</v>
      </c>
      <c r="O170" s="97">
        <f t="shared" si="281"/>
        <v>0</v>
      </c>
      <c r="P170" s="97">
        <f t="shared" si="281"/>
        <v>0</v>
      </c>
      <c r="Q170" s="97">
        <f t="shared" si="281"/>
        <v>0</v>
      </c>
      <c r="R170" s="97">
        <f t="shared" si="281"/>
        <v>0</v>
      </c>
      <c r="S170" s="97">
        <f t="shared" si="281"/>
        <v>0</v>
      </c>
      <c r="T170" s="97">
        <f t="shared" si="281"/>
        <v>0</v>
      </c>
      <c r="U170" s="97">
        <f t="shared" si="281"/>
        <v>0</v>
      </c>
      <c r="V170" s="97">
        <f t="shared" si="281"/>
        <v>0</v>
      </c>
      <c r="W170" s="97">
        <f>SUM(W168:W169)</f>
        <v>0</v>
      </c>
      <c r="X170" s="97">
        <f t="shared" ref="X170:AD170" si="282">SUM(X168:X169)</f>
        <v>0</v>
      </c>
      <c r="Y170" s="97">
        <f>SUM(Y168:Y169)</f>
        <v>0</v>
      </c>
      <c r="Z170" s="97">
        <f t="shared" si="282"/>
        <v>0</v>
      </c>
      <c r="AA170" s="97">
        <f t="shared" si="282"/>
        <v>0</v>
      </c>
      <c r="AB170" s="97">
        <f t="shared" si="282"/>
        <v>0</v>
      </c>
      <c r="AC170" s="97">
        <f t="shared" si="282"/>
        <v>0</v>
      </c>
      <c r="AD170" s="97">
        <f t="shared" si="282"/>
        <v>0</v>
      </c>
      <c r="AE170" s="97">
        <f>SUM(AE168:AE169)</f>
        <v>0</v>
      </c>
      <c r="AF170" s="97">
        <f>SUM(AF168:AF169)</f>
        <v>0</v>
      </c>
      <c r="AG170" s="97">
        <f>SUM(AG168:AG169)</f>
        <v>0</v>
      </c>
      <c r="AH170" s="97">
        <f t="shared" ref="AH170:AL170" si="283">SUM(AH168:AH169)</f>
        <v>0</v>
      </c>
      <c r="AI170" s="97">
        <f t="shared" si="283"/>
        <v>0</v>
      </c>
      <c r="AJ170" s="97">
        <f t="shared" si="283"/>
        <v>0</v>
      </c>
      <c r="AK170" s="97">
        <f t="shared" si="283"/>
        <v>0</v>
      </c>
      <c r="AL170" s="97">
        <f t="shared" si="283"/>
        <v>0</v>
      </c>
      <c r="AM170" s="97">
        <f>SUM(AM168:AM169)</f>
        <v>0</v>
      </c>
      <c r="AN170" s="97">
        <f>SUM(AN168:AN169)</f>
        <v>0</v>
      </c>
      <c r="AO170" s="97">
        <f>SUM(AO168:AO169)</f>
        <v>0</v>
      </c>
      <c r="AP170" s="97">
        <f>SUM(AP168:AP169)</f>
        <v>0</v>
      </c>
      <c r="AQ170" s="97">
        <f>SUM(AQ168:AQ169)</f>
        <v>0</v>
      </c>
      <c r="AR170" s="97">
        <f t="shared" ref="AR170" si="284">SUM(AR168:AR169)</f>
        <v>0</v>
      </c>
      <c r="AS170" s="97">
        <f>SUM(AS168:AS169)</f>
        <v>0</v>
      </c>
      <c r="AT170" s="97">
        <f t="shared" ref="AT170:AV170" si="285">SUM(AT168:AT169)</f>
        <v>0</v>
      </c>
      <c r="AU170" s="97">
        <f t="shared" si="285"/>
        <v>0</v>
      </c>
      <c r="AV170" s="97">
        <f t="shared" si="285"/>
        <v>0</v>
      </c>
      <c r="AW170" s="97">
        <f>SUM(AW168:AW169)</f>
        <v>0</v>
      </c>
      <c r="AX170" s="97">
        <f t="shared" ref="AX170:BF170" si="286">SUM(AX168:AX169)</f>
        <v>0</v>
      </c>
      <c r="AY170" s="97">
        <f t="shared" si="286"/>
        <v>0</v>
      </c>
      <c r="AZ170" s="97">
        <f t="shared" si="286"/>
        <v>0</v>
      </c>
      <c r="BA170" s="97">
        <f t="shared" si="286"/>
        <v>0</v>
      </c>
      <c r="BB170" s="97">
        <f t="shared" si="286"/>
        <v>0</v>
      </c>
      <c r="BC170" s="97">
        <f t="shared" si="286"/>
        <v>0</v>
      </c>
      <c r="BD170" s="97">
        <f t="shared" si="286"/>
        <v>0</v>
      </c>
      <c r="BE170" s="97">
        <f t="shared" si="286"/>
        <v>0</v>
      </c>
      <c r="BF170" s="97">
        <f t="shared" si="286"/>
        <v>0</v>
      </c>
    </row>
    <row r="171" spans="1:58" ht="14.1" customHeight="1">
      <c r="A171" s="75">
        <f t="shared" si="261"/>
        <v>165</v>
      </c>
      <c r="B171" s="113"/>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c r="AU171" s="115"/>
      <c r="AV171" s="115"/>
      <c r="AW171" s="115"/>
      <c r="AX171" s="115"/>
      <c r="AY171" s="115"/>
      <c r="AZ171" s="115"/>
      <c r="BA171" s="115"/>
      <c r="BB171" s="115"/>
      <c r="BC171" s="115"/>
      <c r="BD171" s="115"/>
      <c r="BE171" s="115"/>
      <c r="BF171" s="115"/>
    </row>
    <row r="172" spans="1:58" ht="14.1" customHeight="1" thickBot="1">
      <c r="A172" s="75">
        <f t="shared" si="261"/>
        <v>166</v>
      </c>
      <c r="B172" s="116" t="s">
        <v>324</v>
      </c>
      <c r="C172" s="117">
        <f t="shared" ref="C172:AL172" si="287">C158+C143+C125+C110+C62+C166+C170+C106</f>
        <v>-601498841.80999994</v>
      </c>
      <c r="D172" s="117">
        <f t="shared" si="287"/>
        <v>0</v>
      </c>
      <c r="E172" s="117">
        <f t="shared" si="287"/>
        <v>0</v>
      </c>
      <c r="F172" s="117">
        <f t="shared" si="287"/>
        <v>0</v>
      </c>
      <c r="G172" s="117">
        <f t="shared" si="287"/>
        <v>0</v>
      </c>
      <c r="H172" s="117">
        <f t="shared" si="287"/>
        <v>0</v>
      </c>
      <c r="I172" s="117">
        <f t="shared" si="287"/>
        <v>0</v>
      </c>
      <c r="J172" s="117">
        <f t="shared" si="287"/>
        <v>0</v>
      </c>
      <c r="K172" s="117">
        <f t="shared" si="287"/>
        <v>0</v>
      </c>
      <c r="L172" s="117">
        <f t="shared" si="287"/>
        <v>0</v>
      </c>
      <c r="M172" s="117">
        <f t="shared" si="287"/>
        <v>0</v>
      </c>
      <c r="N172" s="117">
        <f t="shared" si="287"/>
        <v>0</v>
      </c>
      <c r="O172" s="117">
        <f t="shared" si="287"/>
        <v>0</v>
      </c>
      <c r="P172" s="117">
        <f t="shared" si="287"/>
        <v>0</v>
      </c>
      <c r="Q172" s="117">
        <f t="shared" si="287"/>
        <v>0</v>
      </c>
      <c r="R172" s="117">
        <f t="shared" si="287"/>
        <v>0</v>
      </c>
      <c r="S172" s="117">
        <f t="shared" si="287"/>
        <v>0</v>
      </c>
      <c r="T172" s="117">
        <f t="shared" si="287"/>
        <v>0</v>
      </c>
      <c r="U172" s="117">
        <f t="shared" si="287"/>
        <v>36802837.620000079</v>
      </c>
      <c r="V172" s="117">
        <f t="shared" si="287"/>
        <v>0</v>
      </c>
      <c r="W172" s="117">
        <f t="shared" si="287"/>
        <v>0</v>
      </c>
      <c r="X172" s="117">
        <f t="shared" si="287"/>
        <v>0</v>
      </c>
      <c r="Y172" s="117">
        <f t="shared" si="287"/>
        <v>0</v>
      </c>
      <c r="Z172" s="117">
        <f t="shared" si="287"/>
        <v>0</v>
      </c>
      <c r="AA172" s="117">
        <f t="shared" si="287"/>
        <v>0</v>
      </c>
      <c r="AB172" s="117">
        <f t="shared" si="287"/>
        <v>0</v>
      </c>
      <c r="AC172" s="117">
        <f t="shared" si="287"/>
        <v>0</v>
      </c>
      <c r="AD172" s="117">
        <f t="shared" si="287"/>
        <v>0</v>
      </c>
      <c r="AE172" s="117">
        <f t="shared" si="287"/>
        <v>0</v>
      </c>
      <c r="AF172" s="117">
        <f t="shared" si="287"/>
        <v>0</v>
      </c>
      <c r="AG172" s="117">
        <f t="shared" si="287"/>
        <v>0</v>
      </c>
      <c r="AH172" s="117">
        <f t="shared" si="287"/>
        <v>0</v>
      </c>
      <c r="AI172" s="117">
        <f t="shared" si="287"/>
        <v>0</v>
      </c>
      <c r="AJ172" s="117">
        <f t="shared" si="287"/>
        <v>0</v>
      </c>
      <c r="AK172" s="117">
        <f t="shared" si="287"/>
        <v>0</v>
      </c>
      <c r="AL172" s="117">
        <f t="shared" si="287"/>
        <v>0</v>
      </c>
      <c r="AM172" s="117">
        <f>AM158+AM143+AM125+AM110+AM62+AM166+AM170+AM106</f>
        <v>0</v>
      </c>
      <c r="AN172" s="117">
        <f>AN158+AN143+AN125+AN110+AN62+AN166+AN170+AN106</f>
        <v>0</v>
      </c>
      <c r="AO172" s="117">
        <f>AO158+AO143+AO125+AO110+AO62+AO166+AO170+AO106</f>
        <v>0</v>
      </c>
      <c r="AP172" s="117">
        <f>AP158+AP143+AP125+AP110+AP62+AP166+AP170+AP106</f>
        <v>0</v>
      </c>
      <c r="AQ172" s="117">
        <f>AQ158+AQ143+AQ125+AQ110+AQ62+AQ166+AQ170+AQ106</f>
        <v>0</v>
      </c>
      <c r="AR172" s="117">
        <f t="shared" ref="AR172" si="288">AR158+AR143+AR125+AR110+AR62+AR166+AR170+AR106</f>
        <v>0</v>
      </c>
      <c r="AS172" s="117">
        <f>AS158+AS143+AS125+AS110+AS62+AS166+AS170+AS106</f>
        <v>0</v>
      </c>
      <c r="AT172" s="117">
        <f t="shared" ref="AT172:AU172" si="289">AT158+AT143+AT125+AT110+AT62+AT166+AT170+AT106</f>
        <v>0</v>
      </c>
      <c r="AU172" s="117">
        <f t="shared" si="289"/>
        <v>-327699887.42999995</v>
      </c>
      <c r="AV172" s="117">
        <f>AV158+AV143+AV125+AV110+AV62+AV166+AV170+AV106</f>
        <v>18000000</v>
      </c>
      <c r="AW172" s="117">
        <f>AW158+AW143+AW125+AW110+AW62+AW166+AW170+AW106</f>
        <v>60391028.620000005</v>
      </c>
      <c r="AX172" s="117">
        <f t="shared" ref="AX172:BF172" si="290">AX158+AX143+AX125+AX110+AX62+AX166+AX170+AX106</f>
        <v>-60391028.620000005</v>
      </c>
      <c r="AY172" s="117">
        <f t="shared" si="290"/>
        <v>0</v>
      </c>
      <c r="AZ172" s="117">
        <f t="shared" si="290"/>
        <v>0</v>
      </c>
      <c r="BA172" s="117">
        <f t="shared" si="290"/>
        <v>0</v>
      </c>
      <c r="BB172" s="117">
        <f t="shared" si="290"/>
        <v>0</v>
      </c>
      <c r="BC172" s="117">
        <f t="shared" si="290"/>
        <v>0</v>
      </c>
      <c r="BD172" s="117">
        <f t="shared" si="290"/>
        <v>-324570749</v>
      </c>
      <c r="BE172" s="117">
        <f t="shared" si="290"/>
        <v>-4031043</v>
      </c>
      <c r="BF172" s="117">
        <f t="shared" si="290"/>
        <v>0</v>
      </c>
    </row>
    <row r="173" spans="1:58" ht="14.1" customHeight="1" thickTop="1">
      <c r="A173" s="75">
        <f t="shared" si="261"/>
        <v>167</v>
      </c>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c r="AK173" s="87"/>
      <c r="AL173" s="87"/>
      <c r="AM173" s="87"/>
      <c r="AN173" s="87"/>
      <c r="AO173" s="87"/>
      <c r="AP173" s="87"/>
      <c r="AQ173" s="87"/>
      <c r="AR173" s="87"/>
      <c r="AS173" s="87"/>
      <c r="AT173" s="87"/>
      <c r="AU173" s="87"/>
      <c r="AV173" s="87"/>
      <c r="AW173" s="87"/>
      <c r="AX173" s="87"/>
      <c r="AY173" s="87"/>
      <c r="AZ173" s="87"/>
      <c r="BA173" s="87"/>
      <c r="BB173" s="87"/>
      <c r="BC173" s="87"/>
      <c r="BD173" s="87"/>
      <c r="BE173" s="87"/>
      <c r="BF173" s="87"/>
    </row>
    <row r="174" spans="1:58" ht="14.1" customHeight="1">
      <c r="A174" s="75">
        <f t="shared" si="261"/>
        <v>168</v>
      </c>
      <c r="B174" s="81" t="s">
        <v>768</v>
      </c>
      <c r="C174" s="81"/>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87"/>
      <c r="AN174" s="87"/>
      <c r="AO174" s="87"/>
      <c r="AP174" s="87"/>
      <c r="AQ174" s="87"/>
      <c r="AR174" s="87"/>
      <c r="AS174" s="87"/>
      <c r="AT174" s="87"/>
      <c r="AU174" s="87"/>
      <c r="AV174" s="87"/>
      <c r="AW174" s="87"/>
      <c r="AX174" s="87"/>
      <c r="AY174" s="87"/>
      <c r="AZ174" s="87"/>
      <c r="BA174" s="87"/>
      <c r="BB174" s="87"/>
      <c r="BC174" s="87"/>
      <c r="BD174" s="87"/>
      <c r="BE174" s="87"/>
      <c r="BF174" s="87"/>
    </row>
    <row r="175" spans="1:58" ht="14.1" customHeight="1">
      <c r="A175" s="75">
        <f t="shared" si="261"/>
        <v>169</v>
      </c>
      <c r="B175" s="76" t="s">
        <v>331</v>
      </c>
      <c r="C175" s="80">
        <f>SUM(D175:BF175)</f>
        <v>-357059890.81999993</v>
      </c>
      <c r="D175" s="87">
        <v>0</v>
      </c>
      <c r="E175" s="87">
        <v>0</v>
      </c>
      <c r="F175" s="87">
        <v>0</v>
      </c>
      <c r="G175" s="87">
        <v>0</v>
      </c>
      <c r="H175" s="87">
        <v>0</v>
      </c>
      <c r="I175" s="87">
        <v>0</v>
      </c>
      <c r="J175" s="87">
        <v>0</v>
      </c>
      <c r="K175" s="87">
        <v>0</v>
      </c>
      <c r="L175" s="87">
        <v>0</v>
      </c>
      <c r="M175" s="87">
        <v>0</v>
      </c>
      <c r="N175" s="87">
        <v>0</v>
      </c>
      <c r="O175" s="87">
        <v>0</v>
      </c>
      <c r="P175" s="87">
        <v>0</v>
      </c>
      <c r="Q175" s="87">
        <v>0</v>
      </c>
      <c r="R175" s="87">
        <v>0</v>
      </c>
      <c r="S175" s="87">
        <v>0</v>
      </c>
      <c r="T175" s="87">
        <v>0</v>
      </c>
      <c r="U175" s="87">
        <v>9597532.1800000668</v>
      </c>
      <c r="V175" s="87">
        <v>0</v>
      </c>
      <c r="W175" s="87">
        <v>0</v>
      </c>
      <c r="X175" s="87">
        <v>0</v>
      </c>
      <c r="Y175" s="87">
        <v>0</v>
      </c>
      <c r="Z175" s="87">
        <v>0</v>
      </c>
      <c r="AA175" s="87">
        <v>0</v>
      </c>
      <c r="AB175" s="87">
        <v>0</v>
      </c>
      <c r="AC175" s="87">
        <v>0</v>
      </c>
      <c r="AD175" s="87">
        <v>0</v>
      </c>
      <c r="AE175" s="87">
        <v>0</v>
      </c>
      <c r="AF175" s="87">
        <v>0</v>
      </c>
      <c r="AG175" s="87">
        <v>0</v>
      </c>
      <c r="AH175" s="87">
        <v>0</v>
      </c>
      <c r="AI175" s="87">
        <v>0</v>
      </c>
      <c r="AJ175" s="87">
        <v>0</v>
      </c>
      <c r="AK175" s="87">
        <v>0</v>
      </c>
      <c r="AL175" s="87">
        <v>0</v>
      </c>
      <c r="AM175" s="87">
        <v>0</v>
      </c>
      <c r="AN175" s="87">
        <v>0</v>
      </c>
      <c r="AO175" s="87">
        <v>0</v>
      </c>
      <c r="AP175" s="87">
        <v>0</v>
      </c>
      <c r="AQ175" s="87">
        <v>0</v>
      </c>
      <c r="AR175" s="87">
        <v>0</v>
      </c>
      <c r="AS175" s="87">
        <v>0</v>
      </c>
      <c r="AT175" s="87">
        <v>0</v>
      </c>
      <c r="AU175" s="87">
        <v>-200045017</v>
      </c>
      <c r="AV175" s="87">
        <v>0</v>
      </c>
      <c r="AW175" s="87">
        <f>(134847.97+1690693.35+211728.18+31923.9+64204.24)</f>
        <v>2133397.64</v>
      </c>
      <c r="AX175" s="87">
        <f>-(134847.97+1690693.35+211728.18+31923.9+64204.24)</f>
        <v>-2133397.64</v>
      </c>
      <c r="AY175" s="87">
        <v>0</v>
      </c>
      <c r="AZ175" s="87">
        <v>0</v>
      </c>
      <c r="BA175" s="87">
        <v>0</v>
      </c>
      <c r="BB175" s="87">
        <v>0</v>
      </c>
      <c r="BC175" s="87">
        <v>0</v>
      </c>
      <c r="BD175" s="87">
        <v>-166612406</v>
      </c>
      <c r="BE175" s="87">
        <v>0</v>
      </c>
      <c r="BF175" s="87">
        <v>0</v>
      </c>
    </row>
    <row r="176" spans="1:58" ht="14.1" customHeight="1">
      <c r="A176" s="75">
        <f t="shared" si="261"/>
        <v>170</v>
      </c>
      <c r="B176" s="76" t="s">
        <v>334</v>
      </c>
      <c r="C176" s="80">
        <f>SUM(D176:BF176)</f>
        <v>4600601.5599999428</v>
      </c>
      <c r="D176" s="87">
        <v>0</v>
      </c>
      <c r="E176" s="87">
        <v>0</v>
      </c>
      <c r="F176" s="87">
        <v>0</v>
      </c>
      <c r="G176" s="87">
        <v>0</v>
      </c>
      <c r="H176" s="87">
        <v>0</v>
      </c>
      <c r="I176" s="87">
        <v>0</v>
      </c>
      <c r="J176" s="87">
        <v>0</v>
      </c>
      <c r="K176" s="87">
        <v>0</v>
      </c>
      <c r="L176" s="87">
        <v>0</v>
      </c>
      <c r="M176" s="87">
        <v>0</v>
      </c>
      <c r="N176" s="87">
        <v>0</v>
      </c>
      <c r="O176" s="87">
        <v>0</v>
      </c>
      <c r="P176" s="87">
        <v>0</v>
      </c>
      <c r="Q176" s="87">
        <v>0</v>
      </c>
      <c r="R176" s="87">
        <v>0</v>
      </c>
      <c r="S176" s="87">
        <v>0</v>
      </c>
      <c r="T176" s="87">
        <v>0</v>
      </c>
      <c r="U176" s="87">
        <v>4600601.5599999428</v>
      </c>
      <c r="V176" s="87">
        <v>0</v>
      </c>
      <c r="W176" s="87">
        <v>0</v>
      </c>
      <c r="X176" s="87">
        <v>0</v>
      </c>
      <c r="Y176" s="87">
        <v>0</v>
      </c>
      <c r="Z176" s="87">
        <v>0</v>
      </c>
      <c r="AA176" s="87">
        <v>0</v>
      </c>
      <c r="AB176" s="87">
        <v>0</v>
      </c>
      <c r="AC176" s="87">
        <v>0</v>
      </c>
      <c r="AD176" s="87">
        <v>0</v>
      </c>
      <c r="AE176" s="87">
        <v>0</v>
      </c>
      <c r="AF176" s="87">
        <v>0</v>
      </c>
      <c r="AG176" s="87">
        <v>0</v>
      </c>
      <c r="AH176" s="87">
        <v>0</v>
      </c>
      <c r="AI176" s="87">
        <v>0</v>
      </c>
      <c r="AJ176" s="87">
        <v>0</v>
      </c>
      <c r="AK176" s="87">
        <v>0</v>
      </c>
      <c r="AL176" s="87">
        <v>0</v>
      </c>
      <c r="AM176" s="87">
        <v>0</v>
      </c>
      <c r="AN176" s="87">
        <v>0</v>
      </c>
      <c r="AO176" s="87">
        <v>0</v>
      </c>
      <c r="AP176" s="87">
        <v>0</v>
      </c>
      <c r="AQ176" s="87">
        <v>0</v>
      </c>
      <c r="AR176" s="87">
        <v>0</v>
      </c>
      <c r="AS176" s="87">
        <v>0</v>
      </c>
      <c r="AT176" s="87">
        <v>0</v>
      </c>
      <c r="AU176" s="87">
        <v>0</v>
      </c>
      <c r="AV176" s="87">
        <v>0</v>
      </c>
      <c r="AW176" s="87">
        <v>0</v>
      </c>
      <c r="AX176" s="87">
        <v>0</v>
      </c>
      <c r="AY176" s="87">
        <v>0</v>
      </c>
      <c r="AZ176" s="87">
        <v>0</v>
      </c>
      <c r="BA176" s="87">
        <v>0</v>
      </c>
      <c r="BB176" s="87">
        <v>0</v>
      </c>
      <c r="BC176" s="87">
        <v>0</v>
      </c>
      <c r="BD176" s="87">
        <v>0</v>
      </c>
      <c r="BE176" s="87">
        <v>0</v>
      </c>
      <c r="BF176" s="87">
        <v>0</v>
      </c>
    </row>
    <row r="177" spans="1:58" ht="14.1" customHeight="1">
      <c r="A177" s="75">
        <f t="shared" si="261"/>
        <v>171</v>
      </c>
      <c r="B177" s="76" t="s">
        <v>336</v>
      </c>
      <c r="C177" s="80">
        <f>SUM(D177:BF177)</f>
        <v>385879.48000001907</v>
      </c>
      <c r="D177" s="87">
        <v>0</v>
      </c>
      <c r="E177" s="87">
        <v>0</v>
      </c>
      <c r="F177" s="87">
        <v>0</v>
      </c>
      <c r="G177" s="87">
        <v>0</v>
      </c>
      <c r="H177" s="87">
        <v>0</v>
      </c>
      <c r="I177" s="87">
        <v>0</v>
      </c>
      <c r="J177" s="87">
        <v>0</v>
      </c>
      <c r="K177" s="87">
        <v>0</v>
      </c>
      <c r="L177" s="87">
        <v>0</v>
      </c>
      <c r="M177" s="87">
        <v>0</v>
      </c>
      <c r="N177" s="87">
        <v>0</v>
      </c>
      <c r="O177" s="87">
        <v>0</v>
      </c>
      <c r="P177" s="87">
        <v>0</v>
      </c>
      <c r="Q177" s="87">
        <v>0</v>
      </c>
      <c r="R177" s="87">
        <v>0</v>
      </c>
      <c r="S177" s="87">
        <v>0</v>
      </c>
      <c r="T177" s="87">
        <v>0</v>
      </c>
      <c r="U177" s="87">
        <v>385879.48000001907</v>
      </c>
      <c r="V177" s="87">
        <v>0</v>
      </c>
      <c r="W177" s="87">
        <v>0</v>
      </c>
      <c r="X177" s="87">
        <v>0</v>
      </c>
      <c r="Y177" s="87">
        <v>0</v>
      </c>
      <c r="Z177" s="87">
        <v>0</v>
      </c>
      <c r="AA177" s="87">
        <v>0</v>
      </c>
      <c r="AB177" s="87">
        <v>0</v>
      </c>
      <c r="AC177" s="87">
        <v>0</v>
      </c>
      <c r="AD177" s="87">
        <v>0</v>
      </c>
      <c r="AE177" s="87">
        <v>0</v>
      </c>
      <c r="AF177" s="87">
        <v>0</v>
      </c>
      <c r="AG177" s="87">
        <v>0</v>
      </c>
      <c r="AH177" s="87">
        <v>0</v>
      </c>
      <c r="AI177" s="87">
        <v>0</v>
      </c>
      <c r="AJ177" s="87">
        <v>0</v>
      </c>
      <c r="AK177" s="87">
        <v>0</v>
      </c>
      <c r="AL177" s="87">
        <v>0</v>
      </c>
      <c r="AM177" s="87">
        <v>0</v>
      </c>
      <c r="AN177" s="87">
        <v>0</v>
      </c>
      <c r="AO177" s="87">
        <v>0</v>
      </c>
      <c r="AP177" s="87">
        <v>0</v>
      </c>
      <c r="AQ177" s="87">
        <v>0</v>
      </c>
      <c r="AR177" s="87">
        <v>0</v>
      </c>
      <c r="AS177" s="87">
        <v>0</v>
      </c>
      <c r="AT177" s="87">
        <v>0</v>
      </c>
      <c r="AU177" s="87">
        <v>0</v>
      </c>
      <c r="AV177" s="87">
        <v>0</v>
      </c>
      <c r="AW177" s="87">
        <v>0</v>
      </c>
      <c r="AX177" s="87">
        <v>0</v>
      </c>
      <c r="AY177" s="87">
        <v>0</v>
      </c>
      <c r="AZ177" s="87">
        <v>0</v>
      </c>
      <c r="BA177" s="87">
        <v>0</v>
      </c>
      <c r="BB177" s="87">
        <v>0</v>
      </c>
      <c r="BC177" s="87">
        <v>0</v>
      </c>
      <c r="BD177" s="87">
        <v>0</v>
      </c>
      <c r="BE177" s="87">
        <v>0</v>
      </c>
      <c r="BF177" s="87">
        <v>0</v>
      </c>
    </row>
    <row r="178" spans="1:58" ht="13.5" customHeight="1">
      <c r="A178" s="75">
        <f t="shared" si="261"/>
        <v>172</v>
      </c>
      <c r="B178" s="76" t="s">
        <v>338</v>
      </c>
      <c r="C178" s="80">
        <f>SUM(D178:BF178)</f>
        <v>1391644.8200000077</v>
      </c>
      <c r="D178" s="87">
        <v>0</v>
      </c>
      <c r="E178" s="87">
        <v>0</v>
      </c>
      <c r="F178" s="87">
        <v>0</v>
      </c>
      <c r="G178" s="87">
        <v>0</v>
      </c>
      <c r="H178" s="87">
        <v>0</v>
      </c>
      <c r="I178" s="87">
        <v>0</v>
      </c>
      <c r="J178" s="87">
        <v>0</v>
      </c>
      <c r="K178" s="87">
        <v>0</v>
      </c>
      <c r="L178" s="87">
        <v>0</v>
      </c>
      <c r="M178" s="87">
        <v>0</v>
      </c>
      <c r="N178" s="87">
        <v>0</v>
      </c>
      <c r="O178" s="87">
        <v>0</v>
      </c>
      <c r="P178" s="87">
        <v>0</v>
      </c>
      <c r="Q178" s="87">
        <v>0</v>
      </c>
      <c r="R178" s="87">
        <v>0</v>
      </c>
      <c r="S178" s="87">
        <v>0</v>
      </c>
      <c r="T178" s="87">
        <v>0</v>
      </c>
      <c r="U178" s="87">
        <v>1391644.8200000077</v>
      </c>
      <c r="V178" s="87">
        <v>0</v>
      </c>
      <c r="W178" s="87">
        <v>0</v>
      </c>
      <c r="X178" s="87">
        <v>0</v>
      </c>
      <c r="Y178" s="87">
        <v>0</v>
      </c>
      <c r="Z178" s="87">
        <v>0</v>
      </c>
      <c r="AA178" s="87">
        <v>0</v>
      </c>
      <c r="AB178" s="87">
        <v>0</v>
      </c>
      <c r="AC178" s="87">
        <v>0</v>
      </c>
      <c r="AD178" s="87">
        <v>0</v>
      </c>
      <c r="AE178" s="87">
        <v>0</v>
      </c>
      <c r="AF178" s="87">
        <v>0</v>
      </c>
      <c r="AG178" s="87">
        <v>0</v>
      </c>
      <c r="AH178" s="87">
        <v>0</v>
      </c>
      <c r="AI178" s="87">
        <v>0</v>
      </c>
      <c r="AJ178" s="87">
        <v>0</v>
      </c>
      <c r="AK178" s="87">
        <v>0</v>
      </c>
      <c r="AL178" s="87">
        <v>0</v>
      </c>
      <c r="AM178" s="87">
        <v>0</v>
      </c>
      <c r="AN178" s="87">
        <v>0</v>
      </c>
      <c r="AO178" s="87">
        <v>0</v>
      </c>
      <c r="AP178" s="87">
        <v>0</v>
      </c>
      <c r="AQ178" s="87">
        <v>0</v>
      </c>
      <c r="AR178" s="87">
        <v>0</v>
      </c>
      <c r="AS178" s="87">
        <v>0</v>
      </c>
      <c r="AT178" s="87">
        <v>0</v>
      </c>
      <c r="AU178" s="87">
        <v>0</v>
      </c>
      <c r="AV178" s="87">
        <v>0</v>
      </c>
      <c r="AW178" s="87">
        <f>(410.56+3513.44+1082.92+8765.09)</f>
        <v>13772.01</v>
      </c>
      <c r="AX178" s="87">
        <f>-(410.56+3513.44+1082.92+8765.09)</f>
        <v>-13772.01</v>
      </c>
      <c r="AY178" s="87">
        <v>0</v>
      </c>
      <c r="AZ178" s="87">
        <v>0</v>
      </c>
      <c r="BA178" s="87">
        <v>0</v>
      </c>
      <c r="BB178" s="87">
        <v>0</v>
      </c>
      <c r="BC178" s="87">
        <v>0</v>
      </c>
      <c r="BD178" s="87">
        <v>0</v>
      </c>
      <c r="BE178" s="87">
        <v>0</v>
      </c>
      <c r="BF178" s="87">
        <v>0</v>
      </c>
    </row>
    <row r="179" spans="1:58" ht="14.1" customHeight="1">
      <c r="A179" s="75">
        <f t="shared" si="261"/>
        <v>173</v>
      </c>
      <c r="B179" s="93" t="s">
        <v>339</v>
      </c>
      <c r="C179" s="97">
        <f t="shared" ref="C179" si="291">SUM(C175:C178)</f>
        <v>-350681764.95999998</v>
      </c>
      <c r="D179" s="97">
        <f t="shared" ref="D179:AD179" si="292">SUM(D175:D178)</f>
        <v>0</v>
      </c>
      <c r="E179" s="97">
        <f t="shared" si="292"/>
        <v>0</v>
      </c>
      <c r="F179" s="97">
        <f t="shared" si="292"/>
        <v>0</v>
      </c>
      <c r="G179" s="97">
        <f t="shared" si="292"/>
        <v>0</v>
      </c>
      <c r="H179" s="97">
        <f t="shared" si="292"/>
        <v>0</v>
      </c>
      <c r="I179" s="97">
        <f t="shared" si="292"/>
        <v>0</v>
      </c>
      <c r="J179" s="97">
        <f t="shared" si="292"/>
        <v>0</v>
      </c>
      <c r="K179" s="97">
        <f t="shared" si="292"/>
        <v>0</v>
      </c>
      <c r="L179" s="97">
        <f t="shared" si="292"/>
        <v>0</v>
      </c>
      <c r="M179" s="97">
        <f t="shared" si="292"/>
        <v>0</v>
      </c>
      <c r="N179" s="97">
        <f t="shared" si="292"/>
        <v>0</v>
      </c>
      <c r="O179" s="97">
        <f t="shared" si="292"/>
        <v>0</v>
      </c>
      <c r="P179" s="97">
        <f t="shared" si="292"/>
        <v>0</v>
      </c>
      <c r="Q179" s="97">
        <f t="shared" si="292"/>
        <v>0</v>
      </c>
      <c r="R179" s="97">
        <f t="shared" si="292"/>
        <v>0</v>
      </c>
      <c r="S179" s="97">
        <f t="shared" si="292"/>
        <v>0</v>
      </c>
      <c r="T179" s="97">
        <f t="shared" si="292"/>
        <v>0</v>
      </c>
      <c r="U179" s="97">
        <f t="shared" si="292"/>
        <v>15975658.040000036</v>
      </c>
      <c r="V179" s="97">
        <f t="shared" si="292"/>
        <v>0</v>
      </c>
      <c r="W179" s="97">
        <f t="shared" si="292"/>
        <v>0</v>
      </c>
      <c r="X179" s="97">
        <f t="shared" si="292"/>
        <v>0</v>
      </c>
      <c r="Y179" s="97">
        <f>SUM(Y175:Y178)</f>
        <v>0</v>
      </c>
      <c r="Z179" s="97">
        <f t="shared" si="292"/>
        <v>0</v>
      </c>
      <c r="AA179" s="97">
        <f t="shared" si="292"/>
        <v>0</v>
      </c>
      <c r="AB179" s="97">
        <f t="shared" si="292"/>
        <v>0</v>
      </c>
      <c r="AC179" s="97">
        <f t="shared" si="292"/>
        <v>0</v>
      </c>
      <c r="AD179" s="97">
        <f t="shared" si="292"/>
        <v>0</v>
      </c>
      <c r="AE179" s="97">
        <f>SUM(AE175:AE178)</f>
        <v>0</v>
      </c>
      <c r="AF179" s="97">
        <f>SUM(AF175:AF178)</f>
        <v>0</v>
      </c>
      <c r="AG179" s="97">
        <f>SUM(AG175:AG178)</f>
        <v>0</v>
      </c>
      <c r="AH179" s="97">
        <f t="shared" ref="AH179:AL179" si="293">SUM(AH175:AH178)</f>
        <v>0</v>
      </c>
      <c r="AI179" s="97">
        <f t="shared" si="293"/>
        <v>0</v>
      </c>
      <c r="AJ179" s="97">
        <f t="shared" si="293"/>
        <v>0</v>
      </c>
      <c r="AK179" s="97">
        <f t="shared" si="293"/>
        <v>0</v>
      </c>
      <c r="AL179" s="97">
        <f t="shared" si="293"/>
        <v>0</v>
      </c>
      <c r="AM179" s="97">
        <f>SUM(AM175:AM178)</f>
        <v>0</v>
      </c>
      <c r="AN179" s="97">
        <f>SUM(AN175:AN178)</f>
        <v>0</v>
      </c>
      <c r="AO179" s="97">
        <f>SUM(AO175:AO178)</f>
        <v>0</v>
      </c>
      <c r="AP179" s="97">
        <f>SUM(AP175:AP178)</f>
        <v>0</v>
      </c>
      <c r="AQ179" s="97">
        <f>SUM(AQ175:AQ178)</f>
        <v>0</v>
      </c>
      <c r="AR179" s="97">
        <f t="shared" ref="AR179" si="294">SUM(AR175:AR178)</f>
        <v>0</v>
      </c>
      <c r="AS179" s="97">
        <f>SUM(AS175:AS178)</f>
        <v>0</v>
      </c>
      <c r="AT179" s="97">
        <f t="shared" ref="AT179:AV179" si="295">SUM(AT175:AT178)</f>
        <v>0</v>
      </c>
      <c r="AU179" s="97">
        <f t="shared" si="295"/>
        <v>-200045017</v>
      </c>
      <c r="AV179" s="97">
        <f t="shared" si="295"/>
        <v>0</v>
      </c>
      <c r="AW179" s="97">
        <f>SUM(AW175:AW178)</f>
        <v>2147169.65</v>
      </c>
      <c r="AX179" s="97">
        <f t="shared" ref="AX179:BF179" si="296">SUM(AX175:AX178)</f>
        <v>-2147169.65</v>
      </c>
      <c r="AY179" s="97">
        <f t="shared" si="296"/>
        <v>0</v>
      </c>
      <c r="AZ179" s="97">
        <f t="shared" si="296"/>
        <v>0</v>
      </c>
      <c r="BA179" s="97">
        <f t="shared" si="296"/>
        <v>0</v>
      </c>
      <c r="BB179" s="97">
        <f t="shared" si="296"/>
        <v>0</v>
      </c>
      <c r="BC179" s="97">
        <f t="shared" si="296"/>
        <v>0</v>
      </c>
      <c r="BD179" s="97">
        <f t="shared" si="296"/>
        <v>-166612406</v>
      </c>
      <c r="BE179" s="97">
        <f t="shared" si="296"/>
        <v>0</v>
      </c>
      <c r="BF179" s="97">
        <f t="shared" si="296"/>
        <v>0</v>
      </c>
    </row>
    <row r="180" spans="1:58" ht="14.1" customHeight="1">
      <c r="A180" s="75">
        <f t="shared" si="261"/>
        <v>174</v>
      </c>
      <c r="B180" s="96"/>
      <c r="C180" s="96"/>
      <c r="D180" s="94"/>
      <c r="E180" s="94"/>
      <c r="F180" s="94"/>
      <c r="G180" s="94"/>
      <c r="H180" s="94"/>
      <c r="I180" s="94"/>
      <c r="J180" s="94"/>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row>
    <row r="181" spans="1:58" ht="14.1" customHeight="1">
      <c r="A181" s="75">
        <f t="shared" si="261"/>
        <v>175</v>
      </c>
      <c r="B181" s="93" t="s">
        <v>341</v>
      </c>
      <c r="C181" s="93"/>
      <c r="D181" s="94"/>
      <c r="E181" s="94"/>
      <c r="F181" s="94"/>
      <c r="G181" s="94"/>
      <c r="H181" s="94"/>
      <c r="I181" s="94"/>
      <c r="J181" s="94"/>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row>
    <row r="182" spans="1:58" ht="14.1" customHeight="1">
      <c r="A182" s="75">
        <f t="shared" si="261"/>
        <v>176</v>
      </c>
      <c r="B182" s="76" t="s">
        <v>342</v>
      </c>
      <c r="C182" s="80">
        <f>SUM(D182:BF182)</f>
        <v>-3689090.96</v>
      </c>
      <c r="D182" s="87">
        <v>0</v>
      </c>
      <c r="E182" s="87">
        <v>0</v>
      </c>
      <c r="F182" s="87">
        <v>0</v>
      </c>
      <c r="G182" s="87">
        <v>0</v>
      </c>
      <c r="H182" s="87">
        <v>0</v>
      </c>
      <c r="I182" s="87">
        <v>0</v>
      </c>
      <c r="J182" s="87">
        <v>0</v>
      </c>
      <c r="K182" s="87">
        <v>0</v>
      </c>
      <c r="L182" s="87">
        <v>0</v>
      </c>
      <c r="M182" s="87">
        <v>0</v>
      </c>
      <c r="N182" s="87">
        <v>0</v>
      </c>
      <c r="O182" s="87">
        <v>0</v>
      </c>
      <c r="P182" s="87">
        <v>0</v>
      </c>
      <c r="Q182" s="87">
        <v>0</v>
      </c>
      <c r="R182" s="87">
        <v>0</v>
      </c>
      <c r="S182" s="87">
        <v>0</v>
      </c>
      <c r="T182" s="87">
        <v>0</v>
      </c>
      <c r="U182" s="87">
        <v>794.04000000000815</v>
      </c>
      <c r="V182" s="87">
        <v>0</v>
      </c>
      <c r="W182" s="87">
        <v>0</v>
      </c>
      <c r="X182" s="87">
        <v>0</v>
      </c>
      <c r="Y182" s="87">
        <v>0</v>
      </c>
      <c r="Z182" s="87">
        <v>0</v>
      </c>
      <c r="AA182" s="87">
        <v>0</v>
      </c>
      <c r="AB182" s="87">
        <v>0</v>
      </c>
      <c r="AC182" s="87">
        <v>0</v>
      </c>
      <c r="AD182" s="87">
        <v>0</v>
      </c>
      <c r="AE182" s="87">
        <v>0</v>
      </c>
      <c r="AF182" s="87">
        <v>0</v>
      </c>
      <c r="AG182" s="87">
        <v>0</v>
      </c>
      <c r="AH182" s="87">
        <v>0</v>
      </c>
      <c r="AI182" s="87">
        <v>0</v>
      </c>
      <c r="AJ182" s="87">
        <v>0</v>
      </c>
      <c r="AK182" s="87">
        <v>0</v>
      </c>
      <c r="AL182" s="87">
        <v>0</v>
      </c>
      <c r="AM182" s="87">
        <v>0</v>
      </c>
      <c r="AN182" s="87">
        <v>0</v>
      </c>
      <c r="AO182" s="87">
        <v>0</v>
      </c>
      <c r="AP182" s="87">
        <v>0</v>
      </c>
      <c r="AQ182" s="87">
        <v>0</v>
      </c>
      <c r="AR182" s="87">
        <v>0</v>
      </c>
      <c r="AS182" s="87">
        <v>0</v>
      </c>
      <c r="AT182" s="87">
        <v>0</v>
      </c>
      <c r="AU182" s="87">
        <v>0</v>
      </c>
      <c r="AV182" s="87">
        <v>0</v>
      </c>
      <c r="AW182" s="87">
        <v>0</v>
      </c>
      <c r="AX182" s="87">
        <v>0</v>
      </c>
      <c r="AY182" s="87">
        <v>0</v>
      </c>
      <c r="AZ182" s="87">
        <v>0</v>
      </c>
      <c r="BA182" s="87">
        <v>0</v>
      </c>
      <c r="BB182" s="87">
        <v>0</v>
      </c>
      <c r="BC182" s="87">
        <v>0</v>
      </c>
      <c r="BD182" s="87">
        <v>0</v>
      </c>
      <c r="BE182" s="87">
        <v>-3689885</v>
      </c>
      <c r="BF182" s="87">
        <v>0</v>
      </c>
    </row>
    <row r="183" spans="1:58" ht="14.1" customHeight="1">
      <c r="A183" s="75">
        <f t="shared" si="261"/>
        <v>177</v>
      </c>
      <c r="B183" s="76" t="s">
        <v>331</v>
      </c>
      <c r="C183" s="80">
        <f>SUM(D183:BF183)</f>
        <v>0</v>
      </c>
      <c r="D183" s="87">
        <v>0</v>
      </c>
      <c r="E183" s="87">
        <v>0</v>
      </c>
      <c r="F183" s="87">
        <v>0</v>
      </c>
      <c r="G183" s="87">
        <v>0</v>
      </c>
      <c r="H183" s="87">
        <v>0</v>
      </c>
      <c r="I183" s="87">
        <v>0</v>
      </c>
      <c r="J183" s="87">
        <v>0</v>
      </c>
      <c r="K183" s="87">
        <v>0</v>
      </c>
      <c r="L183" s="87">
        <v>0</v>
      </c>
      <c r="M183" s="87">
        <v>0</v>
      </c>
      <c r="N183" s="87">
        <v>0</v>
      </c>
      <c r="O183" s="87">
        <v>0</v>
      </c>
      <c r="P183" s="87">
        <v>0</v>
      </c>
      <c r="Q183" s="87">
        <v>0</v>
      </c>
      <c r="R183" s="87">
        <v>0</v>
      </c>
      <c r="S183" s="87">
        <v>0</v>
      </c>
      <c r="T183" s="87">
        <v>0</v>
      </c>
      <c r="U183" s="87">
        <v>0</v>
      </c>
      <c r="V183" s="87">
        <v>0</v>
      </c>
      <c r="W183" s="87">
        <v>0</v>
      </c>
      <c r="X183" s="87">
        <v>0</v>
      </c>
      <c r="Y183" s="87">
        <v>0</v>
      </c>
      <c r="Z183" s="87">
        <v>0</v>
      </c>
      <c r="AA183" s="87">
        <v>0</v>
      </c>
      <c r="AB183" s="87">
        <v>0</v>
      </c>
      <c r="AC183" s="87">
        <v>0</v>
      </c>
      <c r="AD183" s="87">
        <v>0</v>
      </c>
      <c r="AE183" s="87">
        <v>0</v>
      </c>
      <c r="AF183" s="87">
        <v>0</v>
      </c>
      <c r="AG183" s="87">
        <v>0</v>
      </c>
      <c r="AH183" s="87">
        <v>0</v>
      </c>
      <c r="AI183" s="87">
        <v>0</v>
      </c>
      <c r="AJ183" s="87">
        <v>0</v>
      </c>
      <c r="AK183" s="87">
        <v>0</v>
      </c>
      <c r="AL183" s="87">
        <v>0</v>
      </c>
      <c r="AM183" s="87">
        <v>0</v>
      </c>
      <c r="AN183" s="87">
        <v>0</v>
      </c>
      <c r="AO183" s="87">
        <v>0</v>
      </c>
      <c r="AP183" s="87">
        <v>0</v>
      </c>
      <c r="AQ183" s="87">
        <v>0</v>
      </c>
      <c r="AR183" s="87">
        <v>0</v>
      </c>
      <c r="AS183" s="87">
        <v>0</v>
      </c>
      <c r="AT183" s="87">
        <v>0</v>
      </c>
      <c r="AU183" s="87">
        <v>0</v>
      </c>
      <c r="AV183" s="87">
        <v>0</v>
      </c>
      <c r="AW183" s="87">
        <v>0</v>
      </c>
      <c r="AX183" s="87">
        <v>0</v>
      </c>
      <c r="AY183" s="87">
        <v>0</v>
      </c>
      <c r="AZ183" s="87">
        <v>0</v>
      </c>
      <c r="BA183" s="87">
        <v>0</v>
      </c>
      <c r="BB183" s="87">
        <v>0</v>
      </c>
      <c r="BC183" s="87">
        <v>0</v>
      </c>
      <c r="BD183" s="87">
        <v>0</v>
      </c>
      <c r="BE183" s="87">
        <v>0</v>
      </c>
      <c r="BF183" s="87">
        <v>0</v>
      </c>
    </row>
    <row r="184" spans="1:58" ht="14.1" customHeight="1">
      <c r="A184" s="75">
        <f t="shared" si="261"/>
        <v>178</v>
      </c>
      <c r="B184" s="76" t="s">
        <v>315</v>
      </c>
      <c r="C184" s="80">
        <f>SUM(D184:BF184)</f>
        <v>0</v>
      </c>
      <c r="D184" s="87">
        <v>0</v>
      </c>
      <c r="E184" s="87">
        <v>0</v>
      </c>
      <c r="F184" s="87">
        <v>0</v>
      </c>
      <c r="G184" s="87">
        <v>0</v>
      </c>
      <c r="H184" s="87">
        <v>0</v>
      </c>
      <c r="I184" s="87">
        <v>0</v>
      </c>
      <c r="J184" s="87">
        <v>0</v>
      </c>
      <c r="K184" s="87">
        <v>0</v>
      </c>
      <c r="L184" s="87">
        <v>0</v>
      </c>
      <c r="M184" s="87">
        <v>0</v>
      </c>
      <c r="N184" s="87">
        <v>0</v>
      </c>
      <c r="O184" s="87">
        <v>0</v>
      </c>
      <c r="P184" s="87">
        <v>0</v>
      </c>
      <c r="Q184" s="87">
        <v>0</v>
      </c>
      <c r="R184" s="87">
        <v>0</v>
      </c>
      <c r="S184" s="87">
        <v>0</v>
      </c>
      <c r="T184" s="87">
        <v>0</v>
      </c>
      <c r="U184" s="87">
        <v>0</v>
      </c>
      <c r="V184" s="87">
        <v>0</v>
      </c>
      <c r="W184" s="87">
        <v>0</v>
      </c>
      <c r="X184" s="87">
        <v>0</v>
      </c>
      <c r="Y184" s="87">
        <v>0</v>
      </c>
      <c r="Z184" s="87">
        <v>0</v>
      </c>
      <c r="AA184" s="87">
        <v>0</v>
      </c>
      <c r="AB184" s="87">
        <v>0</v>
      </c>
      <c r="AC184" s="87">
        <v>0</v>
      </c>
      <c r="AD184" s="87">
        <v>0</v>
      </c>
      <c r="AE184" s="87">
        <v>0</v>
      </c>
      <c r="AF184" s="87">
        <v>0</v>
      </c>
      <c r="AG184" s="87">
        <v>0</v>
      </c>
      <c r="AH184" s="87">
        <v>0</v>
      </c>
      <c r="AI184" s="87">
        <v>0</v>
      </c>
      <c r="AJ184" s="87">
        <v>0</v>
      </c>
      <c r="AK184" s="87">
        <v>0</v>
      </c>
      <c r="AL184" s="87">
        <v>0</v>
      </c>
      <c r="AM184" s="87">
        <v>0</v>
      </c>
      <c r="AN184" s="87">
        <v>0</v>
      </c>
      <c r="AO184" s="87">
        <v>0</v>
      </c>
      <c r="AP184" s="87">
        <v>0</v>
      </c>
      <c r="AQ184" s="87">
        <v>0</v>
      </c>
      <c r="AR184" s="87">
        <v>0</v>
      </c>
      <c r="AS184" s="87">
        <v>0</v>
      </c>
      <c r="AT184" s="87">
        <v>0</v>
      </c>
      <c r="AU184" s="87">
        <v>0</v>
      </c>
      <c r="AV184" s="87">
        <v>0</v>
      </c>
      <c r="AW184" s="87">
        <v>0</v>
      </c>
      <c r="AX184" s="87">
        <v>0</v>
      </c>
      <c r="AY184" s="87">
        <v>0</v>
      </c>
      <c r="AZ184" s="87">
        <v>0</v>
      </c>
      <c r="BA184" s="87">
        <v>0</v>
      </c>
      <c r="BB184" s="87">
        <v>0</v>
      </c>
      <c r="BC184" s="87">
        <v>0</v>
      </c>
      <c r="BD184" s="87">
        <v>0</v>
      </c>
      <c r="BE184" s="87">
        <v>0</v>
      </c>
      <c r="BF184" s="87">
        <v>0</v>
      </c>
    </row>
    <row r="185" spans="1:58" ht="14.1" customHeight="1">
      <c r="A185" s="75">
        <f t="shared" si="261"/>
        <v>179</v>
      </c>
      <c r="B185" s="76" t="s">
        <v>336</v>
      </c>
      <c r="C185" s="80">
        <f>SUM(D185:BF185)</f>
        <v>0</v>
      </c>
      <c r="D185" s="87">
        <v>0</v>
      </c>
      <c r="E185" s="87">
        <v>0</v>
      </c>
      <c r="F185" s="87">
        <v>0</v>
      </c>
      <c r="G185" s="87">
        <v>0</v>
      </c>
      <c r="H185" s="87">
        <v>0</v>
      </c>
      <c r="I185" s="87">
        <v>0</v>
      </c>
      <c r="J185" s="87">
        <v>0</v>
      </c>
      <c r="K185" s="87">
        <v>0</v>
      </c>
      <c r="L185" s="87">
        <v>0</v>
      </c>
      <c r="M185" s="87">
        <v>0</v>
      </c>
      <c r="N185" s="87">
        <v>0</v>
      </c>
      <c r="O185" s="87">
        <v>0</v>
      </c>
      <c r="P185" s="87">
        <v>0</v>
      </c>
      <c r="Q185" s="87">
        <v>0</v>
      </c>
      <c r="R185" s="87">
        <v>0</v>
      </c>
      <c r="S185" s="87">
        <v>0</v>
      </c>
      <c r="T185" s="87">
        <v>0</v>
      </c>
      <c r="U185" s="87">
        <v>0</v>
      </c>
      <c r="V185" s="87">
        <v>0</v>
      </c>
      <c r="W185" s="87">
        <v>0</v>
      </c>
      <c r="X185" s="87">
        <v>0</v>
      </c>
      <c r="Y185" s="87">
        <v>0</v>
      </c>
      <c r="Z185" s="87">
        <v>0</v>
      </c>
      <c r="AA185" s="87">
        <v>0</v>
      </c>
      <c r="AB185" s="87">
        <v>0</v>
      </c>
      <c r="AC185" s="87">
        <v>0</v>
      </c>
      <c r="AD185" s="87">
        <v>0</v>
      </c>
      <c r="AE185" s="87">
        <v>0</v>
      </c>
      <c r="AF185" s="87">
        <v>0</v>
      </c>
      <c r="AG185" s="87">
        <v>0</v>
      </c>
      <c r="AH185" s="87">
        <v>0</v>
      </c>
      <c r="AI185" s="87">
        <v>0</v>
      </c>
      <c r="AJ185" s="87">
        <v>0</v>
      </c>
      <c r="AK185" s="87">
        <v>0</v>
      </c>
      <c r="AL185" s="87">
        <v>0</v>
      </c>
      <c r="AM185" s="87">
        <v>0</v>
      </c>
      <c r="AN185" s="87">
        <v>0</v>
      </c>
      <c r="AO185" s="87">
        <v>0</v>
      </c>
      <c r="AP185" s="87">
        <v>0</v>
      </c>
      <c r="AQ185" s="87">
        <v>0</v>
      </c>
      <c r="AR185" s="87">
        <v>0</v>
      </c>
      <c r="AS185" s="87">
        <v>0</v>
      </c>
      <c r="AT185" s="87">
        <v>0</v>
      </c>
      <c r="AU185" s="87">
        <v>0</v>
      </c>
      <c r="AV185" s="87">
        <v>0</v>
      </c>
      <c r="AW185" s="87">
        <v>0</v>
      </c>
      <c r="AX185" s="87">
        <v>0</v>
      </c>
      <c r="AY185" s="87">
        <v>0</v>
      </c>
      <c r="AZ185" s="87">
        <v>0</v>
      </c>
      <c r="BA185" s="87">
        <v>0</v>
      </c>
      <c r="BB185" s="87">
        <v>0</v>
      </c>
      <c r="BC185" s="87">
        <v>0</v>
      </c>
      <c r="BD185" s="87">
        <v>0</v>
      </c>
      <c r="BE185" s="87">
        <v>0</v>
      </c>
      <c r="BF185" s="87">
        <v>0</v>
      </c>
    </row>
    <row r="186" spans="1:58" s="95" customFormat="1" ht="14.1" customHeight="1">
      <c r="A186" s="75">
        <f t="shared" si="261"/>
        <v>180</v>
      </c>
      <c r="B186" s="90" t="s">
        <v>338</v>
      </c>
      <c r="C186" s="91">
        <f>SUM(D186:BF186)</f>
        <v>123</v>
      </c>
      <c r="D186" s="92">
        <v>0</v>
      </c>
      <c r="E186" s="92">
        <v>0</v>
      </c>
      <c r="F186" s="92">
        <v>0</v>
      </c>
      <c r="G186" s="92">
        <v>0</v>
      </c>
      <c r="H186" s="92">
        <v>0</v>
      </c>
      <c r="I186" s="92">
        <v>0</v>
      </c>
      <c r="J186" s="92">
        <v>0</v>
      </c>
      <c r="K186" s="92">
        <v>0</v>
      </c>
      <c r="L186" s="92">
        <v>0</v>
      </c>
      <c r="M186" s="92">
        <v>0</v>
      </c>
      <c r="N186" s="92">
        <v>0</v>
      </c>
      <c r="O186" s="92">
        <v>0</v>
      </c>
      <c r="P186" s="92">
        <v>0</v>
      </c>
      <c r="Q186" s="92">
        <v>0</v>
      </c>
      <c r="R186" s="92">
        <v>0</v>
      </c>
      <c r="S186" s="92">
        <v>0</v>
      </c>
      <c r="T186" s="92">
        <v>0</v>
      </c>
      <c r="U186" s="92">
        <v>123</v>
      </c>
      <c r="V186" s="92">
        <v>0</v>
      </c>
      <c r="W186" s="92">
        <v>0</v>
      </c>
      <c r="X186" s="92">
        <v>0</v>
      </c>
      <c r="Y186" s="92">
        <v>0</v>
      </c>
      <c r="Z186" s="92">
        <v>0</v>
      </c>
      <c r="AA186" s="92">
        <v>0</v>
      </c>
      <c r="AB186" s="92">
        <v>0</v>
      </c>
      <c r="AC186" s="92">
        <v>0</v>
      </c>
      <c r="AD186" s="92">
        <v>0</v>
      </c>
      <c r="AE186" s="92">
        <v>0</v>
      </c>
      <c r="AF186" s="92">
        <v>0</v>
      </c>
      <c r="AG186" s="92">
        <v>0</v>
      </c>
      <c r="AH186" s="92">
        <v>0</v>
      </c>
      <c r="AI186" s="92">
        <v>0</v>
      </c>
      <c r="AJ186" s="92">
        <v>0</v>
      </c>
      <c r="AK186" s="92">
        <v>0</v>
      </c>
      <c r="AL186" s="92">
        <v>0</v>
      </c>
      <c r="AM186" s="92">
        <v>0</v>
      </c>
      <c r="AN186" s="92">
        <v>0</v>
      </c>
      <c r="AO186" s="92">
        <v>0</v>
      </c>
      <c r="AP186" s="92">
        <v>0</v>
      </c>
      <c r="AQ186" s="92">
        <v>0</v>
      </c>
      <c r="AR186" s="92">
        <v>0</v>
      </c>
      <c r="AS186" s="92">
        <v>0</v>
      </c>
      <c r="AT186" s="92">
        <v>0</v>
      </c>
      <c r="AU186" s="92">
        <v>0</v>
      </c>
      <c r="AV186" s="92">
        <v>0</v>
      </c>
      <c r="AW186" s="92">
        <v>0</v>
      </c>
      <c r="AX186" s="92">
        <v>0</v>
      </c>
      <c r="AY186" s="92">
        <v>0</v>
      </c>
      <c r="AZ186" s="92">
        <v>0</v>
      </c>
      <c r="BA186" s="92">
        <v>0</v>
      </c>
      <c r="BB186" s="92">
        <v>0</v>
      </c>
      <c r="BC186" s="92">
        <v>0</v>
      </c>
      <c r="BD186" s="92">
        <v>0</v>
      </c>
      <c r="BE186" s="92">
        <v>0</v>
      </c>
      <c r="BF186" s="92">
        <v>0</v>
      </c>
    </row>
    <row r="187" spans="1:58" ht="14.1" customHeight="1">
      <c r="A187" s="75">
        <f t="shared" si="261"/>
        <v>181</v>
      </c>
      <c r="B187" s="93" t="s">
        <v>344</v>
      </c>
      <c r="C187" s="94">
        <f t="shared" ref="C187:V187" si="297">SUM(C182:C186)</f>
        <v>-3688967.96</v>
      </c>
      <c r="D187" s="94">
        <f t="shared" si="297"/>
        <v>0</v>
      </c>
      <c r="E187" s="94">
        <f t="shared" si="297"/>
        <v>0</v>
      </c>
      <c r="F187" s="94">
        <f t="shared" si="297"/>
        <v>0</v>
      </c>
      <c r="G187" s="94">
        <f t="shared" si="297"/>
        <v>0</v>
      </c>
      <c r="H187" s="94">
        <f t="shared" si="297"/>
        <v>0</v>
      </c>
      <c r="I187" s="94">
        <f t="shared" si="297"/>
        <v>0</v>
      </c>
      <c r="J187" s="94">
        <f t="shared" si="297"/>
        <v>0</v>
      </c>
      <c r="K187" s="94">
        <f t="shared" si="297"/>
        <v>0</v>
      </c>
      <c r="L187" s="94">
        <f t="shared" si="297"/>
        <v>0</v>
      </c>
      <c r="M187" s="94">
        <f t="shared" si="297"/>
        <v>0</v>
      </c>
      <c r="N187" s="94">
        <f t="shared" si="297"/>
        <v>0</v>
      </c>
      <c r="O187" s="94">
        <f t="shared" si="297"/>
        <v>0</v>
      </c>
      <c r="P187" s="94">
        <f t="shared" si="297"/>
        <v>0</v>
      </c>
      <c r="Q187" s="94">
        <f t="shared" si="297"/>
        <v>0</v>
      </c>
      <c r="R187" s="94">
        <f t="shared" si="297"/>
        <v>0</v>
      </c>
      <c r="S187" s="94">
        <f t="shared" si="297"/>
        <v>0</v>
      </c>
      <c r="T187" s="94">
        <f t="shared" si="297"/>
        <v>0</v>
      </c>
      <c r="U187" s="94">
        <f t="shared" si="297"/>
        <v>917.04000000000815</v>
      </c>
      <c r="V187" s="94">
        <f t="shared" si="297"/>
        <v>0</v>
      </c>
      <c r="W187" s="94">
        <f>SUM(W182:W186)</f>
        <v>0</v>
      </c>
      <c r="X187" s="94">
        <f t="shared" ref="X187:AD187" si="298">SUM(X182:X186)</f>
        <v>0</v>
      </c>
      <c r="Y187" s="94">
        <f>SUM(Y182:Y186)</f>
        <v>0</v>
      </c>
      <c r="Z187" s="94">
        <f t="shared" si="298"/>
        <v>0</v>
      </c>
      <c r="AA187" s="94">
        <f t="shared" si="298"/>
        <v>0</v>
      </c>
      <c r="AB187" s="94">
        <f t="shared" si="298"/>
        <v>0</v>
      </c>
      <c r="AC187" s="94">
        <f t="shared" si="298"/>
        <v>0</v>
      </c>
      <c r="AD187" s="94">
        <f t="shared" si="298"/>
        <v>0</v>
      </c>
      <c r="AE187" s="94">
        <f>SUM(AE182:AE186)</f>
        <v>0</v>
      </c>
      <c r="AF187" s="94">
        <f>SUM(AF182:AF186)</f>
        <v>0</v>
      </c>
      <c r="AG187" s="94">
        <f>SUM(AG182:AG186)</f>
        <v>0</v>
      </c>
      <c r="AH187" s="94">
        <f t="shared" ref="AH187:AL187" si="299">SUM(AH182:AH186)</f>
        <v>0</v>
      </c>
      <c r="AI187" s="94">
        <f t="shared" si="299"/>
        <v>0</v>
      </c>
      <c r="AJ187" s="94">
        <f t="shared" si="299"/>
        <v>0</v>
      </c>
      <c r="AK187" s="94">
        <f t="shared" si="299"/>
        <v>0</v>
      </c>
      <c r="AL187" s="94">
        <f t="shared" si="299"/>
        <v>0</v>
      </c>
      <c r="AM187" s="94">
        <f>SUM(AM182:AM186)</f>
        <v>0</v>
      </c>
      <c r="AN187" s="94">
        <f>SUM(AN182:AN186)</f>
        <v>0</v>
      </c>
      <c r="AO187" s="94">
        <f>SUM(AO182:AO186)</f>
        <v>0</v>
      </c>
      <c r="AP187" s="94">
        <f>SUM(AP182:AP186)</f>
        <v>0</v>
      </c>
      <c r="AQ187" s="94">
        <f>SUM(AQ182:AQ186)</f>
        <v>0</v>
      </c>
      <c r="AR187" s="94">
        <f t="shared" ref="AR187" si="300">SUM(AR182:AR186)</f>
        <v>0</v>
      </c>
      <c r="AS187" s="94">
        <f>SUM(AS182:AS186)</f>
        <v>0</v>
      </c>
      <c r="AT187" s="94">
        <f t="shared" ref="AT187:AV187" si="301">SUM(AT182:AT186)</f>
        <v>0</v>
      </c>
      <c r="AU187" s="94">
        <f t="shared" si="301"/>
        <v>0</v>
      </c>
      <c r="AV187" s="94">
        <f t="shared" si="301"/>
        <v>0</v>
      </c>
      <c r="AW187" s="94">
        <f>SUM(AW182:AW186)</f>
        <v>0</v>
      </c>
      <c r="AX187" s="94">
        <f t="shared" ref="AX187:BF187" si="302">SUM(AX182:AX186)</f>
        <v>0</v>
      </c>
      <c r="AY187" s="94">
        <f t="shared" si="302"/>
        <v>0</v>
      </c>
      <c r="AZ187" s="94">
        <f t="shared" si="302"/>
        <v>0</v>
      </c>
      <c r="BA187" s="94">
        <f t="shared" si="302"/>
        <v>0</v>
      </c>
      <c r="BB187" s="94">
        <f t="shared" si="302"/>
        <v>0</v>
      </c>
      <c r="BC187" s="94">
        <f t="shared" si="302"/>
        <v>0</v>
      </c>
      <c r="BD187" s="94">
        <f t="shared" si="302"/>
        <v>0</v>
      </c>
      <c r="BE187" s="94">
        <f t="shared" si="302"/>
        <v>-3689885</v>
      </c>
      <c r="BF187" s="94">
        <f t="shared" si="302"/>
        <v>0</v>
      </c>
    </row>
    <row r="188" spans="1:58" ht="14.1" customHeight="1">
      <c r="A188" s="75">
        <f t="shared" si="261"/>
        <v>182</v>
      </c>
      <c r="B188" s="96"/>
      <c r="C188" s="96"/>
      <c r="D188" s="94"/>
      <c r="E188" s="94"/>
      <c r="F188" s="94"/>
      <c r="G188" s="94"/>
      <c r="H188" s="94"/>
      <c r="I188" s="94"/>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row>
    <row r="189" spans="1:58" ht="14.1" customHeight="1">
      <c r="A189" s="75">
        <f t="shared" si="261"/>
        <v>183</v>
      </c>
      <c r="B189" s="114" t="s">
        <v>345</v>
      </c>
      <c r="C189" s="91">
        <f>SUM(D189:BF189)</f>
        <v>0</v>
      </c>
      <c r="D189" s="115">
        <v>0</v>
      </c>
      <c r="E189" s="115">
        <v>0</v>
      </c>
      <c r="F189" s="115">
        <v>0</v>
      </c>
      <c r="G189" s="115">
        <v>0</v>
      </c>
      <c r="H189" s="115">
        <v>0</v>
      </c>
      <c r="I189" s="115">
        <v>0</v>
      </c>
      <c r="J189" s="115">
        <v>0</v>
      </c>
      <c r="K189" s="115">
        <v>0</v>
      </c>
      <c r="L189" s="115">
        <v>0</v>
      </c>
      <c r="M189" s="115">
        <v>0</v>
      </c>
      <c r="N189" s="115">
        <v>0</v>
      </c>
      <c r="O189" s="115">
        <v>0</v>
      </c>
      <c r="P189" s="115">
        <v>0</v>
      </c>
      <c r="Q189" s="115">
        <v>0</v>
      </c>
      <c r="R189" s="115">
        <v>0</v>
      </c>
      <c r="S189" s="115">
        <v>0</v>
      </c>
      <c r="T189" s="115">
        <v>0</v>
      </c>
      <c r="U189" s="115">
        <v>0</v>
      </c>
      <c r="V189" s="115">
        <v>0</v>
      </c>
      <c r="W189" s="115">
        <v>0</v>
      </c>
      <c r="X189" s="115">
        <v>0</v>
      </c>
      <c r="Y189" s="115">
        <v>0</v>
      </c>
      <c r="Z189" s="115">
        <v>0</v>
      </c>
      <c r="AA189" s="115">
        <v>0</v>
      </c>
      <c r="AB189" s="115">
        <v>0</v>
      </c>
      <c r="AC189" s="115">
        <v>0</v>
      </c>
      <c r="AD189" s="115">
        <v>0</v>
      </c>
      <c r="AE189" s="115">
        <v>0</v>
      </c>
      <c r="AF189" s="115">
        <v>0</v>
      </c>
      <c r="AG189" s="115">
        <v>0</v>
      </c>
      <c r="AH189" s="115">
        <v>0</v>
      </c>
      <c r="AI189" s="115">
        <v>0</v>
      </c>
      <c r="AJ189" s="115">
        <v>0</v>
      </c>
      <c r="AK189" s="115">
        <v>0</v>
      </c>
      <c r="AL189" s="115">
        <v>0</v>
      </c>
      <c r="AM189" s="115">
        <v>0</v>
      </c>
      <c r="AN189" s="115">
        <v>0</v>
      </c>
      <c r="AO189" s="115">
        <v>0</v>
      </c>
      <c r="AP189" s="115">
        <v>0</v>
      </c>
      <c r="AQ189" s="115">
        <v>0</v>
      </c>
      <c r="AR189" s="115">
        <v>0</v>
      </c>
      <c r="AS189" s="115">
        <v>0</v>
      </c>
      <c r="AT189" s="115">
        <v>0</v>
      </c>
      <c r="AU189" s="115">
        <v>0</v>
      </c>
      <c r="AV189" s="115">
        <v>0</v>
      </c>
      <c r="AW189" s="115">
        <v>0</v>
      </c>
      <c r="AX189" s="115">
        <v>0</v>
      </c>
      <c r="AY189" s="115">
        <v>0</v>
      </c>
      <c r="AZ189" s="115">
        <v>0</v>
      </c>
      <c r="BA189" s="115">
        <v>0</v>
      </c>
      <c r="BB189" s="115">
        <v>0</v>
      </c>
      <c r="BC189" s="115">
        <v>0</v>
      </c>
      <c r="BD189" s="115">
        <v>0</v>
      </c>
      <c r="BE189" s="115">
        <v>0</v>
      </c>
      <c r="BF189" s="115">
        <v>0</v>
      </c>
    </row>
    <row r="190" spans="1:58" ht="14.1" customHeight="1">
      <c r="A190" s="75">
        <f t="shared" si="261"/>
        <v>184</v>
      </c>
      <c r="B190" s="93" t="s">
        <v>346</v>
      </c>
      <c r="C190" s="94">
        <f t="shared" ref="C190:V190" si="303">SUM(C189:C189)</f>
        <v>0</v>
      </c>
      <c r="D190" s="94">
        <f t="shared" si="303"/>
        <v>0</v>
      </c>
      <c r="E190" s="94">
        <f t="shared" si="303"/>
        <v>0</v>
      </c>
      <c r="F190" s="94">
        <f t="shared" si="303"/>
        <v>0</v>
      </c>
      <c r="G190" s="94">
        <f t="shared" si="303"/>
        <v>0</v>
      </c>
      <c r="H190" s="94">
        <f t="shared" si="303"/>
        <v>0</v>
      </c>
      <c r="I190" s="94">
        <f t="shared" si="303"/>
        <v>0</v>
      </c>
      <c r="J190" s="94">
        <f t="shared" si="303"/>
        <v>0</v>
      </c>
      <c r="K190" s="94">
        <f t="shared" si="303"/>
        <v>0</v>
      </c>
      <c r="L190" s="94">
        <f t="shared" si="303"/>
        <v>0</v>
      </c>
      <c r="M190" s="94">
        <f t="shared" si="303"/>
        <v>0</v>
      </c>
      <c r="N190" s="94">
        <f t="shared" si="303"/>
        <v>0</v>
      </c>
      <c r="O190" s="94">
        <f t="shared" si="303"/>
        <v>0</v>
      </c>
      <c r="P190" s="94">
        <f t="shared" si="303"/>
        <v>0</v>
      </c>
      <c r="Q190" s="94">
        <f t="shared" si="303"/>
        <v>0</v>
      </c>
      <c r="R190" s="94">
        <f t="shared" si="303"/>
        <v>0</v>
      </c>
      <c r="S190" s="94">
        <f t="shared" si="303"/>
        <v>0</v>
      </c>
      <c r="T190" s="94">
        <f t="shared" si="303"/>
        <v>0</v>
      </c>
      <c r="U190" s="94">
        <f t="shared" si="303"/>
        <v>0</v>
      </c>
      <c r="V190" s="94">
        <f t="shared" si="303"/>
        <v>0</v>
      </c>
      <c r="W190" s="94">
        <f>SUM(W189:W189)</f>
        <v>0</v>
      </c>
      <c r="X190" s="94">
        <f t="shared" ref="X190:AD190" si="304">SUM(X189:X189)</f>
        <v>0</v>
      </c>
      <c r="Y190" s="94">
        <f>SUM(Y189:Y189)</f>
        <v>0</v>
      </c>
      <c r="Z190" s="94">
        <f t="shared" si="304"/>
        <v>0</v>
      </c>
      <c r="AA190" s="94">
        <f t="shared" si="304"/>
        <v>0</v>
      </c>
      <c r="AB190" s="94">
        <f t="shared" si="304"/>
        <v>0</v>
      </c>
      <c r="AC190" s="94">
        <f t="shared" si="304"/>
        <v>0</v>
      </c>
      <c r="AD190" s="94">
        <f t="shared" si="304"/>
        <v>0</v>
      </c>
      <c r="AE190" s="94">
        <f>SUM(AE189:AE189)</f>
        <v>0</v>
      </c>
      <c r="AF190" s="94">
        <f>SUM(AF189:AF189)</f>
        <v>0</v>
      </c>
      <c r="AG190" s="94">
        <f>SUM(AG189:AG189)</f>
        <v>0</v>
      </c>
      <c r="AH190" s="94">
        <f t="shared" ref="AH190:AL190" si="305">SUM(AH189:AH189)</f>
        <v>0</v>
      </c>
      <c r="AI190" s="94">
        <f t="shared" si="305"/>
        <v>0</v>
      </c>
      <c r="AJ190" s="94">
        <f t="shared" si="305"/>
        <v>0</v>
      </c>
      <c r="AK190" s="94">
        <f t="shared" si="305"/>
        <v>0</v>
      </c>
      <c r="AL190" s="94">
        <f t="shared" si="305"/>
        <v>0</v>
      </c>
      <c r="AM190" s="94">
        <f>SUM(AM189:AM189)</f>
        <v>0</v>
      </c>
      <c r="AN190" s="94">
        <f>SUM(AN189:AN189)</f>
        <v>0</v>
      </c>
      <c r="AO190" s="94">
        <f>SUM(AO189:AO189)</f>
        <v>0</v>
      </c>
      <c r="AP190" s="94">
        <f>SUM(AP189:AP189)</f>
        <v>0</v>
      </c>
      <c r="AQ190" s="94">
        <f>SUM(AQ189:AQ189)</f>
        <v>0</v>
      </c>
      <c r="AR190" s="94">
        <f t="shared" ref="AR190" si="306">SUM(AR189:AR189)</f>
        <v>0</v>
      </c>
      <c r="AS190" s="94">
        <f>SUM(AS189:AS189)</f>
        <v>0</v>
      </c>
      <c r="AT190" s="94">
        <f t="shared" ref="AT190:AV190" si="307">SUM(AT189:AT189)</f>
        <v>0</v>
      </c>
      <c r="AU190" s="94">
        <f t="shared" si="307"/>
        <v>0</v>
      </c>
      <c r="AV190" s="94">
        <f t="shared" si="307"/>
        <v>0</v>
      </c>
      <c r="AW190" s="94">
        <f>SUM(AW189:AW189)</f>
        <v>0</v>
      </c>
      <c r="AX190" s="94">
        <f t="shared" ref="AX190:BF190" si="308">SUM(AX189:AX189)</f>
        <v>0</v>
      </c>
      <c r="AY190" s="94">
        <f t="shared" si="308"/>
        <v>0</v>
      </c>
      <c r="AZ190" s="94">
        <f t="shared" si="308"/>
        <v>0</v>
      </c>
      <c r="BA190" s="94">
        <f t="shared" si="308"/>
        <v>0</v>
      </c>
      <c r="BB190" s="94">
        <f t="shared" si="308"/>
        <v>0</v>
      </c>
      <c r="BC190" s="94">
        <f t="shared" si="308"/>
        <v>0</v>
      </c>
      <c r="BD190" s="94">
        <f t="shared" si="308"/>
        <v>0</v>
      </c>
      <c r="BE190" s="94">
        <f t="shared" si="308"/>
        <v>0</v>
      </c>
      <c r="BF190" s="94">
        <f t="shared" si="308"/>
        <v>0</v>
      </c>
    </row>
    <row r="191" spans="1:58" ht="14.1" customHeight="1">
      <c r="A191" s="75">
        <f t="shared" si="261"/>
        <v>185</v>
      </c>
      <c r="B191" s="114"/>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115"/>
      <c r="BF191" s="115"/>
    </row>
    <row r="192" spans="1:58" ht="14.1" customHeight="1">
      <c r="A192" s="75">
        <f t="shared" si="261"/>
        <v>186</v>
      </c>
      <c r="B192" s="93" t="s">
        <v>347</v>
      </c>
      <c r="C192" s="94">
        <f t="shared" ref="C192:V192" si="309">C187+C179+C190</f>
        <v>-354370732.91999996</v>
      </c>
      <c r="D192" s="94">
        <f t="shared" si="309"/>
        <v>0</v>
      </c>
      <c r="E192" s="94">
        <f t="shared" si="309"/>
        <v>0</v>
      </c>
      <c r="F192" s="94">
        <f t="shared" si="309"/>
        <v>0</v>
      </c>
      <c r="G192" s="94">
        <f t="shared" si="309"/>
        <v>0</v>
      </c>
      <c r="H192" s="94">
        <f t="shared" si="309"/>
        <v>0</v>
      </c>
      <c r="I192" s="94">
        <f t="shared" si="309"/>
        <v>0</v>
      </c>
      <c r="J192" s="94">
        <f t="shared" si="309"/>
        <v>0</v>
      </c>
      <c r="K192" s="94">
        <f t="shared" si="309"/>
        <v>0</v>
      </c>
      <c r="L192" s="94">
        <f t="shared" si="309"/>
        <v>0</v>
      </c>
      <c r="M192" s="94">
        <f t="shared" si="309"/>
        <v>0</v>
      </c>
      <c r="N192" s="94">
        <f t="shared" si="309"/>
        <v>0</v>
      </c>
      <c r="O192" s="94">
        <f t="shared" si="309"/>
        <v>0</v>
      </c>
      <c r="P192" s="94">
        <f t="shared" si="309"/>
        <v>0</v>
      </c>
      <c r="Q192" s="94">
        <f t="shared" si="309"/>
        <v>0</v>
      </c>
      <c r="R192" s="94">
        <f t="shared" si="309"/>
        <v>0</v>
      </c>
      <c r="S192" s="94">
        <f t="shared" si="309"/>
        <v>0</v>
      </c>
      <c r="T192" s="94">
        <f t="shared" si="309"/>
        <v>0</v>
      </c>
      <c r="U192" s="94">
        <f t="shared" si="309"/>
        <v>15976575.080000035</v>
      </c>
      <c r="V192" s="94">
        <f t="shared" si="309"/>
        <v>0</v>
      </c>
      <c r="W192" s="94">
        <f>W187+W179+W190</f>
        <v>0</v>
      </c>
      <c r="X192" s="94">
        <f t="shared" ref="X192:AD192" si="310">X187+X179+X190</f>
        <v>0</v>
      </c>
      <c r="Y192" s="94">
        <f>Y187+Y179+Y190</f>
        <v>0</v>
      </c>
      <c r="Z192" s="94">
        <f t="shared" si="310"/>
        <v>0</v>
      </c>
      <c r="AA192" s="94">
        <f t="shared" si="310"/>
        <v>0</v>
      </c>
      <c r="AB192" s="94">
        <f t="shared" si="310"/>
        <v>0</v>
      </c>
      <c r="AC192" s="94">
        <f t="shared" si="310"/>
        <v>0</v>
      </c>
      <c r="AD192" s="94">
        <f t="shared" si="310"/>
        <v>0</v>
      </c>
      <c r="AE192" s="94">
        <f>AE187+AE179+AE190</f>
        <v>0</v>
      </c>
      <c r="AF192" s="94">
        <f>AF187+AF179+AF190</f>
        <v>0</v>
      </c>
      <c r="AG192" s="94">
        <f>AG187+AG179+AG190</f>
        <v>0</v>
      </c>
      <c r="AH192" s="94">
        <f t="shared" ref="AH192:AL192" si="311">AH187+AH179+AH190</f>
        <v>0</v>
      </c>
      <c r="AI192" s="94">
        <f t="shared" si="311"/>
        <v>0</v>
      </c>
      <c r="AJ192" s="94">
        <f t="shared" si="311"/>
        <v>0</v>
      </c>
      <c r="AK192" s="94">
        <f t="shared" si="311"/>
        <v>0</v>
      </c>
      <c r="AL192" s="94">
        <f t="shared" si="311"/>
        <v>0</v>
      </c>
      <c r="AM192" s="94">
        <f>AM187+AM179+AM190</f>
        <v>0</v>
      </c>
      <c r="AN192" s="94">
        <f>AN187+AN179+AN190</f>
        <v>0</v>
      </c>
      <c r="AO192" s="94">
        <f>AO187+AO179+AO190</f>
        <v>0</v>
      </c>
      <c r="AP192" s="94">
        <f>AP187+AP179+AP190</f>
        <v>0</v>
      </c>
      <c r="AQ192" s="94">
        <f>AQ187+AQ179+AQ190</f>
        <v>0</v>
      </c>
      <c r="AR192" s="94">
        <f t="shared" ref="AR192" si="312">AR187+AR179+AR190</f>
        <v>0</v>
      </c>
      <c r="AS192" s="94">
        <f>AS187+AS179+AS190</f>
        <v>0</v>
      </c>
      <c r="AT192" s="94">
        <f t="shared" ref="AT192:AV192" si="313">AT187+AT179+AT190</f>
        <v>0</v>
      </c>
      <c r="AU192" s="94">
        <f t="shared" si="313"/>
        <v>-200045017</v>
      </c>
      <c r="AV192" s="94">
        <f t="shared" si="313"/>
        <v>0</v>
      </c>
      <c r="AW192" s="94">
        <f>AW187+AW179+AW190</f>
        <v>2147169.65</v>
      </c>
      <c r="AX192" s="94">
        <f t="shared" ref="AX192:BF192" si="314">AX187+AX179+AX190</f>
        <v>-2147169.65</v>
      </c>
      <c r="AY192" s="94">
        <f t="shared" si="314"/>
        <v>0</v>
      </c>
      <c r="AZ192" s="94">
        <f t="shared" si="314"/>
        <v>0</v>
      </c>
      <c r="BA192" s="94">
        <f t="shared" si="314"/>
        <v>0</v>
      </c>
      <c r="BB192" s="94">
        <f t="shared" si="314"/>
        <v>0</v>
      </c>
      <c r="BC192" s="94">
        <f t="shared" si="314"/>
        <v>0</v>
      </c>
      <c r="BD192" s="94">
        <f t="shared" si="314"/>
        <v>-166612406</v>
      </c>
      <c r="BE192" s="94">
        <f t="shared" si="314"/>
        <v>-3689885</v>
      </c>
      <c r="BF192" s="94">
        <f t="shared" si="314"/>
        <v>0</v>
      </c>
    </row>
    <row r="193" spans="1:58" ht="14.1" customHeight="1">
      <c r="A193" s="75">
        <f t="shared" si="261"/>
        <v>187</v>
      </c>
      <c r="B193" s="114"/>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c r="AU193" s="115"/>
      <c r="AV193" s="115"/>
      <c r="AW193" s="115"/>
      <c r="AX193" s="115"/>
      <c r="AY193" s="115"/>
      <c r="AZ193" s="115"/>
      <c r="BA193" s="115"/>
      <c r="BB193" s="115"/>
      <c r="BC193" s="115"/>
      <c r="BD193" s="115"/>
      <c r="BE193" s="115"/>
      <c r="BF193" s="115"/>
    </row>
    <row r="194" spans="1:58" ht="14.1" customHeight="1" thickBot="1">
      <c r="A194" s="75">
        <f t="shared" si="261"/>
        <v>188</v>
      </c>
      <c r="B194" s="116" t="s">
        <v>348</v>
      </c>
      <c r="C194" s="118">
        <f t="shared" ref="C194:V194" si="315">+C172-C192</f>
        <v>-247128108.88999999</v>
      </c>
      <c r="D194" s="119">
        <f t="shared" si="315"/>
        <v>0</v>
      </c>
      <c r="E194" s="119">
        <f t="shared" si="315"/>
        <v>0</v>
      </c>
      <c r="F194" s="118">
        <f t="shared" si="315"/>
        <v>0</v>
      </c>
      <c r="G194" s="118">
        <f t="shared" si="315"/>
        <v>0</v>
      </c>
      <c r="H194" s="118">
        <f t="shared" si="315"/>
        <v>0</v>
      </c>
      <c r="I194" s="118">
        <f t="shared" si="315"/>
        <v>0</v>
      </c>
      <c r="J194" s="118">
        <f t="shared" si="315"/>
        <v>0</v>
      </c>
      <c r="K194" s="119">
        <f t="shared" si="315"/>
        <v>0</v>
      </c>
      <c r="L194" s="118">
        <f t="shared" si="315"/>
        <v>0</v>
      </c>
      <c r="M194" s="119">
        <f t="shared" si="315"/>
        <v>0</v>
      </c>
      <c r="N194" s="118">
        <f t="shared" si="315"/>
        <v>0</v>
      </c>
      <c r="O194" s="118">
        <f t="shared" si="315"/>
        <v>0</v>
      </c>
      <c r="P194" s="118">
        <f t="shared" si="315"/>
        <v>0</v>
      </c>
      <c r="Q194" s="119">
        <f t="shared" si="315"/>
        <v>0</v>
      </c>
      <c r="R194" s="119">
        <f t="shared" si="315"/>
        <v>0</v>
      </c>
      <c r="S194" s="119">
        <f t="shared" si="315"/>
        <v>0</v>
      </c>
      <c r="T194" s="118">
        <f t="shared" si="315"/>
        <v>0</v>
      </c>
      <c r="U194" s="118">
        <f t="shared" si="315"/>
        <v>20826262.540000044</v>
      </c>
      <c r="V194" s="119">
        <f t="shared" si="315"/>
        <v>0</v>
      </c>
      <c r="W194" s="118">
        <f>+W172-W192</f>
        <v>0</v>
      </c>
      <c r="X194" s="118">
        <f t="shared" ref="X194:AD194" si="316">+X172-X192</f>
        <v>0</v>
      </c>
      <c r="Y194" s="118">
        <f>+Y172-Y192</f>
        <v>0</v>
      </c>
      <c r="Z194" s="118">
        <f t="shared" si="316"/>
        <v>0</v>
      </c>
      <c r="AA194" s="118">
        <f t="shared" si="316"/>
        <v>0</v>
      </c>
      <c r="AB194" s="118">
        <f t="shared" si="316"/>
        <v>0</v>
      </c>
      <c r="AC194" s="118">
        <f t="shared" si="316"/>
        <v>0</v>
      </c>
      <c r="AD194" s="118">
        <f t="shared" si="316"/>
        <v>0</v>
      </c>
      <c r="AE194" s="118">
        <f>+AE172-AE192</f>
        <v>0</v>
      </c>
      <c r="AF194" s="118">
        <f>+AF172-AF192</f>
        <v>0</v>
      </c>
      <c r="AG194" s="119">
        <f>+AG172-AG192</f>
        <v>0</v>
      </c>
      <c r="AH194" s="118">
        <f t="shared" ref="AH194:AL194" si="317">+AH172-AH192</f>
        <v>0</v>
      </c>
      <c r="AI194" s="118">
        <f t="shared" si="317"/>
        <v>0</v>
      </c>
      <c r="AJ194" s="119">
        <f t="shared" si="317"/>
        <v>0</v>
      </c>
      <c r="AK194" s="119">
        <f t="shared" si="317"/>
        <v>0</v>
      </c>
      <c r="AL194" s="118">
        <f t="shared" si="317"/>
        <v>0</v>
      </c>
      <c r="AM194" s="118">
        <f>+AM172-AM192</f>
        <v>0</v>
      </c>
      <c r="AN194" s="118">
        <f>+AN172-AN192</f>
        <v>0</v>
      </c>
      <c r="AO194" s="118">
        <f>+AO172-AO192</f>
        <v>0</v>
      </c>
      <c r="AP194" s="118">
        <f>+AP172-AP192</f>
        <v>0</v>
      </c>
      <c r="AQ194" s="119">
        <f>+AQ172-AQ192</f>
        <v>0</v>
      </c>
      <c r="AR194" s="119">
        <f t="shared" ref="AR194" si="318">+AR172-AR192</f>
        <v>0</v>
      </c>
      <c r="AS194" s="119">
        <f>+AS172-AS192</f>
        <v>0</v>
      </c>
      <c r="AT194" s="118">
        <f t="shared" ref="AT194:AV194" si="319">+AT172-AT192</f>
        <v>0</v>
      </c>
      <c r="AU194" s="118">
        <f t="shared" si="319"/>
        <v>-127654870.42999995</v>
      </c>
      <c r="AV194" s="118">
        <f t="shared" si="319"/>
        <v>18000000</v>
      </c>
      <c r="AW194" s="118">
        <f>+AW172-AW192</f>
        <v>58243858.970000006</v>
      </c>
      <c r="AX194" s="118">
        <f t="shared" ref="AX194:BF194" si="320">+AX172-AX192</f>
        <v>-58243858.970000006</v>
      </c>
      <c r="AY194" s="118">
        <f t="shared" si="320"/>
        <v>0</v>
      </c>
      <c r="AZ194" s="118">
        <f t="shared" si="320"/>
        <v>0</v>
      </c>
      <c r="BA194" s="118">
        <f t="shared" si="320"/>
        <v>0</v>
      </c>
      <c r="BB194" s="118">
        <f t="shared" si="320"/>
        <v>0</v>
      </c>
      <c r="BC194" s="118">
        <f t="shared" si="320"/>
        <v>0</v>
      </c>
      <c r="BD194" s="118">
        <f t="shared" si="320"/>
        <v>-157958343</v>
      </c>
      <c r="BE194" s="118">
        <f t="shared" si="320"/>
        <v>-341158</v>
      </c>
      <c r="BF194" s="118">
        <f t="shared" si="320"/>
        <v>0</v>
      </c>
    </row>
    <row r="195" spans="1:58" ht="14.1" customHeight="1" thickTop="1">
      <c r="A195" s="75">
        <f t="shared" si="261"/>
        <v>189</v>
      </c>
      <c r="B195" s="96"/>
      <c r="C195" s="96"/>
      <c r="D195" s="94"/>
      <c r="E195" s="94"/>
      <c r="F195" s="94"/>
      <c r="G195" s="94"/>
      <c r="H195" s="94"/>
      <c r="I195" s="94"/>
      <c r="J195" s="94"/>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row>
    <row r="196" spans="1:58" ht="14.1" customHeight="1">
      <c r="A196" s="75">
        <f t="shared" si="261"/>
        <v>190</v>
      </c>
      <c r="B196" s="81" t="s">
        <v>349</v>
      </c>
      <c r="C196" s="81"/>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c r="AK196" s="87"/>
      <c r="AL196" s="87"/>
      <c r="AM196" s="87"/>
      <c r="AN196" s="87"/>
      <c r="AO196" s="87"/>
      <c r="AP196" s="87"/>
      <c r="AQ196" s="87"/>
      <c r="AR196" s="87"/>
      <c r="AS196" s="87"/>
      <c r="AT196" s="87"/>
      <c r="AU196" s="87"/>
      <c r="AV196" s="87"/>
      <c r="AW196" s="87"/>
      <c r="AX196" s="87"/>
      <c r="AY196" s="87"/>
      <c r="AZ196" s="87"/>
      <c r="BA196" s="87"/>
      <c r="BB196" s="87"/>
      <c r="BC196" s="87"/>
      <c r="BD196" s="87"/>
      <c r="BE196" s="87"/>
      <c r="BF196" s="87"/>
    </row>
    <row r="197" spans="1:58" ht="14.1" customHeight="1">
      <c r="A197" s="75">
        <f t="shared" si="261"/>
        <v>191</v>
      </c>
      <c r="B197" s="76" t="s">
        <v>342</v>
      </c>
      <c r="C197" s="80">
        <f>SUM(D197:BF197)</f>
        <v>0</v>
      </c>
      <c r="D197" s="87">
        <v>0</v>
      </c>
      <c r="E197" s="87">
        <v>0</v>
      </c>
      <c r="F197" s="87">
        <v>0</v>
      </c>
      <c r="G197" s="87">
        <v>0</v>
      </c>
      <c r="H197" s="87">
        <v>0</v>
      </c>
      <c r="I197" s="87">
        <v>0</v>
      </c>
      <c r="J197" s="87">
        <v>0</v>
      </c>
      <c r="K197" s="87">
        <v>0</v>
      </c>
      <c r="L197" s="87">
        <v>0</v>
      </c>
      <c r="M197" s="87">
        <v>0</v>
      </c>
      <c r="N197" s="87">
        <v>0</v>
      </c>
      <c r="O197" s="87">
        <v>0</v>
      </c>
      <c r="P197" s="87">
        <v>0</v>
      </c>
      <c r="Q197" s="87">
        <v>0</v>
      </c>
      <c r="R197" s="87">
        <v>0</v>
      </c>
      <c r="S197" s="87">
        <v>0</v>
      </c>
      <c r="T197" s="87">
        <v>0</v>
      </c>
      <c r="U197" s="87">
        <v>0</v>
      </c>
      <c r="V197" s="87">
        <v>0</v>
      </c>
      <c r="W197" s="87">
        <v>0</v>
      </c>
      <c r="X197" s="87">
        <v>0</v>
      </c>
      <c r="Y197" s="87">
        <v>0</v>
      </c>
      <c r="Z197" s="87">
        <v>0</v>
      </c>
      <c r="AA197" s="87">
        <v>0</v>
      </c>
      <c r="AB197" s="87">
        <v>0</v>
      </c>
      <c r="AC197" s="87">
        <v>0</v>
      </c>
      <c r="AD197" s="87">
        <v>0</v>
      </c>
      <c r="AE197" s="87">
        <v>0</v>
      </c>
      <c r="AF197" s="87">
        <v>0</v>
      </c>
      <c r="AG197" s="87">
        <v>0</v>
      </c>
      <c r="AH197" s="87">
        <v>0</v>
      </c>
      <c r="AI197" s="87">
        <v>0</v>
      </c>
      <c r="AJ197" s="87">
        <v>0</v>
      </c>
      <c r="AK197" s="87">
        <v>0</v>
      </c>
      <c r="AL197" s="87">
        <v>0</v>
      </c>
      <c r="AM197" s="87">
        <v>0</v>
      </c>
      <c r="AN197" s="87">
        <v>0</v>
      </c>
      <c r="AO197" s="87">
        <v>0</v>
      </c>
      <c r="AP197" s="87">
        <v>0</v>
      </c>
      <c r="AQ197" s="87">
        <v>0</v>
      </c>
      <c r="AR197" s="87">
        <v>0</v>
      </c>
      <c r="AS197" s="87">
        <v>0</v>
      </c>
      <c r="AT197" s="87">
        <v>0</v>
      </c>
      <c r="AU197" s="87">
        <v>0</v>
      </c>
      <c r="AV197" s="87">
        <v>0</v>
      </c>
      <c r="AW197" s="87">
        <v>0</v>
      </c>
      <c r="AX197" s="87">
        <v>0</v>
      </c>
      <c r="AY197" s="87">
        <v>0</v>
      </c>
      <c r="AZ197" s="87">
        <v>0</v>
      </c>
      <c r="BA197" s="87">
        <v>0</v>
      </c>
      <c r="BB197" s="87">
        <v>0</v>
      </c>
      <c r="BC197" s="87">
        <v>0</v>
      </c>
      <c r="BD197" s="87">
        <v>0</v>
      </c>
      <c r="BE197" s="87">
        <v>0</v>
      </c>
      <c r="BF197" s="87">
        <v>0</v>
      </c>
    </row>
    <row r="198" spans="1:58" ht="14.1" customHeight="1">
      <c r="A198" s="75">
        <f t="shared" si="261"/>
        <v>192</v>
      </c>
      <c r="B198" s="90" t="s">
        <v>351</v>
      </c>
      <c r="C198" s="80">
        <f>SUM(D198:BF198)</f>
        <v>0</v>
      </c>
      <c r="D198" s="87">
        <v>0</v>
      </c>
      <c r="E198" s="87">
        <v>0</v>
      </c>
      <c r="F198" s="87">
        <v>0</v>
      </c>
      <c r="G198" s="87">
        <v>0</v>
      </c>
      <c r="H198" s="87">
        <v>0</v>
      </c>
      <c r="I198" s="87">
        <v>0</v>
      </c>
      <c r="J198" s="87">
        <v>0</v>
      </c>
      <c r="K198" s="87">
        <v>0</v>
      </c>
      <c r="L198" s="87">
        <v>0</v>
      </c>
      <c r="M198" s="87">
        <v>0</v>
      </c>
      <c r="N198" s="87">
        <v>0</v>
      </c>
      <c r="O198" s="87">
        <v>0</v>
      </c>
      <c r="P198" s="87">
        <v>0</v>
      </c>
      <c r="Q198" s="87">
        <v>0</v>
      </c>
      <c r="R198" s="87">
        <v>0</v>
      </c>
      <c r="S198" s="87">
        <v>0</v>
      </c>
      <c r="T198" s="87">
        <v>0</v>
      </c>
      <c r="U198" s="87">
        <v>0</v>
      </c>
      <c r="V198" s="87">
        <v>0</v>
      </c>
      <c r="W198" s="87">
        <v>0</v>
      </c>
      <c r="X198" s="87">
        <v>0</v>
      </c>
      <c r="Y198" s="87">
        <v>0</v>
      </c>
      <c r="Z198" s="87">
        <v>0</v>
      </c>
      <c r="AA198" s="87">
        <v>0</v>
      </c>
      <c r="AB198" s="87">
        <v>0</v>
      </c>
      <c r="AC198" s="87">
        <v>0</v>
      </c>
      <c r="AD198" s="87">
        <v>0</v>
      </c>
      <c r="AE198" s="87">
        <v>0</v>
      </c>
      <c r="AF198" s="87">
        <v>0</v>
      </c>
      <c r="AG198" s="87">
        <v>0</v>
      </c>
      <c r="AH198" s="87">
        <v>0</v>
      </c>
      <c r="AI198" s="87">
        <v>0</v>
      </c>
      <c r="AJ198" s="87">
        <v>0</v>
      </c>
      <c r="AK198" s="87">
        <v>0</v>
      </c>
      <c r="AL198" s="87">
        <v>0</v>
      </c>
      <c r="AM198" s="87">
        <v>0</v>
      </c>
      <c r="AN198" s="87">
        <v>0</v>
      </c>
      <c r="AO198" s="87">
        <v>0</v>
      </c>
      <c r="AP198" s="87">
        <v>0</v>
      </c>
      <c r="AQ198" s="87">
        <v>0</v>
      </c>
      <c r="AR198" s="87">
        <v>0</v>
      </c>
      <c r="AS198" s="87">
        <v>0</v>
      </c>
      <c r="AT198" s="87">
        <v>0</v>
      </c>
      <c r="AU198" s="87">
        <v>0</v>
      </c>
      <c r="AV198" s="87">
        <v>0</v>
      </c>
      <c r="AW198" s="87">
        <v>0</v>
      </c>
      <c r="AX198" s="87">
        <v>0</v>
      </c>
      <c r="AY198" s="87">
        <v>0</v>
      </c>
      <c r="AZ198" s="87">
        <v>0</v>
      </c>
      <c r="BA198" s="87">
        <v>0</v>
      </c>
      <c r="BB198" s="87">
        <v>0</v>
      </c>
      <c r="BC198" s="87">
        <v>0</v>
      </c>
      <c r="BD198" s="87">
        <v>0</v>
      </c>
      <c r="BE198" s="87">
        <v>0</v>
      </c>
      <c r="BF198" s="87">
        <v>0</v>
      </c>
    </row>
    <row r="199" spans="1:58" ht="14.1" customHeight="1">
      <c r="A199" s="75">
        <f t="shared" si="261"/>
        <v>193</v>
      </c>
      <c r="B199" s="81" t="s">
        <v>352</v>
      </c>
      <c r="C199" s="110">
        <f t="shared" ref="C199:V199" si="321">SUM(C197:C198)</f>
        <v>0</v>
      </c>
      <c r="D199" s="110">
        <f t="shared" si="321"/>
        <v>0</v>
      </c>
      <c r="E199" s="110">
        <f t="shared" si="321"/>
        <v>0</v>
      </c>
      <c r="F199" s="110">
        <f t="shared" si="321"/>
        <v>0</v>
      </c>
      <c r="G199" s="110">
        <f t="shared" si="321"/>
        <v>0</v>
      </c>
      <c r="H199" s="110">
        <f t="shared" si="321"/>
        <v>0</v>
      </c>
      <c r="I199" s="110">
        <f t="shared" si="321"/>
        <v>0</v>
      </c>
      <c r="J199" s="110">
        <f t="shared" si="321"/>
        <v>0</v>
      </c>
      <c r="K199" s="110">
        <f t="shared" si="321"/>
        <v>0</v>
      </c>
      <c r="L199" s="110">
        <f t="shared" si="321"/>
        <v>0</v>
      </c>
      <c r="M199" s="110">
        <f t="shared" si="321"/>
        <v>0</v>
      </c>
      <c r="N199" s="110">
        <f t="shared" si="321"/>
        <v>0</v>
      </c>
      <c r="O199" s="110">
        <f t="shared" si="321"/>
        <v>0</v>
      </c>
      <c r="P199" s="110">
        <f t="shared" si="321"/>
        <v>0</v>
      </c>
      <c r="Q199" s="110">
        <f t="shared" si="321"/>
        <v>0</v>
      </c>
      <c r="R199" s="110">
        <f t="shared" si="321"/>
        <v>0</v>
      </c>
      <c r="S199" s="110">
        <f t="shared" si="321"/>
        <v>0</v>
      </c>
      <c r="T199" s="110">
        <f t="shared" si="321"/>
        <v>0</v>
      </c>
      <c r="U199" s="110">
        <f t="shared" si="321"/>
        <v>0</v>
      </c>
      <c r="V199" s="110">
        <f t="shared" si="321"/>
        <v>0</v>
      </c>
      <c r="W199" s="110">
        <f>SUM(W197:W198)</f>
        <v>0</v>
      </c>
      <c r="X199" s="110">
        <f t="shared" ref="X199:AD199" si="322">SUM(X197:X198)</f>
        <v>0</v>
      </c>
      <c r="Y199" s="110">
        <f>SUM(Y197:Y198)</f>
        <v>0</v>
      </c>
      <c r="Z199" s="110">
        <f t="shared" si="322"/>
        <v>0</v>
      </c>
      <c r="AA199" s="110">
        <f t="shared" si="322"/>
        <v>0</v>
      </c>
      <c r="AB199" s="110">
        <f t="shared" si="322"/>
        <v>0</v>
      </c>
      <c r="AC199" s="110">
        <f t="shared" si="322"/>
        <v>0</v>
      </c>
      <c r="AD199" s="110">
        <f t="shared" si="322"/>
        <v>0</v>
      </c>
      <c r="AE199" s="110">
        <f>SUM(AE197:AE198)</f>
        <v>0</v>
      </c>
      <c r="AF199" s="110">
        <f>SUM(AF197:AF198)</f>
        <v>0</v>
      </c>
      <c r="AG199" s="110">
        <f>SUM(AG197:AG198)</f>
        <v>0</v>
      </c>
      <c r="AH199" s="110">
        <f t="shared" ref="AH199:AL199" si="323">SUM(AH197:AH198)</f>
        <v>0</v>
      </c>
      <c r="AI199" s="110">
        <f t="shared" si="323"/>
        <v>0</v>
      </c>
      <c r="AJ199" s="110">
        <f t="shared" si="323"/>
        <v>0</v>
      </c>
      <c r="AK199" s="110">
        <f t="shared" si="323"/>
        <v>0</v>
      </c>
      <c r="AL199" s="110">
        <f t="shared" si="323"/>
        <v>0</v>
      </c>
      <c r="AM199" s="110">
        <f>SUM(AM197:AM198)</f>
        <v>0</v>
      </c>
      <c r="AN199" s="110">
        <f>SUM(AN197:AN198)</f>
        <v>0</v>
      </c>
      <c r="AO199" s="110">
        <f>SUM(AO197:AO198)</f>
        <v>0</v>
      </c>
      <c r="AP199" s="110">
        <f>SUM(AP197:AP198)</f>
        <v>0</v>
      </c>
      <c r="AQ199" s="110">
        <f>SUM(AQ197:AQ198)</f>
        <v>0</v>
      </c>
      <c r="AR199" s="110">
        <f t="shared" ref="AR199" si="324">SUM(AR197:AR198)</f>
        <v>0</v>
      </c>
      <c r="AS199" s="110">
        <f>SUM(AS197:AS198)</f>
        <v>0</v>
      </c>
      <c r="AT199" s="110">
        <f t="shared" ref="AT199:AV199" si="325">SUM(AT197:AT198)</f>
        <v>0</v>
      </c>
      <c r="AU199" s="110">
        <f t="shared" si="325"/>
        <v>0</v>
      </c>
      <c r="AV199" s="110">
        <f t="shared" si="325"/>
        <v>0</v>
      </c>
      <c r="AW199" s="110">
        <f>SUM(AW197:AW198)</f>
        <v>0</v>
      </c>
      <c r="AX199" s="110">
        <f t="shared" ref="AX199:BF199" si="326">SUM(AX197:AX198)</f>
        <v>0</v>
      </c>
      <c r="AY199" s="110">
        <f t="shared" si="326"/>
        <v>0</v>
      </c>
      <c r="AZ199" s="110">
        <f t="shared" si="326"/>
        <v>0</v>
      </c>
      <c r="BA199" s="110">
        <f t="shared" si="326"/>
        <v>0</v>
      </c>
      <c r="BB199" s="110">
        <f t="shared" si="326"/>
        <v>0</v>
      </c>
      <c r="BC199" s="110">
        <f t="shared" si="326"/>
        <v>0</v>
      </c>
      <c r="BD199" s="110">
        <f t="shared" si="326"/>
        <v>0</v>
      </c>
      <c r="BE199" s="110">
        <f t="shared" si="326"/>
        <v>0</v>
      </c>
      <c r="BF199" s="110">
        <f t="shared" si="326"/>
        <v>0</v>
      </c>
    </row>
    <row r="200" spans="1:58" ht="14.1" customHeight="1">
      <c r="A200" s="75">
        <f t="shared" si="261"/>
        <v>194</v>
      </c>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87"/>
      <c r="AH200" s="87"/>
      <c r="AI200" s="87"/>
      <c r="AJ200" s="87"/>
      <c r="AK200" s="87"/>
      <c r="AL200" s="87"/>
      <c r="AM200" s="87"/>
      <c r="AN200" s="87"/>
      <c r="AO200" s="87"/>
      <c r="AP200" s="87"/>
      <c r="AQ200" s="87"/>
      <c r="AR200" s="87"/>
      <c r="AS200" s="87"/>
      <c r="AT200" s="87"/>
      <c r="AU200" s="87"/>
      <c r="AV200" s="87"/>
      <c r="AW200" s="87"/>
      <c r="AX200" s="87"/>
      <c r="AY200" s="87"/>
      <c r="AZ200" s="87"/>
      <c r="BA200" s="87"/>
      <c r="BB200" s="87"/>
      <c r="BC200" s="87"/>
      <c r="BD200" s="87"/>
      <c r="BE200" s="87"/>
      <c r="BF200" s="87"/>
    </row>
    <row r="201" spans="1:58" ht="14.1" customHeight="1">
      <c r="A201" s="75">
        <f t="shared" si="261"/>
        <v>195</v>
      </c>
      <c r="B201" s="76" t="s">
        <v>331</v>
      </c>
      <c r="C201" s="80">
        <f>SUM(D201:BF201)</f>
        <v>107260.03000000026</v>
      </c>
      <c r="D201" s="87">
        <v>0</v>
      </c>
      <c r="E201" s="87">
        <v>0</v>
      </c>
      <c r="F201" s="87">
        <v>0</v>
      </c>
      <c r="G201" s="87">
        <v>0</v>
      </c>
      <c r="H201" s="87">
        <v>0</v>
      </c>
      <c r="I201" s="87">
        <v>0</v>
      </c>
      <c r="J201" s="87">
        <v>0</v>
      </c>
      <c r="K201" s="87">
        <v>0</v>
      </c>
      <c r="L201" s="87">
        <v>0</v>
      </c>
      <c r="M201" s="87">
        <v>0</v>
      </c>
      <c r="N201" s="87">
        <v>0</v>
      </c>
      <c r="O201" s="87">
        <v>0</v>
      </c>
      <c r="P201" s="87">
        <v>0</v>
      </c>
      <c r="Q201" s="87">
        <v>0</v>
      </c>
      <c r="R201" s="87">
        <v>0</v>
      </c>
      <c r="S201" s="87">
        <v>0</v>
      </c>
      <c r="T201" s="87">
        <v>0</v>
      </c>
      <c r="U201" s="87">
        <v>107260.03000000026</v>
      </c>
      <c r="V201" s="87">
        <v>0</v>
      </c>
      <c r="W201" s="87">
        <v>0</v>
      </c>
      <c r="X201" s="87">
        <v>0</v>
      </c>
      <c r="Y201" s="87">
        <v>0</v>
      </c>
      <c r="Z201" s="87">
        <v>0</v>
      </c>
      <c r="AA201" s="87">
        <v>0</v>
      </c>
      <c r="AB201" s="87">
        <v>0</v>
      </c>
      <c r="AC201" s="87">
        <v>0</v>
      </c>
      <c r="AD201" s="87">
        <v>0</v>
      </c>
      <c r="AE201" s="87">
        <v>0</v>
      </c>
      <c r="AF201" s="87">
        <v>0</v>
      </c>
      <c r="AG201" s="87">
        <v>0</v>
      </c>
      <c r="AH201" s="87">
        <v>0</v>
      </c>
      <c r="AI201" s="87">
        <v>0</v>
      </c>
      <c r="AJ201" s="87">
        <v>0</v>
      </c>
      <c r="AK201" s="87">
        <v>0</v>
      </c>
      <c r="AL201" s="87">
        <v>0</v>
      </c>
      <c r="AM201" s="87">
        <v>0</v>
      </c>
      <c r="AN201" s="87">
        <v>0</v>
      </c>
      <c r="AO201" s="87">
        <v>0</v>
      </c>
      <c r="AP201" s="87">
        <v>0</v>
      </c>
      <c r="AQ201" s="87">
        <v>0</v>
      </c>
      <c r="AR201" s="87">
        <v>0</v>
      </c>
      <c r="AS201" s="87">
        <v>0</v>
      </c>
      <c r="AT201" s="87">
        <v>0</v>
      </c>
      <c r="AU201" s="87">
        <v>0</v>
      </c>
      <c r="AV201" s="87">
        <v>0</v>
      </c>
      <c r="AW201" s="87">
        <v>0</v>
      </c>
      <c r="AX201" s="87">
        <v>0</v>
      </c>
      <c r="AY201" s="87">
        <v>0</v>
      </c>
      <c r="AZ201" s="87">
        <v>0</v>
      </c>
      <c r="BA201" s="87">
        <v>0</v>
      </c>
      <c r="BB201" s="87">
        <v>0</v>
      </c>
      <c r="BC201" s="87">
        <v>0</v>
      </c>
      <c r="BD201" s="87">
        <v>0</v>
      </c>
      <c r="BE201" s="87">
        <v>0</v>
      </c>
      <c r="BF201" s="87">
        <v>0</v>
      </c>
    </row>
    <row r="202" spans="1:58" ht="14.1" customHeight="1">
      <c r="A202" s="75">
        <f t="shared" si="261"/>
        <v>196</v>
      </c>
      <c r="B202" s="90" t="s">
        <v>353</v>
      </c>
      <c r="C202" s="80">
        <f>SUM(D202:BF202)</f>
        <v>3472.9500000000407</v>
      </c>
      <c r="D202" s="87">
        <v>0</v>
      </c>
      <c r="E202" s="87">
        <v>0</v>
      </c>
      <c r="F202" s="87">
        <v>0</v>
      </c>
      <c r="G202" s="87">
        <v>0</v>
      </c>
      <c r="H202" s="87">
        <v>0</v>
      </c>
      <c r="I202" s="87">
        <v>0</v>
      </c>
      <c r="J202" s="87">
        <v>0</v>
      </c>
      <c r="K202" s="87">
        <v>0</v>
      </c>
      <c r="L202" s="87">
        <v>0</v>
      </c>
      <c r="M202" s="87">
        <v>0</v>
      </c>
      <c r="N202" s="87">
        <v>0</v>
      </c>
      <c r="O202" s="87">
        <v>0</v>
      </c>
      <c r="P202" s="87">
        <v>0</v>
      </c>
      <c r="Q202" s="87">
        <v>0</v>
      </c>
      <c r="R202" s="87">
        <v>0</v>
      </c>
      <c r="S202" s="87">
        <v>0</v>
      </c>
      <c r="T202" s="87">
        <v>0</v>
      </c>
      <c r="U202" s="87">
        <v>3472.9500000000407</v>
      </c>
      <c r="V202" s="87">
        <v>0</v>
      </c>
      <c r="W202" s="87">
        <v>0</v>
      </c>
      <c r="X202" s="87">
        <v>0</v>
      </c>
      <c r="Y202" s="87">
        <v>0</v>
      </c>
      <c r="Z202" s="87">
        <v>0</v>
      </c>
      <c r="AA202" s="87">
        <v>0</v>
      </c>
      <c r="AB202" s="87">
        <v>0</v>
      </c>
      <c r="AC202" s="87">
        <v>0</v>
      </c>
      <c r="AD202" s="87">
        <v>0</v>
      </c>
      <c r="AE202" s="87">
        <v>0</v>
      </c>
      <c r="AF202" s="87">
        <v>0</v>
      </c>
      <c r="AG202" s="87">
        <v>0</v>
      </c>
      <c r="AH202" s="87">
        <v>0</v>
      </c>
      <c r="AI202" s="87">
        <v>0</v>
      </c>
      <c r="AJ202" s="87">
        <v>0</v>
      </c>
      <c r="AK202" s="87">
        <v>0</v>
      </c>
      <c r="AL202" s="87">
        <v>0</v>
      </c>
      <c r="AM202" s="87">
        <v>0</v>
      </c>
      <c r="AN202" s="87">
        <v>0</v>
      </c>
      <c r="AO202" s="87">
        <v>0</v>
      </c>
      <c r="AP202" s="87">
        <v>0</v>
      </c>
      <c r="AQ202" s="87">
        <v>0</v>
      </c>
      <c r="AR202" s="87">
        <v>0</v>
      </c>
      <c r="AS202" s="87">
        <v>0</v>
      </c>
      <c r="AT202" s="87">
        <v>0</v>
      </c>
      <c r="AU202" s="87">
        <v>0</v>
      </c>
      <c r="AV202" s="87">
        <v>0</v>
      </c>
      <c r="AW202" s="87">
        <v>0</v>
      </c>
      <c r="AX202" s="87">
        <v>0</v>
      </c>
      <c r="AY202" s="87">
        <v>0</v>
      </c>
      <c r="AZ202" s="87">
        <v>0</v>
      </c>
      <c r="BA202" s="87">
        <v>0</v>
      </c>
      <c r="BB202" s="87">
        <v>0</v>
      </c>
      <c r="BC202" s="87">
        <v>0</v>
      </c>
      <c r="BD202" s="87">
        <v>0</v>
      </c>
      <c r="BE202" s="87">
        <v>0</v>
      </c>
      <c r="BF202" s="87">
        <v>0</v>
      </c>
    </row>
    <row r="203" spans="1:58" ht="14.1" customHeight="1">
      <c r="A203" s="75">
        <f t="shared" ref="A203:A266" si="327">+A202+1</f>
        <v>197</v>
      </c>
      <c r="B203" s="93" t="s">
        <v>354</v>
      </c>
      <c r="C203" s="110">
        <f t="shared" ref="C203:V203" si="328">SUM(C201:C202)</f>
        <v>110732.9800000003</v>
      </c>
      <c r="D203" s="110">
        <f t="shared" si="328"/>
        <v>0</v>
      </c>
      <c r="E203" s="110">
        <f t="shared" si="328"/>
        <v>0</v>
      </c>
      <c r="F203" s="110">
        <f t="shared" si="328"/>
        <v>0</v>
      </c>
      <c r="G203" s="110">
        <f t="shared" si="328"/>
        <v>0</v>
      </c>
      <c r="H203" s="110">
        <f t="shared" si="328"/>
        <v>0</v>
      </c>
      <c r="I203" s="110">
        <f t="shared" si="328"/>
        <v>0</v>
      </c>
      <c r="J203" s="110">
        <f t="shared" si="328"/>
        <v>0</v>
      </c>
      <c r="K203" s="110">
        <f t="shared" si="328"/>
        <v>0</v>
      </c>
      <c r="L203" s="110">
        <f t="shared" si="328"/>
        <v>0</v>
      </c>
      <c r="M203" s="110">
        <f t="shared" si="328"/>
        <v>0</v>
      </c>
      <c r="N203" s="110">
        <f t="shared" si="328"/>
        <v>0</v>
      </c>
      <c r="O203" s="110">
        <f t="shared" si="328"/>
        <v>0</v>
      </c>
      <c r="P203" s="110">
        <f t="shared" si="328"/>
        <v>0</v>
      </c>
      <c r="Q203" s="110">
        <f t="shared" si="328"/>
        <v>0</v>
      </c>
      <c r="R203" s="110">
        <f t="shared" si="328"/>
        <v>0</v>
      </c>
      <c r="S203" s="110">
        <f t="shared" si="328"/>
        <v>0</v>
      </c>
      <c r="T203" s="110">
        <f t="shared" si="328"/>
        <v>0</v>
      </c>
      <c r="U203" s="110">
        <f t="shared" si="328"/>
        <v>110732.9800000003</v>
      </c>
      <c r="V203" s="110">
        <f t="shared" si="328"/>
        <v>0</v>
      </c>
      <c r="W203" s="110">
        <f>SUM(W201:W202)</f>
        <v>0</v>
      </c>
      <c r="X203" s="110">
        <f t="shared" ref="X203:AD203" si="329">SUM(X201:X202)</f>
        <v>0</v>
      </c>
      <c r="Y203" s="110">
        <f>SUM(Y201:Y202)</f>
        <v>0</v>
      </c>
      <c r="Z203" s="110">
        <f t="shared" si="329"/>
        <v>0</v>
      </c>
      <c r="AA203" s="110">
        <f t="shared" si="329"/>
        <v>0</v>
      </c>
      <c r="AB203" s="110">
        <f t="shared" si="329"/>
        <v>0</v>
      </c>
      <c r="AC203" s="110">
        <f t="shared" si="329"/>
        <v>0</v>
      </c>
      <c r="AD203" s="110">
        <f t="shared" si="329"/>
        <v>0</v>
      </c>
      <c r="AE203" s="110">
        <f>SUM(AE201:AE202)</f>
        <v>0</v>
      </c>
      <c r="AF203" s="110">
        <f>SUM(AF201:AF202)</f>
        <v>0</v>
      </c>
      <c r="AG203" s="110">
        <f>SUM(AG201:AG202)</f>
        <v>0</v>
      </c>
      <c r="AH203" s="110">
        <f t="shared" ref="AH203:AL203" si="330">SUM(AH201:AH202)</f>
        <v>0</v>
      </c>
      <c r="AI203" s="110">
        <f t="shared" si="330"/>
        <v>0</v>
      </c>
      <c r="AJ203" s="110">
        <f t="shared" si="330"/>
        <v>0</v>
      </c>
      <c r="AK203" s="110">
        <f t="shared" si="330"/>
        <v>0</v>
      </c>
      <c r="AL203" s="110">
        <f t="shared" si="330"/>
        <v>0</v>
      </c>
      <c r="AM203" s="110">
        <f>SUM(AM201:AM202)</f>
        <v>0</v>
      </c>
      <c r="AN203" s="110">
        <f>SUM(AN201:AN202)</f>
        <v>0</v>
      </c>
      <c r="AO203" s="110">
        <f>SUM(AO201:AO202)</f>
        <v>0</v>
      </c>
      <c r="AP203" s="110">
        <f>SUM(AP201:AP202)</f>
        <v>0</v>
      </c>
      <c r="AQ203" s="110">
        <f>SUM(AQ201:AQ202)</f>
        <v>0</v>
      </c>
      <c r="AR203" s="110">
        <f t="shared" ref="AR203" si="331">SUM(AR201:AR202)</f>
        <v>0</v>
      </c>
      <c r="AS203" s="110">
        <f>SUM(AS201:AS202)</f>
        <v>0</v>
      </c>
      <c r="AT203" s="110">
        <f t="shared" ref="AT203:AV203" si="332">SUM(AT201:AT202)</f>
        <v>0</v>
      </c>
      <c r="AU203" s="110">
        <f t="shared" si="332"/>
        <v>0</v>
      </c>
      <c r="AV203" s="110">
        <f t="shared" si="332"/>
        <v>0</v>
      </c>
      <c r="AW203" s="110">
        <f>SUM(AW201:AW202)</f>
        <v>0</v>
      </c>
      <c r="AX203" s="110">
        <f t="shared" ref="AX203:BF203" si="333">SUM(AX201:AX202)</f>
        <v>0</v>
      </c>
      <c r="AY203" s="110">
        <f t="shared" si="333"/>
        <v>0</v>
      </c>
      <c r="AZ203" s="110">
        <f t="shared" si="333"/>
        <v>0</v>
      </c>
      <c r="BA203" s="110">
        <f t="shared" si="333"/>
        <v>0</v>
      </c>
      <c r="BB203" s="110">
        <f t="shared" si="333"/>
        <v>0</v>
      </c>
      <c r="BC203" s="110">
        <f t="shared" si="333"/>
        <v>0</v>
      </c>
      <c r="BD203" s="110">
        <f t="shared" si="333"/>
        <v>0</v>
      </c>
      <c r="BE203" s="110">
        <f t="shared" si="333"/>
        <v>0</v>
      </c>
      <c r="BF203" s="110">
        <f t="shared" si="333"/>
        <v>0</v>
      </c>
    </row>
    <row r="204" spans="1:58" ht="14.1" customHeight="1">
      <c r="A204" s="75">
        <f t="shared" si="327"/>
        <v>198</v>
      </c>
      <c r="B204" s="96"/>
      <c r="C204" s="80"/>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87"/>
      <c r="AH204" s="87"/>
      <c r="AI204" s="87"/>
      <c r="AJ204" s="87"/>
      <c r="AK204" s="87"/>
      <c r="AL204" s="87"/>
      <c r="AM204" s="87"/>
      <c r="AN204" s="87"/>
      <c r="AO204" s="87"/>
      <c r="AP204" s="87"/>
      <c r="AQ204" s="87"/>
      <c r="AR204" s="87"/>
      <c r="AS204" s="87"/>
      <c r="AT204" s="87"/>
      <c r="AU204" s="87"/>
      <c r="AV204" s="87"/>
      <c r="AW204" s="87"/>
      <c r="AX204" s="87"/>
      <c r="AY204" s="87"/>
      <c r="AZ204" s="87"/>
      <c r="BA204" s="87"/>
      <c r="BB204" s="87"/>
      <c r="BC204" s="87"/>
      <c r="BD204" s="87"/>
      <c r="BE204" s="87"/>
      <c r="BF204" s="87"/>
    </row>
    <row r="205" spans="1:58" ht="14.1" customHeight="1">
      <c r="A205" s="75">
        <f t="shared" si="327"/>
        <v>199</v>
      </c>
      <c r="B205" s="76" t="s">
        <v>334</v>
      </c>
      <c r="C205" s="80">
        <f>SUM(D205:BF205)</f>
        <v>1459294.1099999994</v>
      </c>
      <c r="D205" s="87">
        <v>0</v>
      </c>
      <c r="E205" s="87">
        <v>0</v>
      </c>
      <c r="F205" s="87">
        <v>0</v>
      </c>
      <c r="G205" s="87">
        <v>0</v>
      </c>
      <c r="H205" s="87">
        <v>0</v>
      </c>
      <c r="I205" s="87">
        <v>0</v>
      </c>
      <c r="J205" s="87">
        <v>0</v>
      </c>
      <c r="K205" s="87">
        <v>0</v>
      </c>
      <c r="L205" s="87">
        <v>0</v>
      </c>
      <c r="M205" s="87">
        <v>0</v>
      </c>
      <c r="N205" s="87">
        <v>0</v>
      </c>
      <c r="O205" s="87">
        <v>0</v>
      </c>
      <c r="P205" s="87">
        <v>0</v>
      </c>
      <c r="Q205" s="87">
        <v>0</v>
      </c>
      <c r="R205" s="87">
        <v>0</v>
      </c>
      <c r="S205" s="87">
        <v>0</v>
      </c>
      <c r="T205" s="87">
        <v>0</v>
      </c>
      <c r="U205" s="87">
        <v>1459294.1099999994</v>
      </c>
      <c r="V205" s="87">
        <v>0</v>
      </c>
      <c r="W205" s="87">
        <v>0</v>
      </c>
      <c r="X205" s="87">
        <v>0</v>
      </c>
      <c r="Y205" s="87">
        <v>0</v>
      </c>
      <c r="Z205" s="87">
        <v>0</v>
      </c>
      <c r="AA205" s="87">
        <v>0</v>
      </c>
      <c r="AB205" s="87">
        <v>0</v>
      </c>
      <c r="AC205" s="87">
        <v>0</v>
      </c>
      <c r="AD205" s="87">
        <v>0</v>
      </c>
      <c r="AE205" s="87">
        <v>0</v>
      </c>
      <c r="AF205" s="87">
        <v>0</v>
      </c>
      <c r="AG205" s="87">
        <v>0</v>
      </c>
      <c r="AH205" s="87">
        <v>0</v>
      </c>
      <c r="AI205" s="87">
        <v>0</v>
      </c>
      <c r="AJ205" s="87">
        <v>0</v>
      </c>
      <c r="AK205" s="87">
        <v>0</v>
      </c>
      <c r="AL205" s="87">
        <v>0</v>
      </c>
      <c r="AM205" s="87">
        <v>0</v>
      </c>
      <c r="AN205" s="87">
        <v>0</v>
      </c>
      <c r="AO205" s="87">
        <v>0</v>
      </c>
      <c r="AP205" s="87">
        <v>0</v>
      </c>
      <c r="AQ205" s="87">
        <v>0</v>
      </c>
      <c r="AR205" s="87">
        <v>0</v>
      </c>
      <c r="AS205" s="87">
        <v>0</v>
      </c>
      <c r="AT205" s="87">
        <v>0</v>
      </c>
      <c r="AU205" s="87">
        <v>0</v>
      </c>
      <c r="AV205" s="87">
        <v>0</v>
      </c>
      <c r="AW205" s="87">
        <v>0</v>
      </c>
      <c r="AX205" s="87">
        <v>0</v>
      </c>
      <c r="AY205" s="87">
        <v>0</v>
      </c>
      <c r="AZ205" s="87">
        <v>0</v>
      </c>
      <c r="BA205" s="87">
        <v>0</v>
      </c>
      <c r="BB205" s="87">
        <v>0</v>
      </c>
      <c r="BC205" s="87">
        <v>0</v>
      </c>
      <c r="BD205" s="87">
        <v>0</v>
      </c>
      <c r="BE205" s="87">
        <v>0</v>
      </c>
      <c r="BF205" s="87">
        <v>0</v>
      </c>
    </row>
    <row r="206" spans="1:58" ht="14.1" customHeight="1">
      <c r="A206" s="75">
        <f t="shared" si="327"/>
        <v>200</v>
      </c>
      <c r="B206" s="114" t="s">
        <v>351</v>
      </c>
      <c r="C206" s="80">
        <f>SUM(D206:BF206)</f>
        <v>72944.110000000335</v>
      </c>
      <c r="D206" s="87">
        <v>0</v>
      </c>
      <c r="E206" s="87">
        <v>0</v>
      </c>
      <c r="F206" s="87">
        <v>0</v>
      </c>
      <c r="G206" s="87">
        <v>0</v>
      </c>
      <c r="H206" s="87">
        <v>0</v>
      </c>
      <c r="I206" s="87">
        <v>0</v>
      </c>
      <c r="J206" s="87">
        <v>0</v>
      </c>
      <c r="K206" s="87">
        <v>0</v>
      </c>
      <c r="L206" s="87">
        <v>0</v>
      </c>
      <c r="M206" s="87">
        <v>0</v>
      </c>
      <c r="N206" s="87">
        <v>0</v>
      </c>
      <c r="O206" s="87">
        <v>0</v>
      </c>
      <c r="P206" s="87">
        <v>0</v>
      </c>
      <c r="Q206" s="87">
        <v>0</v>
      </c>
      <c r="R206" s="87">
        <v>0</v>
      </c>
      <c r="S206" s="87">
        <v>0</v>
      </c>
      <c r="T206" s="87">
        <v>0</v>
      </c>
      <c r="U206" s="87">
        <v>72944.110000000335</v>
      </c>
      <c r="V206" s="87">
        <v>0</v>
      </c>
      <c r="W206" s="87">
        <v>0</v>
      </c>
      <c r="X206" s="87">
        <v>0</v>
      </c>
      <c r="Y206" s="87">
        <v>0</v>
      </c>
      <c r="Z206" s="87">
        <v>0</v>
      </c>
      <c r="AA206" s="87">
        <v>0</v>
      </c>
      <c r="AB206" s="87">
        <v>0</v>
      </c>
      <c r="AC206" s="87">
        <v>0</v>
      </c>
      <c r="AD206" s="87">
        <v>0</v>
      </c>
      <c r="AE206" s="87">
        <v>0</v>
      </c>
      <c r="AF206" s="87">
        <v>0</v>
      </c>
      <c r="AG206" s="87">
        <v>0</v>
      </c>
      <c r="AH206" s="87">
        <v>0</v>
      </c>
      <c r="AI206" s="87">
        <v>0</v>
      </c>
      <c r="AJ206" s="87">
        <v>0</v>
      </c>
      <c r="AK206" s="87">
        <v>0</v>
      </c>
      <c r="AL206" s="87">
        <v>0</v>
      </c>
      <c r="AM206" s="87">
        <v>0</v>
      </c>
      <c r="AN206" s="87">
        <v>0</v>
      </c>
      <c r="AO206" s="87">
        <v>0</v>
      </c>
      <c r="AP206" s="87">
        <v>0</v>
      </c>
      <c r="AQ206" s="87">
        <v>0</v>
      </c>
      <c r="AR206" s="87">
        <v>0</v>
      </c>
      <c r="AS206" s="87">
        <v>0</v>
      </c>
      <c r="AT206" s="87">
        <v>0</v>
      </c>
      <c r="AU206" s="87">
        <v>0</v>
      </c>
      <c r="AV206" s="87">
        <v>0</v>
      </c>
      <c r="AW206" s="87">
        <v>0</v>
      </c>
      <c r="AX206" s="87">
        <v>0</v>
      </c>
      <c r="AY206" s="87">
        <v>0</v>
      </c>
      <c r="AZ206" s="87">
        <v>0</v>
      </c>
      <c r="BA206" s="87">
        <v>0</v>
      </c>
      <c r="BB206" s="87">
        <v>0</v>
      </c>
      <c r="BC206" s="87">
        <v>0</v>
      </c>
      <c r="BD206" s="87">
        <v>0</v>
      </c>
      <c r="BE206" s="87">
        <v>0</v>
      </c>
      <c r="BF206" s="87">
        <v>0</v>
      </c>
    </row>
    <row r="207" spans="1:58" ht="14.1" customHeight="1">
      <c r="A207" s="75">
        <f t="shared" si="327"/>
        <v>201</v>
      </c>
      <c r="B207" s="81" t="s">
        <v>355</v>
      </c>
      <c r="C207" s="110">
        <f t="shared" ref="C207:V207" si="334">SUM(C205:C206)</f>
        <v>1532238.2199999997</v>
      </c>
      <c r="D207" s="110">
        <f t="shared" si="334"/>
        <v>0</v>
      </c>
      <c r="E207" s="110">
        <f t="shared" si="334"/>
        <v>0</v>
      </c>
      <c r="F207" s="110">
        <f t="shared" si="334"/>
        <v>0</v>
      </c>
      <c r="G207" s="110">
        <f t="shared" si="334"/>
        <v>0</v>
      </c>
      <c r="H207" s="110">
        <f t="shared" si="334"/>
        <v>0</v>
      </c>
      <c r="I207" s="110">
        <f t="shared" si="334"/>
        <v>0</v>
      </c>
      <c r="J207" s="110">
        <f t="shared" si="334"/>
        <v>0</v>
      </c>
      <c r="K207" s="110">
        <f t="shared" si="334"/>
        <v>0</v>
      </c>
      <c r="L207" s="110">
        <f t="shared" si="334"/>
        <v>0</v>
      </c>
      <c r="M207" s="110">
        <f t="shared" si="334"/>
        <v>0</v>
      </c>
      <c r="N207" s="110">
        <f t="shared" si="334"/>
        <v>0</v>
      </c>
      <c r="O207" s="110">
        <f t="shared" si="334"/>
        <v>0</v>
      </c>
      <c r="P207" s="110">
        <f t="shared" si="334"/>
        <v>0</v>
      </c>
      <c r="Q207" s="110">
        <f t="shared" si="334"/>
        <v>0</v>
      </c>
      <c r="R207" s="110">
        <f t="shared" si="334"/>
        <v>0</v>
      </c>
      <c r="S207" s="110">
        <f t="shared" si="334"/>
        <v>0</v>
      </c>
      <c r="T207" s="110">
        <f t="shared" si="334"/>
        <v>0</v>
      </c>
      <c r="U207" s="110">
        <f t="shared" si="334"/>
        <v>1532238.2199999997</v>
      </c>
      <c r="V207" s="110">
        <f t="shared" si="334"/>
        <v>0</v>
      </c>
      <c r="W207" s="110">
        <f>SUM(W205:W206)</f>
        <v>0</v>
      </c>
      <c r="X207" s="110">
        <f t="shared" ref="X207:AD207" si="335">SUM(X205:X206)</f>
        <v>0</v>
      </c>
      <c r="Y207" s="110">
        <f>SUM(Y205:Y206)</f>
        <v>0</v>
      </c>
      <c r="Z207" s="110">
        <f t="shared" si="335"/>
        <v>0</v>
      </c>
      <c r="AA207" s="110">
        <f t="shared" si="335"/>
        <v>0</v>
      </c>
      <c r="AB207" s="110">
        <f t="shared" si="335"/>
        <v>0</v>
      </c>
      <c r="AC207" s="110">
        <f t="shared" si="335"/>
        <v>0</v>
      </c>
      <c r="AD207" s="110">
        <f t="shared" si="335"/>
        <v>0</v>
      </c>
      <c r="AE207" s="110">
        <f>SUM(AE205:AE206)</f>
        <v>0</v>
      </c>
      <c r="AF207" s="110">
        <f>SUM(AF205:AF206)</f>
        <v>0</v>
      </c>
      <c r="AG207" s="110">
        <f>SUM(AG205:AG206)</f>
        <v>0</v>
      </c>
      <c r="AH207" s="110">
        <f t="shared" ref="AH207:AL207" si="336">SUM(AH205:AH206)</f>
        <v>0</v>
      </c>
      <c r="AI207" s="110">
        <f t="shared" si="336"/>
        <v>0</v>
      </c>
      <c r="AJ207" s="110">
        <f t="shared" si="336"/>
        <v>0</v>
      </c>
      <c r="AK207" s="110">
        <f t="shared" si="336"/>
        <v>0</v>
      </c>
      <c r="AL207" s="110">
        <f t="shared" si="336"/>
        <v>0</v>
      </c>
      <c r="AM207" s="110">
        <f>SUM(AM205:AM206)</f>
        <v>0</v>
      </c>
      <c r="AN207" s="110">
        <f>SUM(AN205:AN206)</f>
        <v>0</v>
      </c>
      <c r="AO207" s="110">
        <f>SUM(AO205:AO206)</f>
        <v>0</v>
      </c>
      <c r="AP207" s="110">
        <f>SUM(AP205:AP206)</f>
        <v>0</v>
      </c>
      <c r="AQ207" s="110">
        <f>SUM(AQ205:AQ206)</f>
        <v>0</v>
      </c>
      <c r="AR207" s="110">
        <f t="shared" ref="AR207" si="337">SUM(AR205:AR206)</f>
        <v>0</v>
      </c>
      <c r="AS207" s="110">
        <f>SUM(AS205:AS206)</f>
        <v>0</v>
      </c>
      <c r="AT207" s="110">
        <f t="shared" ref="AT207:AV207" si="338">SUM(AT205:AT206)</f>
        <v>0</v>
      </c>
      <c r="AU207" s="110">
        <f t="shared" si="338"/>
        <v>0</v>
      </c>
      <c r="AV207" s="110">
        <f t="shared" si="338"/>
        <v>0</v>
      </c>
      <c r="AW207" s="110">
        <f>SUM(AW205:AW206)</f>
        <v>0</v>
      </c>
      <c r="AX207" s="110">
        <f t="shared" ref="AX207:BF207" si="339">SUM(AX205:AX206)</f>
        <v>0</v>
      </c>
      <c r="AY207" s="110">
        <f t="shared" si="339"/>
        <v>0</v>
      </c>
      <c r="AZ207" s="110">
        <f t="shared" si="339"/>
        <v>0</v>
      </c>
      <c r="BA207" s="110">
        <f t="shared" si="339"/>
        <v>0</v>
      </c>
      <c r="BB207" s="110">
        <f t="shared" si="339"/>
        <v>0</v>
      </c>
      <c r="BC207" s="110">
        <f t="shared" si="339"/>
        <v>0</v>
      </c>
      <c r="BD207" s="110">
        <f t="shared" si="339"/>
        <v>0</v>
      </c>
      <c r="BE207" s="110">
        <f t="shared" si="339"/>
        <v>0</v>
      </c>
      <c r="BF207" s="110">
        <f t="shared" si="339"/>
        <v>0</v>
      </c>
    </row>
    <row r="208" spans="1:58" ht="14.1" customHeight="1">
      <c r="A208" s="75">
        <f t="shared" si="327"/>
        <v>202</v>
      </c>
      <c r="D208" s="87"/>
      <c r="E208" s="87"/>
      <c r="F208" s="87"/>
      <c r="G208" s="87"/>
      <c r="H208" s="87"/>
      <c r="I208" s="87"/>
      <c r="J208" s="87"/>
      <c r="K208" s="87"/>
      <c r="L208" s="87"/>
      <c r="M208" s="87"/>
      <c r="N208" s="87"/>
      <c r="O208" s="87"/>
      <c r="P208" s="87"/>
      <c r="Q208" s="87"/>
      <c r="R208" s="87"/>
      <c r="S208" s="87"/>
      <c r="T208" s="87"/>
      <c r="U208" s="87"/>
      <c r="V208" s="87"/>
      <c r="W208" s="87"/>
      <c r="X208" s="87"/>
      <c r="Y208" s="87"/>
      <c r="Z208" s="87"/>
      <c r="AA208" s="87"/>
      <c r="AB208" s="87"/>
      <c r="AC208" s="87"/>
      <c r="AD208" s="87"/>
      <c r="AE208" s="87"/>
      <c r="AF208" s="87"/>
      <c r="AG208" s="87"/>
      <c r="AH208" s="87"/>
      <c r="AI208" s="87"/>
      <c r="AJ208" s="87"/>
      <c r="AK208" s="87"/>
      <c r="AL208" s="87"/>
      <c r="AM208" s="87"/>
      <c r="AN208" s="87"/>
      <c r="AO208" s="87"/>
      <c r="AP208" s="87"/>
      <c r="AQ208" s="87"/>
      <c r="AR208" s="87"/>
      <c r="AS208" s="87"/>
      <c r="AT208" s="87"/>
      <c r="AU208" s="87"/>
      <c r="AV208" s="87"/>
      <c r="AW208" s="87"/>
      <c r="AX208" s="87"/>
      <c r="AY208" s="87"/>
      <c r="AZ208" s="87"/>
      <c r="BA208" s="87"/>
      <c r="BB208" s="87"/>
      <c r="BC208" s="87"/>
      <c r="BD208" s="87"/>
      <c r="BE208" s="87"/>
      <c r="BF208" s="87"/>
    </row>
    <row r="209" spans="1:58" s="95" customFormat="1" ht="14.1" customHeight="1">
      <c r="A209" s="75">
        <f t="shared" si="327"/>
        <v>203</v>
      </c>
      <c r="B209" s="76" t="s">
        <v>336</v>
      </c>
      <c r="C209" s="80">
        <f>SUM(D209:BF209)</f>
        <v>52843.659999996424</v>
      </c>
      <c r="D209" s="87">
        <v>0</v>
      </c>
      <c r="E209" s="87">
        <v>0</v>
      </c>
      <c r="F209" s="87">
        <v>0</v>
      </c>
      <c r="G209" s="87">
        <v>0</v>
      </c>
      <c r="H209" s="87">
        <v>0</v>
      </c>
      <c r="I209" s="87">
        <v>0</v>
      </c>
      <c r="J209" s="87">
        <v>0</v>
      </c>
      <c r="K209" s="87">
        <v>0</v>
      </c>
      <c r="L209" s="87">
        <v>0</v>
      </c>
      <c r="M209" s="87">
        <v>0</v>
      </c>
      <c r="N209" s="87">
        <v>0</v>
      </c>
      <c r="O209" s="87">
        <v>0</v>
      </c>
      <c r="P209" s="87">
        <v>0</v>
      </c>
      <c r="Q209" s="87">
        <v>0</v>
      </c>
      <c r="R209" s="87">
        <v>0</v>
      </c>
      <c r="S209" s="87">
        <v>0</v>
      </c>
      <c r="T209" s="87">
        <v>0</v>
      </c>
      <c r="U209" s="87">
        <v>52843.659999996424</v>
      </c>
      <c r="V209" s="87">
        <v>0</v>
      </c>
      <c r="W209" s="87">
        <v>0</v>
      </c>
      <c r="X209" s="87">
        <v>0</v>
      </c>
      <c r="Y209" s="87">
        <v>0</v>
      </c>
      <c r="Z209" s="87">
        <v>0</v>
      </c>
      <c r="AA209" s="87">
        <v>0</v>
      </c>
      <c r="AB209" s="87">
        <v>0</v>
      </c>
      <c r="AC209" s="87">
        <v>0</v>
      </c>
      <c r="AD209" s="87">
        <v>0</v>
      </c>
      <c r="AE209" s="87">
        <v>0</v>
      </c>
      <c r="AF209" s="87">
        <v>0</v>
      </c>
      <c r="AG209" s="87">
        <v>0</v>
      </c>
      <c r="AH209" s="87">
        <v>0</v>
      </c>
      <c r="AI209" s="87">
        <v>0</v>
      </c>
      <c r="AJ209" s="87">
        <v>0</v>
      </c>
      <c r="AK209" s="87">
        <v>0</v>
      </c>
      <c r="AL209" s="87">
        <v>0</v>
      </c>
      <c r="AM209" s="87">
        <v>0</v>
      </c>
      <c r="AN209" s="87">
        <v>0</v>
      </c>
      <c r="AO209" s="87">
        <v>0</v>
      </c>
      <c r="AP209" s="87">
        <v>0</v>
      </c>
      <c r="AQ209" s="87">
        <v>0</v>
      </c>
      <c r="AR209" s="87">
        <v>0</v>
      </c>
      <c r="AS209" s="87">
        <v>0</v>
      </c>
      <c r="AT209" s="87">
        <v>0</v>
      </c>
      <c r="AU209" s="87">
        <v>0</v>
      </c>
      <c r="AV209" s="87">
        <v>0</v>
      </c>
      <c r="AW209" s="87">
        <v>0</v>
      </c>
      <c r="AX209" s="87">
        <v>0</v>
      </c>
      <c r="AY209" s="87">
        <v>0</v>
      </c>
      <c r="AZ209" s="87">
        <v>0</v>
      </c>
      <c r="BA209" s="87">
        <v>0</v>
      </c>
      <c r="BB209" s="87">
        <v>0</v>
      </c>
      <c r="BC209" s="87">
        <v>0</v>
      </c>
      <c r="BD209" s="87">
        <v>0</v>
      </c>
      <c r="BE209" s="87">
        <v>0</v>
      </c>
      <c r="BF209" s="87">
        <v>0</v>
      </c>
    </row>
    <row r="210" spans="1:58" s="95" customFormat="1" ht="14.1" customHeight="1">
      <c r="A210" s="75">
        <f t="shared" si="327"/>
        <v>204</v>
      </c>
      <c r="B210" s="90" t="s">
        <v>351</v>
      </c>
      <c r="C210" s="80">
        <f>SUM(D210:BF210)</f>
        <v>2098.089999999851</v>
      </c>
      <c r="D210" s="87">
        <v>0</v>
      </c>
      <c r="E210" s="87">
        <v>0</v>
      </c>
      <c r="F210" s="87">
        <v>0</v>
      </c>
      <c r="G210" s="87">
        <v>0</v>
      </c>
      <c r="H210" s="87">
        <v>0</v>
      </c>
      <c r="I210" s="87">
        <v>0</v>
      </c>
      <c r="J210" s="87">
        <v>0</v>
      </c>
      <c r="K210" s="87">
        <v>0</v>
      </c>
      <c r="L210" s="87">
        <v>0</v>
      </c>
      <c r="M210" s="87">
        <v>0</v>
      </c>
      <c r="N210" s="87">
        <v>0</v>
      </c>
      <c r="O210" s="87">
        <v>0</v>
      </c>
      <c r="P210" s="87">
        <v>0</v>
      </c>
      <c r="Q210" s="87">
        <v>0</v>
      </c>
      <c r="R210" s="87">
        <v>0</v>
      </c>
      <c r="S210" s="87">
        <v>0</v>
      </c>
      <c r="T210" s="87">
        <v>0</v>
      </c>
      <c r="U210" s="87">
        <v>2098.089999999851</v>
      </c>
      <c r="V210" s="87">
        <v>0</v>
      </c>
      <c r="W210" s="87">
        <v>0</v>
      </c>
      <c r="X210" s="87">
        <v>0</v>
      </c>
      <c r="Y210" s="87">
        <v>0</v>
      </c>
      <c r="Z210" s="87">
        <v>0</v>
      </c>
      <c r="AA210" s="87">
        <v>0</v>
      </c>
      <c r="AB210" s="87">
        <v>0</v>
      </c>
      <c r="AC210" s="87">
        <v>0</v>
      </c>
      <c r="AD210" s="87">
        <v>0</v>
      </c>
      <c r="AE210" s="87">
        <v>0</v>
      </c>
      <c r="AF210" s="87">
        <v>0</v>
      </c>
      <c r="AG210" s="87">
        <v>0</v>
      </c>
      <c r="AH210" s="87">
        <v>0</v>
      </c>
      <c r="AI210" s="87">
        <v>0</v>
      </c>
      <c r="AJ210" s="87">
        <v>0</v>
      </c>
      <c r="AK210" s="87">
        <v>0</v>
      </c>
      <c r="AL210" s="87">
        <v>0</v>
      </c>
      <c r="AM210" s="87">
        <v>0</v>
      </c>
      <c r="AN210" s="87">
        <v>0</v>
      </c>
      <c r="AO210" s="87">
        <v>0</v>
      </c>
      <c r="AP210" s="87">
        <v>0</v>
      </c>
      <c r="AQ210" s="87">
        <v>0</v>
      </c>
      <c r="AR210" s="87">
        <v>0</v>
      </c>
      <c r="AS210" s="87">
        <v>0</v>
      </c>
      <c r="AT210" s="87">
        <v>0</v>
      </c>
      <c r="AU210" s="87">
        <v>0</v>
      </c>
      <c r="AV210" s="87">
        <v>0</v>
      </c>
      <c r="AW210" s="87">
        <v>0</v>
      </c>
      <c r="AX210" s="87">
        <v>0</v>
      </c>
      <c r="AY210" s="87">
        <v>0</v>
      </c>
      <c r="AZ210" s="87">
        <v>0</v>
      </c>
      <c r="BA210" s="87">
        <v>0</v>
      </c>
      <c r="BB210" s="87">
        <v>0</v>
      </c>
      <c r="BC210" s="87">
        <v>0</v>
      </c>
      <c r="BD210" s="87">
        <v>0</v>
      </c>
      <c r="BE210" s="87">
        <v>0</v>
      </c>
      <c r="BF210" s="87">
        <v>0</v>
      </c>
    </row>
    <row r="211" spans="1:58" s="95" customFormat="1" ht="14.1" customHeight="1">
      <c r="A211" s="75">
        <f t="shared" si="327"/>
        <v>205</v>
      </c>
      <c r="B211" s="81" t="s">
        <v>356</v>
      </c>
      <c r="C211" s="110">
        <f t="shared" ref="C211:V211" si="340">SUM(C209:C210)</f>
        <v>54941.749999996275</v>
      </c>
      <c r="D211" s="110">
        <f t="shared" si="340"/>
        <v>0</v>
      </c>
      <c r="E211" s="110">
        <f t="shared" si="340"/>
        <v>0</v>
      </c>
      <c r="F211" s="110">
        <f t="shared" si="340"/>
        <v>0</v>
      </c>
      <c r="G211" s="110">
        <f t="shared" si="340"/>
        <v>0</v>
      </c>
      <c r="H211" s="110">
        <f t="shared" si="340"/>
        <v>0</v>
      </c>
      <c r="I211" s="110">
        <f t="shared" si="340"/>
        <v>0</v>
      </c>
      <c r="J211" s="110">
        <f t="shared" si="340"/>
        <v>0</v>
      </c>
      <c r="K211" s="110">
        <f t="shared" si="340"/>
        <v>0</v>
      </c>
      <c r="L211" s="110">
        <f t="shared" si="340"/>
        <v>0</v>
      </c>
      <c r="M211" s="110">
        <f t="shared" si="340"/>
        <v>0</v>
      </c>
      <c r="N211" s="110">
        <f t="shared" si="340"/>
        <v>0</v>
      </c>
      <c r="O211" s="110">
        <f t="shared" si="340"/>
        <v>0</v>
      </c>
      <c r="P211" s="110">
        <f t="shared" si="340"/>
        <v>0</v>
      </c>
      <c r="Q211" s="110">
        <f t="shared" si="340"/>
        <v>0</v>
      </c>
      <c r="R211" s="110">
        <f t="shared" si="340"/>
        <v>0</v>
      </c>
      <c r="S211" s="110">
        <f t="shared" si="340"/>
        <v>0</v>
      </c>
      <c r="T211" s="110">
        <f t="shared" si="340"/>
        <v>0</v>
      </c>
      <c r="U211" s="110">
        <f t="shared" si="340"/>
        <v>54941.749999996275</v>
      </c>
      <c r="V211" s="110">
        <f t="shared" si="340"/>
        <v>0</v>
      </c>
      <c r="W211" s="110">
        <f>SUM(W209:W210)</f>
        <v>0</v>
      </c>
      <c r="X211" s="110">
        <f t="shared" ref="X211:AD211" si="341">SUM(X209:X210)</f>
        <v>0</v>
      </c>
      <c r="Y211" s="110">
        <f>SUM(Y209:Y210)</f>
        <v>0</v>
      </c>
      <c r="Z211" s="110">
        <f t="shared" si="341"/>
        <v>0</v>
      </c>
      <c r="AA211" s="110">
        <f t="shared" si="341"/>
        <v>0</v>
      </c>
      <c r="AB211" s="110">
        <f t="shared" si="341"/>
        <v>0</v>
      </c>
      <c r="AC211" s="110">
        <f t="shared" si="341"/>
        <v>0</v>
      </c>
      <c r="AD211" s="110">
        <f t="shared" si="341"/>
        <v>0</v>
      </c>
      <c r="AE211" s="110">
        <f>SUM(AE209:AE210)</f>
        <v>0</v>
      </c>
      <c r="AF211" s="110">
        <f>SUM(AF209:AF210)</f>
        <v>0</v>
      </c>
      <c r="AG211" s="110">
        <f>SUM(AG209:AG210)</f>
        <v>0</v>
      </c>
      <c r="AH211" s="110">
        <f t="shared" ref="AH211:AL211" si="342">SUM(AH209:AH210)</f>
        <v>0</v>
      </c>
      <c r="AI211" s="110">
        <f t="shared" si="342"/>
        <v>0</v>
      </c>
      <c r="AJ211" s="110">
        <f t="shared" si="342"/>
        <v>0</v>
      </c>
      <c r="AK211" s="110">
        <f t="shared" si="342"/>
        <v>0</v>
      </c>
      <c r="AL211" s="110">
        <f t="shared" si="342"/>
        <v>0</v>
      </c>
      <c r="AM211" s="110">
        <f>SUM(AM209:AM210)</f>
        <v>0</v>
      </c>
      <c r="AN211" s="110">
        <f>SUM(AN209:AN210)</f>
        <v>0</v>
      </c>
      <c r="AO211" s="110">
        <f>SUM(AO209:AO210)</f>
        <v>0</v>
      </c>
      <c r="AP211" s="110">
        <f>SUM(AP209:AP210)</f>
        <v>0</v>
      </c>
      <c r="AQ211" s="110">
        <f>SUM(AQ209:AQ210)</f>
        <v>0</v>
      </c>
      <c r="AR211" s="110">
        <f t="shared" ref="AR211" si="343">SUM(AR209:AR210)</f>
        <v>0</v>
      </c>
      <c r="AS211" s="110">
        <f>SUM(AS209:AS210)</f>
        <v>0</v>
      </c>
      <c r="AT211" s="110">
        <f t="shared" ref="AT211:AV211" si="344">SUM(AT209:AT210)</f>
        <v>0</v>
      </c>
      <c r="AU211" s="110">
        <f t="shared" si="344"/>
        <v>0</v>
      </c>
      <c r="AV211" s="110">
        <f t="shared" si="344"/>
        <v>0</v>
      </c>
      <c r="AW211" s="110">
        <f>SUM(AW209:AW210)</f>
        <v>0</v>
      </c>
      <c r="AX211" s="110">
        <f t="shared" ref="AX211:BF211" si="345">SUM(AX209:AX210)</f>
        <v>0</v>
      </c>
      <c r="AY211" s="110">
        <f t="shared" si="345"/>
        <v>0</v>
      </c>
      <c r="AZ211" s="110">
        <f t="shared" si="345"/>
        <v>0</v>
      </c>
      <c r="BA211" s="110">
        <f t="shared" si="345"/>
        <v>0</v>
      </c>
      <c r="BB211" s="110">
        <f t="shared" si="345"/>
        <v>0</v>
      </c>
      <c r="BC211" s="110">
        <f t="shared" si="345"/>
        <v>0</v>
      </c>
      <c r="BD211" s="110">
        <f t="shared" si="345"/>
        <v>0</v>
      </c>
      <c r="BE211" s="110">
        <f t="shared" si="345"/>
        <v>0</v>
      </c>
      <c r="BF211" s="110">
        <f t="shared" si="345"/>
        <v>0</v>
      </c>
    </row>
    <row r="212" spans="1:58" s="95" customFormat="1" ht="14.1" customHeight="1">
      <c r="A212" s="75">
        <f t="shared" si="327"/>
        <v>206</v>
      </c>
      <c r="B212" s="76"/>
      <c r="C212" s="76"/>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87"/>
      <c r="AH212" s="87"/>
      <c r="AI212" s="87"/>
      <c r="AJ212" s="87"/>
      <c r="AK212" s="87"/>
      <c r="AL212" s="87"/>
      <c r="AM212" s="87"/>
      <c r="AN212" s="87"/>
      <c r="AO212" s="87"/>
      <c r="AP212" s="87"/>
      <c r="AQ212" s="87"/>
      <c r="AR212" s="87"/>
      <c r="AS212" s="87"/>
      <c r="AT212" s="87"/>
      <c r="AU212" s="87"/>
      <c r="AV212" s="87"/>
      <c r="AW212" s="87"/>
      <c r="AX212" s="87"/>
      <c r="AY212" s="87"/>
      <c r="AZ212" s="87"/>
      <c r="BA212" s="87"/>
      <c r="BB212" s="87"/>
      <c r="BC212" s="87"/>
      <c r="BD212" s="87"/>
      <c r="BE212" s="87"/>
      <c r="BF212" s="87"/>
    </row>
    <row r="213" spans="1:58" s="95" customFormat="1" ht="14.1" customHeight="1">
      <c r="A213" s="75">
        <f t="shared" si="327"/>
        <v>207</v>
      </c>
      <c r="B213" s="76" t="s">
        <v>338</v>
      </c>
      <c r="C213" s="80">
        <f>SUM(D213:BF213)</f>
        <v>30079.85999999987</v>
      </c>
      <c r="D213" s="87">
        <v>0</v>
      </c>
      <c r="E213" s="87">
        <v>0</v>
      </c>
      <c r="F213" s="87">
        <v>0</v>
      </c>
      <c r="G213" s="87">
        <v>0</v>
      </c>
      <c r="H213" s="87">
        <v>0</v>
      </c>
      <c r="I213" s="87">
        <v>0</v>
      </c>
      <c r="J213" s="87">
        <v>0</v>
      </c>
      <c r="K213" s="87">
        <v>0</v>
      </c>
      <c r="L213" s="87">
        <v>0</v>
      </c>
      <c r="M213" s="87">
        <v>0</v>
      </c>
      <c r="N213" s="87">
        <v>0</v>
      </c>
      <c r="O213" s="87">
        <v>0</v>
      </c>
      <c r="P213" s="87">
        <v>0</v>
      </c>
      <c r="Q213" s="87">
        <v>0</v>
      </c>
      <c r="R213" s="87">
        <v>0</v>
      </c>
      <c r="S213" s="87">
        <v>0</v>
      </c>
      <c r="T213" s="87">
        <v>0</v>
      </c>
      <c r="U213" s="87">
        <v>30079.85999999987</v>
      </c>
      <c r="V213" s="87">
        <v>0</v>
      </c>
      <c r="W213" s="87">
        <v>0</v>
      </c>
      <c r="X213" s="87">
        <v>0</v>
      </c>
      <c r="Y213" s="87">
        <v>0</v>
      </c>
      <c r="Z213" s="87">
        <v>0</v>
      </c>
      <c r="AA213" s="87">
        <v>0</v>
      </c>
      <c r="AB213" s="87">
        <v>0</v>
      </c>
      <c r="AC213" s="87">
        <v>0</v>
      </c>
      <c r="AD213" s="87">
        <v>0</v>
      </c>
      <c r="AE213" s="87">
        <v>0</v>
      </c>
      <c r="AF213" s="87">
        <v>0</v>
      </c>
      <c r="AG213" s="87">
        <v>0</v>
      </c>
      <c r="AH213" s="87">
        <v>0</v>
      </c>
      <c r="AI213" s="87">
        <v>0</v>
      </c>
      <c r="AJ213" s="87">
        <v>0</v>
      </c>
      <c r="AK213" s="87">
        <v>0</v>
      </c>
      <c r="AL213" s="87">
        <v>0</v>
      </c>
      <c r="AM213" s="87">
        <v>0</v>
      </c>
      <c r="AN213" s="87">
        <v>0</v>
      </c>
      <c r="AO213" s="87">
        <v>0</v>
      </c>
      <c r="AP213" s="87">
        <v>0</v>
      </c>
      <c r="AQ213" s="87">
        <v>0</v>
      </c>
      <c r="AR213" s="87">
        <v>0</v>
      </c>
      <c r="AS213" s="87">
        <v>0</v>
      </c>
      <c r="AT213" s="87">
        <v>0</v>
      </c>
      <c r="AU213" s="87">
        <v>0</v>
      </c>
      <c r="AV213" s="87">
        <v>0</v>
      </c>
      <c r="AW213" s="87">
        <v>0</v>
      </c>
      <c r="AX213" s="87">
        <v>0</v>
      </c>
      <c r="AY213" s="87">
        <v>0</v>
      </c>
      <c r="AZ213" s="87">
        <v>0</v>
      </c>
      <c r="BA213" s="87">
        <v>0</v>
      </c>
      <c r="BB213" s="87">
        <v>0</v>
      </c>
      <c r="BC213" s="87">
        <v>0</v>
      </c>
      <c r="BD213" s="87">
        <v>0</v>
      </c>
      <c r="BE213" s="87">
        <v>0</v>
      </c>
      <c r="BF213" s="87">
        <v>0</v>
      </c>
    </row>
    <row r="214" spans="1:58" s="95" customFormat="1" ht="14.1" customHeight="1">
      <c r="A214" s="75">
        <f t="shared" si="327"/>
        <v>208</v>
      </c>
      <c r="B214" s="90" t="s">
        <v>351</v>
      </c>
      <c r="C214" s="80">
        <f>SUM(D214:BF214)</f>
        <v>492.88000000000466</v>
      </c>
      <c r="D214" s="87">
        <v>0</v>
      </c>
      <c r="E214" s="87">
        <v>0</v>
      </c>
      <c r="F214" s="87">
        <v>0</v>
      </c>
      <c r="G214" s="87">
        <v>0</v>
      </c>
      <c r="H214" s="87">
        <v>0</v>
      </c>
      <c r="I214" s="87">
        <v>0</v>
      </c>
      <c r="J214" s="87">
        <v>0</v>
      </c>
      <c r="K214" s="87">
        <v>0</v>
      </c>
      <c r="L214" s="87">
        <v>0</v>
      </c>
      <c r="M214" s="87">
        <v>0</v>
      </c>
      <c r="N214" s="87">
        <v>0</v>
      </c>
      <c r="O214" s="87">
        <v>0</v>
      </c>
      <c r="P214" s="87">
        <v>0</v>
      </c>
      <c r="Q214" s="87">
        <v>0</v>
      </c>
      <c r="R214" s="87">
        <v>0</v>
      </c>
      <c r="S214" s="87">
        <v>0</v>
      </c>
      <c r="T214" s="87">
        <v>0</v>
      </c>
      <c r="U214" s="87">
        <v>492.88000000000466</v>
      </c>
      <c r="V214" s="87">
        <v>0</v>
      </c>
      <c r="W214" s="87">
        <v>0</v>
      </c>
      <c r="X214" s="87">
        <v>0</v>
      </c>
      <c r="Y214" s="87">
        <v>0</v>
      </c>
      <c r="Z214" s="87">
        <v>0</v>
      </c>
      <c r="AA214" s="87">
        <v>0</v>
      </c>
      <c r="AB214" s="87">
        <v>0</v>
      </c>
      <c r="AC214" s="87">
        <v>0</v>
      </c>
      <c r="AD214" s="87">
        <v>0</v>
      </c>
      <c r="AE214" s="87">
        <v>0</v>
      </c>
      <c r="AF214" s="87">
        <v>0</v>
      </c>
      <c r="AG214" s="87">
        <v>0</v>
      </c>
      <c r="AH214" s="87">
        <v>0</v>
      </c>
      <c r="AI214" s="87">
        <v>0</v>
      </c>
      <c r="AJ214" s="87">
        <v>0</v>
      </c>
      <c r="AK214" s="87">
        <v>0</v>
      </c>
      <c r="AL214" s="87">
        <v>0</v>
      </c>
      <c r="AM214" s="87">
        <v>0</v>
      </c>
      <c r="AN214" s="87">
        <v>0</v>
      </c>
      <c r="AO214" s="87">
        <v>0</v>
      </c>
      <c r="AP214" s="87">
        <v>0</v>
      </c>
      <c r="AQ214" s="87">
        <v>0</v>
      </c>
      <c r="AR214" s="87">
        <v>0</v>
      </c>
      <c r="AS214" s="87">
        <v>0</v>
      </c>
      <c r="AT214" s="87">
        <v>0</v>
      </c>
      <c r="AU214" s="87">
        <v>0</v>
      </c>
      <c r="AV214" s="87">
        <v>0</v>
      </c>
      <c r="AW214" s="87">
        <v>0</v>
      </c>
      <c r="AX214" s="87">
        <v>0</v>
      </c>
      <c r="AY214" s="87">
        <v>0</v>
      </c>
      <c r="AZ214" s="87">
        <v>0</v>
      </c>
      <c r="BA214" s="87">
        <v>0</v>
      </c>
      <c r="BB214" s="87">
        <v>0</v>
      </c>
      <c r="BC214" s="87">
        <v>0</v>
      </c>
      <c r="BD214" s="87">
        <v>0</v>
      </c>
      <c r="BE214" s="87">
        <v>0</v>
      </c>
      <c r="BF214" s="87">
        <v>0</v>
      </c>
    </row>
    <row r="215" spans="1:58" s="95" customFormat="1" ht="14.1" customHeight="1">
      <c r="A215" s="75">
        <f t="shared" si="327"/>
        <v>209</v>
      </c>
      <c r="B215" s="81" t="s">
        <v>357</v>
      </c>
      <c r="C215" s="110">
        <f t="shared" ref="C215:V215" si="346">SUM(C213:C214)</f>
        <v>30572.739999999874</v>
      </c>
      <c r="D215" s="110">
        <f t="shared" si="346"/>
        <v>0</v>
      </c>
      <c r="E215" s="110">
        <f t="shared" si="346"/>
        <v>0</v>
      </c>
      <c r="F215" s="110">
        <f t="shared" si="346"/>
        <v>0</v>
      </c>
      <c r="G215" s="110">
        <f t="shared" si="346"/>
        <v>0</v>
      </c>
      <c r="H215" s="110">
        <f t="shared" si="346"/>
        <v>0</v>
      </c>
      <c r="I215" s="110">
        <f t="shared" si="346"/>
        <v>0</v>
      </c>
      <c r="J215" s="110">
        <f t="shared" si="346"/>
        <v>0</v>
      </c>
      <c r="K215" s="110">
        <f t="shared" si="346"/>
        <v>0</v>
      </c>
      <c r="L215" s="110">
        <f t="shared" si="346"/>
        <v>0</v>
      </c>
      <c r="M215" s="110">
        <f t="shared" si="346"/>
        <v>0</v>
      </c>
      <c r="N215" s="110">
        <f t="shared" si="346"/>
        <v>0</v>
      </c>
      <c r="O215" s="110">
        <f t="shared" si="346"/>
        <v>0</v>
      </c>
      <c r="P215" s="110">
        <f t="shared" si="346"/>
        <v>0</v>
      </c>
      <c r="Q215" s="110">
        <f t="shared" si="346"/>
        <v>0</v>
      </c>
      <c r="R215" s="110">
        <f t="shared" si="346"/>
        <v>0</v>
      </c>
      <c r="S215" s="110">
        <f t="shared" si="346"/>
        <v>0</v>
      </c>
      <c r="T215" s="110">
        <f t="shared" si="346"/>
        <v>0</v>
      </c>
      <c r="U215" s="110">
        <f t="shared" si="346"/>
        <v>30572.739999999874</v>
      </c>
      <c r="V215" s="110">
        <f t="shared" si="346"/>
        <v>0</v>
      </c>
      <c r="W215" s="110">
        <f>SUM(W213:W214)</f>
        <v>0</v>
      </c>
      <c r="X215" s="110">
        <f t="shared" ref="X215:AD215" si="347">SUM(X213:X214)</f>
        <v>0</v>
      </c>
      <c r="Y215" s="110">
        <f>SUM(Y213:Y214)</f>
        <v>0</v>
      </c>
      <c r="Z215" s="110">
        <f t="shared" si="347"/>
        <v>0</v>
      </c>
      <c r="AA215" s="110">
        <f t="shared" si="347"/>
        <v>0</v>
      </c>
      <c r="AB215" s="110">
        <f t="shared" si="347"/>
        <v>0</v>
      </c>
      <c r="AC215" s="110">
        <f t="shared" si="347"/>
        <v>0</v>
      </c>
      <c r="AD215" s="110">
        <f t="shared" si="347"/>
        <v>0</v>
      </c>
      <c r="AE215" s="110">
        <f>SUM(AE213:AE214)</f>
        <v>0</v>
      </c>
      <c r="AF215" s="110">
        <f>SUM(AF213:AF214)</f>
        <v>0</v>
      </c>
      <c r="AG215" s="110">
        <f>SUM(AG213:AG214)</f>
        <v>0</v>
      </c>
      <c r="AH215" s="110">
        <f t="shared" ref="AH215:AL215" si="348">SUM(AH213:AH214)</f>
        <v>0</v>
      </c>
      <c r="AI215" s="110">
        <f t="shared" si="348"/>
        <v>0</v>
      </c>
      <c r="AJ215" s="110">
        <f t="shared" si="348"/>
        <v>0</v>
      </c>
      <c r="AK215" s="110">
        <f t="shared" si="348"/>
        <v>0</v>
      </c>
      <c r="AL215" s="110">
        <f t="shared" si="348"/>
        <v>0</v>
      </c>
      <c r="AM215" s="110">
        <f>SUM(AM213:AM214)</f>
        <v>0</v>
      </c>
      <c r="AN215" s="110">
        <f>SUM(AN213:AN214)</f>
        <v>0</v>
      </c>
      <c r="AO215" s="110">
        <f>SUM(AO213:AO214)</f>
        <v>0</v>
      </c>
      <c r="AP215" s="110">
        <f>SUM(AP213:AP214)</f>
        <v>0</v>
      </c>
      <c r="AQ215" s="110">
        <f>SUM(AQ213:AQ214)</f>
        <v>0</v>
      </c>
      <c r="AR215" s="110">
        <f t="shared" ref="AR215" si="349">SUM(AR213:AR214)</f>
        <v>0</v>
      </c>
      <c r="AS215" s="110">
        <f>SUM(AS213:AS214)</f>
        <v>0</v>
      </c>
      <c r="AT215" s="110">
        <f t="shared" ref="AT215:AV215" si="350">SUM(AT213:AT214)</f>
        <v>0</v>
      </c>
      <c r="AU215" s="110">
        <f t="shared" si="350"/>
        <v>0</v>
      </c>
      <c r="AV215" s="110">
        <f t="shared" si="350"/>
        <v>0</v>
      </c>
      <c r="AW215" s="110">
        <f>SUM(AW213:AW214)</f>
        <v>0</v>
      </c>
      <c r="AX215" s="110">
        <f t="shared" ref="AX215:BF215" si="351">SUM(AX213:AX214)</f>
        <v>0</v>
      </c>
      <c r="AY215" s="110">
        <f t="shared" si="351"/>
        <v>0</v>
      </c>
      <c r="AZ215" s="110">
        <f t="shared" si="351"/>
        <v>0</v>
      </c>
      <c r="BA215" s="110">
        <f t="shared" si="351"/>
        <v>0</v>
      </c>
      <c r="BB215" s="110">
        <f t="shared" si="351"/>
        <v>0</v>
      </c>
      <c r="BC215" s="110">
        <f t="shared" si="351"/>
        <v>0</v>
      </c>
      <c r="BD215" s="110">
        <f t="shared" si="351"/>
        <v>0</v>
      </c>
      <c r="BE215" s="110">
        <f t="shared" si="351"/>
        <v>0</v>
      </c>
      <c r="BF215" s="110">
        <f t="shared" si="351"/>
        <v>0</v>
      </c>
    </row>
    <row r="216" spans="1:58" s="95" customFormat="1" ht="14.1" customHeight="1">
      <c r="A216" s="75">
        <f t="shared" si="327"/>
        <v>210</v>
      </c>
      <c r="B216" s="90"/>
      <c r="C216" s="90"/>
      <c r="D216" s="92"/>
      <c r="E216" s="92"/>
      <c r="F216" s="92"/>
      <c r="G216" s="92"/>
      <c r="H216" s="92"/>
      <c r="I216" s="92"/>
      <c r="J216" s="92"/>
      <c r="K216" s="92"/>
      <c r="L216" s="92"/>
      <c r="M216" s="92"/>
      <c r="N216" s="92"/>
      <c r="O216" s="92"/>
      <c r="P216" s="92"/>
      <c r="Q216" s="92"/>
      <c r="R216" s="92"/>
      <c r="S216" s="92"/>
      <c r="T216" s="92"/>
      <c r="U216" s="92"/>
      <c r="V216" s="92"/>
      <c r="W216" s="92"/>
      <c r="X216" s="92"/>
      <c r="Y216" s="92"/>
      <c r="Z216" s="92"/>
      <c r="AA216" s="92"/>
      <c r="AB216" s="92"/>
      <c r="AC216" s="92"/>
      <c r="AD216" s="92"/>
      <c r="AE216" s="92"/>
      <c r="AF216" s="92"/>
      <c r="AG216" s="92"/>
      <c r="AH216" s="92"/>
      <c r="AI216" s="92"/>
      <c r="AJ216" s="92"/>
      <c r="AK216" s="92"/>
      <c r="AL216" s="92"/>
      <c r="AM216" s="92"/>
      <c r="AN216" s="92"/>
      <c r="AO216" s="92"/>
      <c r="AP216" s="92"/>
      <c r="AQ216" s="92"/>
      <c r="AR216" s="92"/>
      <c r="AS216" s="92"/>
      <c r="AT216" s="92"/>
      <c r="AU216" s="92"/>
      <c r="AV216" s="92"/>
      <c r="AW216" s="92"/>
      <c r="AX216" s="92"/>
      <c r="AY216" s="92"/>
      <c r="AZ216" s="92"/>
      <c r="BA216" s="92"/>
      <c r="BB216" s="92"/>
      <c r="BC216" s="92"/>
      <c r="BD216" s="92"/>
      <c r="BE216" s="92"/>
      <c r="BF216" s="92"/>
    </row>
    <row r="217" spans="1:58" s="95" customFormat="1" ht="14.1" customHeight="1">
      <c r="A217" s="75">
        <f t="shared" si="327"/>
        <v>211</v>
      </c>
      <c r="B217" s="93" t="s">
        <v>358</v>
      </c>
      <c r="C217" s="94">
        <f t="shared" ref="C217:V217" si="352">C203+C207+C211+C215+C199</f>
        <v>1728485.6899999962</v>
      </c>
      <c r="D217" s="94">
        <f t="shared" si="352"/>
        <v>0</v>
      </c>
      <c r="E217" s="94">
        <f t="shared" si="352"/>
        <v>0</v>
      </c>
      <c r="F217" s="94">
        <f t="shared" si="352"/>
        <v>0</v>
      </c>
      <c r="G217" s="94">
        <f t="shared" si="352"/>
        <v>0</v>
      </c>
      <c r="H217" s="94">
        <f t="shared" si="352"/>
        <v>0</v>
      </c>
      <c r="I217" s="94">
        <f t="shared" si="352"/>
        <v>0</v>
      </c>
      <c r="J217" s="94">
        <f t="shared" si="352"/>
        <v>0</v>
      </c>
      <c r="K217" s="94">
        <f t="shared" si="352"/>
        <v>0</v>
      </c>
      <c r="L217" s="94">
        <f t="shared" si="352"/>
        <v>0</v>
      </c>
      <c r="M217" s="94">
        <f t="shared" si="352"/>
        <v>0</v>
      </c>
      <c r="N217" s="94">
        <f t="shared" si="352"/>
        <v>0</v>
      </c>
      <c r="O217" s="94">
        <f t="shared" si="352"/>
        <v>0</v>
      </c>
      <c r="P217" s="94">
        <f t="shared" si="352"/>
        <v>0</v>
      </c>
      <c r="Q217" s="94">
        <f t="shared" si="352"/>
        <v>0</v>
      </c>
      <c r="R217" s="94">
        <f t="shared" si="352"/>
        <v>0</v>
      </c>
      <c r="S217" s="94">
        <f t="shared" si="352"/>
        <v>0</v>
      </c>
      <c r="T217" s="94">
        <f t="shared" si="352"/>
        <v>0</v>
      </c>
      <c r="U217" s="94">
        <f t="shared" si="352"/>
        <v>1728485.6899999962</v>
      </c>
      <c r="V217" s="94">
        <f t="shared" si="352"/>
        <v>0</v>
      </c>
      <c r="W217" s="94">
        <f>W203+W207+W211+W215+W199</f>
        <v>0</v>
      </c>
      <c r="X217" s="94">
        <f t="shared" ref="X217:AD217" si="353">X203+X207+X211+X215+X199</f>
        <v>0</v>
      </c>
      <c r="Y217" s="94">
        <f>Y203+Y207+Y211+Y215+Y199</f>
        <v>0</v>
      </c>
      <c r="Z217" s="94">
        <f t="shared" si="353"/>
        <v>0</v>
      </c>
      <c r="AA217" s="94">
        <f t="shared" si="353"/>
        <v>0</v>
      </c>
      <c r="AB217" s="94">
        <f t="shared" si="353"/>
        <v>0</v>
      </c>
      <c r="AC217" s="94">
        <f t="shared" si="353"/>
        <v>0</v>
      </c>
      <c r="AD217" s="94">
        <f t="shared" si="353"/>
        <v>0</v>
      </c>
      <c r="AE217" s="94">
        <f>AE203+AE207+AE211+AE215+AE199</f>
        <v>0</v>
      </c>
      <c r="AF217" s="94">
        <f>AF203+AF207+AF211+AF215+AF199</f>
        <v>0</v>
      </c>
      <c r="AG217" s="94">
        <f>AG203+AG207+AG211+AG215+AG199</f>
        <v>0</v>
      </c>
      <c r="AH217" s="94">
        <f t="shared" ref="AH217:AL217" si="354">AH203+AH207+AH211+AH215+AH199</f>
        <v>0</v>
      </c>
      <c r="AI217" s="94">
        <f t="shared" si="354"/>
        <v>0</v>
      </c>
      <c r="AJ217" s="94">
        <f t="shared" si="354"/>
        <v>0</v>
      </c>
      <c r="AK217" s="94">
        <f t="shared" si="354"/>
        <v>0</v>
      </c>
      <c r="AL217" s="94">
        <f t="shared" si="354"/>
        <v>0</v>
      </c>
      <c r="AM217" s="94">
        <f>AM203+AM207+AM211+AM215+AM199</f>
        <v>0</v>
      </c>
      <c r="AN217" s="94">
        <f>AN203+AN207+AN211+AN215+AN199</f>
        <v>0</v>
      </c>
      <c r="AO217" s="94">
        <f>AO203+AO207+AO211+AO215+AO199</f>
        <v>0</v>
      </c>
      <c r="AP217" s="94">
        <f>AP203+AP207+AP211+AP215+AP199</f>
        <v>0</v>
      </c>
      <c r="AQ217" s="94">
        <f>AQ203+AQ207+AQ211+AQ215+AQ199</f>
        <v>0</v>
      </c>
      <c r="AR217" s="94">
        <f t="shared" ref="AR217" si="355">AR203+AR207+AR211+AR215+AR199</f>
        <v>0</v>
      </c>
      <c r="AS217" s="94">
        <f>AS203+AS207+AS211+AS215+AS199</f>
        <v>0</v>
      </c>
      <c r="AT217" s="94">
        <f t="shared" ref="AT217:AV217" si="356">AT203+AT207+AT211+AT215+AT199</f>
        <v>0</v>
      </c>
      <c r="AU217" s="94">
        <f t="shared" si="356"/>
        <v>0</v>
      </c>
      <c r="AV217" s="94">
        <f t="shared" si="356"/>
        <v>0</v>
      </c>
      <c r="AW217" s="94">
        <f>AW203+AW207+AW211+AW215+AW199</f>
        <v>0</v>
      </c>
      <c r="AX217" s="94">
        <f t="shared" ref="AX217:BF217" si="357">AX203+AX207+AX211+AX215+AX199</f>
        <v>0</v>
      </c>
      <c r="AY217" s="94">
        <f t="shared" si="357"/>
        <v>0</v>
      </c>
      <c r="AZ217" s="94">
        <f t="shared" si="357"/>
        <v>0</v>
      </c>
      <c r="BA217" s="94">
        <f t="shared" si="357"/>
        <v>0</v>
      </c>
      <c r="BB217" s="94">
        <f t="shared" si="357"/>
        <v>0</v>
      </c>
      <c r="BC217" s="94">
        <f t="shared" si="357"/>
        <v>0</v>
      </c>
      <c r="BD217" s="94">
        <f t="shared" si="357"/>
        <v>0</v>
      </c>
      <c r="BE217" s="94">
        <f t="shared" si="357"/>
        <v>0</v>
      </c>
      <c r="BF217" s="94">
        <f t="shared" si="357"/>
        <v>0</v>
      </c>
    </row>
    <row r="218" spans="1:58" ht="14.1" customHeight="1">
      <c r="A218" s="75">
        <f t="shared" si="327"/>
        <v>212</v>
      </c>
      <c r="B218" s="96"/>
      <c r="C218" s="96"/>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row>
    <row r="219" spans="1:58" ht="14.1" customHeight="1">
      <c r="A219" s="75">
        <f t="shared" si="327"/>
        <v>213</v>
      </c>
      <c r="B219" s="81" t="s">
        <v>361</v>
      </c>
      <c r="C219" s="81"/>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c r="AE219" s="87"/>
      <c r="AF219" s="87"/>
      <c r="AG219" s="87"/>
      <c r="AH219" s="87"/>
      <c r="AI219" s="87"/>
      <c r="AJ219" s="87"/>
      <c r="AK219" s="87"/>
      <c r="AL219" s="87"/>
      <c r="AM219" s="87"/>
      <c r="AN219" s="87"/>
      <c r="AO219" s="87"/>
      <c r="AP219" s="87"/>
      <c r="AQ219" s="87"/>
      <c r="AR219" s="87"/>
      <c r="AS219" s="87"/>
      <c r="AT219" s="87"/>
      <c r="AU219" s="87"/>
      <c r="AV219" s="87"/>
      <c r="AW219" s="87"/>
      <c r="AX219" s="87"/>
      <c r="AY219" s="87"/>
      <c r="AZ219" s="87"/>
      <c r="BA219" s="87"/>
      <c r="BB219" s="87"/>
      <c r="BC219" s="87"/>
      <c r="BD219" s="87"/>
      <c r="BE219" s="87"/>
      <c r="BF219" s="87"/>
    </row>
    <row r="220" spans="1:58" ht="14.1" customHeight="1">
      <c r="A220" s="75">
        <f t="shared" si="327"/>
        <v>214</v>
      </c>
      <c r="B220" s="76" t="s">
        <v>331</v>
      </c>
      <c r="C220" s="80">
        <f>SUM(D220:BF220)</f>
        <v>0</v>
      </c>
      <c r="D220" s="87">
        <v>0</v>
      </c>
      <c r="E220" s="87">
        <v>0</v>
      </c>
      <c r="F220" s="87">
        <v>0</v>
      </c>
      <c r="G220" s="87">
        <v>0</v>
      </c>
      <c r="H220" s="87">
        <v>0</v>
      </c>
      <c r="I220" s="87">
        <v>0</v>
      </c>
      <c r="J220" s="87">
        <v>0</v>
      </c>
      <c r="K220" s="87">
        <v>0</v>
      </c>
      <c r="L220" s="87">
        <v>0</v>
      </c>
      <c r="M220" s="87">
        <v>0</v>
      </c>
      <c r="N220" s="87">
        <v>0</v>
      </c>
      <c r="O220" s="87">
        <v>0</v>
      </c>
      <c r="P220" s="87">
        <v>0</v>
      </c>
      <c r="Q220" s="87">
        <v>0</v>
      </c>
      <c r="R220" s="87">
        <v>0</v>
      </c>
      <c r="S220" s="87">
        <v>0</v>
      </c>
      <c r="T220" s="87">
        <v>0</v>
      </c>
      <c r="U220" s="87">
        <v>0</v>
      </c>
      <c r="V220" s="87">
        <v>0</v>
      </c>
      <c r="W220" s="87">
        <v>0</v>
      </c>
      <c r="X220" s="87">
        <v>0</v>
      </c>
      <c r="Y220" s="87">
        <v>0</v>
      </c>
      <c r="Z220" s="87">
        <v>0</v>
      </c>
      <c r="AA220" s="87">
        <v>0</v>
      </c>
      <c r="AB220" s="87">
        <v>0</v>
      </c>
      <c r="AC220" s="87">
        <v>0</v>
      </c>
      <c r="AD220" s="87">
        <v>0</v>
      </c>
      <c r="AE220" s="87">
        <v>0</v>
      </c>
      <c r="AF220" s="87">
        <v>0</v>
      </c>
      <c r="AG220" s="87">
        <v>0</v>
      </c>
      <c r="AH220" s="87">
        <v>0</v>
      </c>
      <c r="AI220" s="87">
        <v>0</v>
      </c>
      <c r="AJ220" s="87">
        <v>0</v>
      </c>
      <c r="AK220" s="87">
        <v>0</v>
      </c>
      <c r="AL220" s="87">
        <v>0</v>
      </c>
      <c r="AM220" s="87">
        <v>0</v>
      </c>
      <c r="AN220" s="87">
        <v>0</v>
      </c>
      <c r="AO220" s="87">
        <v>0</v>
      </c>
      <c r="AP220" s="87">
        <v>0</v>
      </c>
      <c r="AQ220" s="87">
        <v>0</v>
      </c>
      <c r="AR220" s="87">
        <v>0</v>
      </c>
      <c r="AS220" s="87">
        <v>0</v>
      </c>
      <c r="AT220" s="87">
        <v>0</v>
      </c>
      <c r="AU220" s="87">
        <v>0</v>
      </c>
      <c r="AV220" s="87">
        <v>0</v>
      </c>
      <c r="AW220" s="87">
        <v>0</v>
      </c>
      <c r="AX220" s="87">
        <v>0</v>
      </c>
      <c r="AY220" s="87">
        <v>0</v>
      </c>
      <c r="AZ220" s="87">
        <v>0</v>
      </c>
      <c r="BA220" s="87">
        <v>0</v>
      </c>
      <c r="BB220" s="87">
        <v>0</v>
      </c>
      <c r="BC220" s="87">
        <v>0</v>
      </c>
      <c r="BD220" s="87">
        <v>0</v>
      </c>
      <c r="BE220" s="87">
        <v>0</v>
      </c>
      <c r="BF220" s="87">
        <v>0</v>
      </c>
    </row>
    <row r="221" spans="1:58" ht="14.1" customHeight="1">
      <c r="A221" s="75">
        <f t="shared" si="327"/>
        <v>215</v>
      </c>
      <c r="B221" s="76" t="s">
        <v>334</v>
      </c>
      <c r="C221" s="80">
        <f>SUM(D221:BF221)</f>
        <v>0</v>
      </c>
      <c r="D221" s="87">
        <v>0</v>
      </c>
      <c r="E221" s="87">
        <v>0</v>
      </c>
      <c r="F221" s="87">
        <v>0</v>
      </c>
      <c r="G221" s="87">
        <v>0</v>
      </c>
      <c r="H221" s="87">
        <v>0</v>
      </c>
      <c r="I221" s="87">
        <v>0</v>
      </c>
      <c r="J221" s="87">
        <v>0</v>
      </c>
      <c r="K221" s="87">
        <v>0</v>
      </c>
      <c r="L221" s="87">
        <v>0</v>
      </c>
      <c r="M221" s="87">
        <v>0</v>
      </c>
      <c r="N221" s="87">
        <v>0</v>
      </c>
      <c r="O221" s="87">
        <v>0</v>
      </c>
      <c r="P221" s="87">
        <v>0</v>
      </c>
      <c r="Q221" s="87">
        <v>0</v>
      </c>
      <c r="R221" s="87">
        <v>0</v>
      </c>
      <c r="S221" s="87">
        <v>0</v>
      </c>
      <c r="T221" s="87">
        <v>0</v>
      </c>
      <c r="U221" s="87">
        <v>0</v>
      </c>
      <c r="V221" s="87">
        <v>0</v>
      </c>
      <c r="W221" s="87">
        <v>0</v>
      </c>
      <c r="X221" s="87">
        <v>0</v>
      </c>
      <c r="Y221" s="87">
        <v>0</v>
      </c>
      <c r="Z221" s="87">
        <v>0</v>
      </c>
      <c r="AA221" s="87">
        <v>0</v>
      </c>
      <c r="AB221" s="87">
        <v>0</v>
      </c>
      <c r="AC221" s="87">
        <v>0</v>
      </c>
      <c r="AD221" s="87">
        <v>0</v>
      </c>
      <c r="AE221" s="87">
        <v>0</v>
      </c>
      <c r="AF221" s="87">
        <v>0</v>
      </c>
      <c r="AG221" s="87">
        <v>0</v>
      </c>
      <c r="AH221" s="87">
        <v>0</v>
      </c>
      <c r="AI221" s="87">
        <v>0</v>
      </c>
      <c r="AJ221" s="87">
        <v>0</v>
      </c>
      <c r="AK221" s="87">
        <v>0</v>
      </c>
      <c r="AL221" s="87">
        <v>0</v>
      </c>
      <c r="AM221" s="87">
        <v>0</v>
      </c>
      <c r="AN221" s="87">
        <v>0</v>
      </c>
      <c r="AO221" s="87">
        <v>0</v>
      </c>
      <c r="AP221" s="87">
        <v>0</v>
      </c>
      <c r="AQ221" s="87">
        <v>0</v>
      </c>
      <c r="AR221" s="87">
        <v>0</v>
      </c>
      <c r="AS221" s="87">
        <v>0</v>
      </c>
      <c r="AT221" s="87">
        <v>0</v>
      </c>
      <c r="AU221" s="87">
        <v>0</v>
      </c>
      <c r="AV221" s="87">
        <v>0</v>
      </c>
      <c r="AW221" s="87">
        <v>0</v>
      </c>
      <c r="AX221" s="87">
        <v>0</v>
      </c>
      <c r="AY221" s="87">
        <v>0</v>
      </c>
      <c r="AZ221" s="87">
        <v>0</v>
      </c>
      <c r="BA221" s="87">
        <v>0</v>
      </c>
      <c r="BB221" s="87">
        <v>0</v>
      </c>
      <c r="BC221" s="87">
        <v>0</v>
      </c>
      <c r="BD221" s="87">
        <v>0</v>
      </c>
      <c r="BE221" s="87">
        <v>0</v>
      </c>
      <c r="BF221" s="87">
        <v>0</v>
      </c>
    </row>
    <row r="222" spans="1:58" ht="14.1" customHeight="1">
      <c r="A222" s="75">
        <f t="shared" si="327"/>
        <v>216</v>
      </c>
      <c r="B222" s="76" t="s">
        <v>336</v>
      </c>
      <c r="C222" s="80">
        <f>SUM(D222:BF222)</f>
        <v>801.20999999996275</v>
      </c>
      <c r="D222" s="87">
        <v>0</v>
      </c>
      <c r="E222" s="87">
        <v>0</v>
      </c>
      <c r="F222" s="87">
        <v>0</v>
      </c>
      <c r="G222" s="87">
        <v>0</v>
      </c>
      <c r="H222" s="87">
        <v>0</v>
      </c>
      <c r="I222" s="87">
        <v>0</v>
      </c>
      <c r="J222" s="87">
        <v>0</v>
      </c>
      <c r="K222" s="87">
        <v>0</v>
      </c>
      <c r="L222" s="87">
        <v>0</v>
      </c>
      <c r="M222" s="87">
        <v>0</v>
      </c>
      <c r="N222" s="87">
        <v>0</v>
      </c>
      <c r="O222" s="87">
        <v>0</v>
      </c>
      <c r="P222" s="87">
        <v>0</v>
      </c>
      <c r="Q222" s="87">
        <v>0</v>
      </c>
      <c r="R222" s="87">
        <v>0</v>
      </c>
      <c r="S222" s="87">
        <v>0</v>
      </c>
      <c r="T222" s="87">
        <v>0</v>
      </c>
      <c r="U222" s="87">
        <v>801.20999999996275</v>
      </c>
      <c r="V222" s="87">
        <v>0</v>
      </c>
      <c r="W222" s="87">
        <v>0</v>
      </c>
      <c r="X222" s="87">
        <v>0</v>
      </c>
      <c r="Y222" s="87">
        <v>0</v>
      </c>
      <c r="Z222" s="87">
        <v>0</v>
      </c>
      <c r="AA222" s="87">
        <v>0</v>
      </c>
      <c r="AB222" s="87">
        <v>0</v>
      </c>
      <c r="AC222" s="87">
        <v>0</v>
      </c>
      <c r="AD222" s="87">
        <v>0</v>
      </c>
      <c r="AE222" s="87">
        <v>0</v>
      </c>
      <c r="AF222" s="87">
        <v>0</v>
      </c>
      <c r="AG222" s="87">
        <v>0</v>
      </c>
      <c r="AH222" s="87">
        <v>0</v>
      </c>
      <c r="AI222" s="87">
        <v>0</v>
      </c>
      <c r="AJ222" s="87">
        <v>0</v>
      </c>
      <c r="AK222" s="87">
        <v>0</v>
      </c>
      <c r="AL222" s="87">
        <v>0</v>
      </c>
      <c r="AM222" s="87">
        <v>0</v>
      </c>
      <c r="AN222" s="87">
        <v>0</v>
      </c>
      <c r="AO222" s="87">
        <v>0</v>
      </c>
      <c r="AP222" s="87">
        <v>0</v>
      </c>
      <c r="AQ222" s="87">
        <v>0</v>
      </c>
      <c r="AR222" s="87">
        <v>0</v>
      </c>
      <c r="AS222" s="87">
        <v>0</v>
      </c>
      <c r="AT222" s="87">
        <v>0</v>
      </c>
      <c r="AU222" s="87">
        <v>0</v>
      </c>
      <c r="AV222" s="87">
        <v>0</v>
      </c>
      <c r="AW222" s="87">
        <v>0</v>
      </c>
      <c r="AX222" s="87">
        <v>0</v>
      </c>
      <c r="AY222" s="87">
        <v>0</v>
      </c>
      <c r="AZ222" s="87">
        <v>0</v>
      </c>
      <c r="BA222" s="87">
        <v>0</v>
      </c>
      <c r="BB222" s="87">
        <v>0</v>
      </c>
      <c r="BC222" s="87">
        <v>0</v>
      </c>
      <c r="BD222" s="87">
        <v>0</v>
      </c>
      <c r="BE222" s="87">
        <v>0</v>
      </c>
      <c r="BF222" s="87">
        <v>0</v>
      </c>
    </row>
    <row r="223" spans="1:58" ht="14.1" customHeight="1">
      <c r="A223" s="75">
        <f t="shared" si="327"/>
        <v>217</v>
      </c>
      <c r="B223" s="90" t="s">
        <v>338</v>
      </c>
      <c r="C223" s="80">
        <f>SUM(D223:BF223)</f>
        <v>0</v>
      </c>
      <c r="D223" s="87">
        <v>0</v>
      </c>
      <c r="E223" s="87">
        <v>0</v>
      </c>
      <c r="F223" s="87">
        <v>0</v>
      </c>
      <c r="G223" s="87">
        <v>0</v>
      </c>
      <c r="H223" s="87">
        <v>0</v>
      </c>
      <c r="I223" s="87">
        <v>0</v>
      </c>
      <c r="J223" s="87">
        <v>0</v>
      </c>
      <c r="K223" s="87">
        <v>0</v>
      </c>
      <c r="L223" s="87">
        <v>0</v>
      </c>
      <c r="M223" s="87">
        <v>0</v>
      </c>
      <c r="N223" s="87">
        <v>0</v>
      </c>
      <c r="O223" s="87">
        <v>0</v>
      </c>
      <c r="P223" s="87">
        <v>0</v>
      </c>
      <c r="Q223" s="87">
        <v>0</v>
      </c>
      <c r="R223" s="87">
        <v>0</v>
      </c>
      <c r="S223" s="87">
        <v>0</v>
      </c>
      <c r="T223" s="87">
        <v>0</v>
      </c>
      <c r="U223" s="87">
        <v>0</v>
      </c>
      <c r="V223" s="87">
        <v>0</v>
      </c>
      <c r="W223" s="87">
        <v>0</v>
      </c>
      <c r="X223" s="87">
        <v>0</v>
      </c>
      <c r="Y223" s="87">
        <v>0</v>
      </c>
      <c r="Z223" s="87">
        <v>0</v>
      </c>
      <c r="AA223" s="87">
        <v>0</v>
      </c>
      <c r="AB223" s="87">
        <v>0</v>
      </c>
      <c r="AC223" s="87">
        <v>0</v>
      </c>
      <c r="AD223" s="87">
        <v>0</v>
      </c>
      <c r="AE223" s="87">
        <v>0</v>
      </c>
      <c r="AF223" s="87">
        <v>0</v>
      </c>
      <c r="AG223" s="87">
        <v>0</v>
      </c>
      <c r="AH223" s="87">
        <v>0</v>
      </c>
      <c r="AI223" s="87">
        <v>0</v>
      </c>
      <c r="AJ223" s="87">
        <v>0</v>
      </c>
      <c r="AK223" s="87">
        <v>0</v>
      </c>
      <c r="AL223" s="87">
        <v>0</v>
      </c>
      <c r="AM223" s="87">
        <v>0</v>
      </c>
      <c r="AN223" s="87">
        <v>0</v>
      </c>
      <c r="AO223" s="87">
        <v>0</v>
      </c>
      <c r="AP223" s="87">
        <v>0</v>
      </c>
      <c r="AQ223" s="87">
        <v>0</v>
      </c>
      <c r="AR223" s="87">
        <v>0</v>
      </c>
      <c r="AS223" s="87">
        <v>0</v>
      </c>
      <c r="AT223" s="87">
        <v>0</v>
      </c>
      <c r="AU223" s="87">
        <v>0</v>
      </c>
      <c r="AV223" s="87">
        <v>0</v>
      </c>
      <c r="AW223" s="87">
        <v>0</v>
      </c>
      <c r="AX223" s="87">
        <v>0</v>
      </c>
      <c r="AY223" s="87">
        <v>0</v>
      </c>
      <c r="AZ223" s="87">
        <v>0</v>
      </c>
      <c r="BA223" s="87">
        <v>0</v>
      </c>
      <c r="BB223" s="87">
        <v>0</v>
      </c>
      <c r="BC223" s="87">
        <v>0</v>
      </c>
      <c r="BD223" s="87">
        <v>0</v>
      </c>
      <c r="BE223" s="87">
        <v>0</v>
      </c>
      <c r="BF223" s="87">
        <v>0</v>
      </c>
    </row>
    <row r="224" spans="1:58" ht="14.1" customHeight="1">
      <c r="A224" s="75">
        <f t="shared" si="327"/>
        <v>218</v>
      </c>
      <c r="B224" s="93" t="s">
        <v>363</v>
      </c>
      <c r="C224" s="97">
        <f t="shared" ref="C224:V224" si="358">SUM(C220:C223)</f>
        <v>801.20999999996275</v>
      </c>
      <c r="D224" s="97">
        <f t="shared" si="358"/>
        <v>0</v>
      </c>
      <c r="E224" s="97">
        <f t="shared" si="358"/>
        <v>0</v>
      </c>
      <c r="F224" s="97">
        <f t="shared" si="358"/>
        <v>0</v>
      </c>
      <c r="G224" s="97">
        <f t="shared" si="358"/>
        <v>0</v>
      </c>
      <c r="H224" s="97">
        <f t="shared" si="358"/>
        <v>0</v>
      </c>
      <c r="I224" s="97">
        <f t="shared" si="358"/>
        <v>0</v>
      </c>
      <c r="J224" s="97">
        <f t="shared" si="358"/>
        <v>0</v>
      </c>
      <c r="K224" s="97">
        <f t="shared" si="358"/>
        <v>0</v>
      </c>
      <c r="L224" s="97">
        <f t="shared" si="358"/>
        <v>0</v>
      </c>
      <c r="M224" s="97">
        <f t="shared" si="358"/>
        <v>0</v>
      </c>
      <c r="N224" s="97">
        <f t="shared" si="358"/>
        <v>0</v>
      </c>
      <c r="O224" s="97">
        <f t="shared" si="358"/>
        <v>0</v>
      </c>
      <c r="P224" s="97">
        <f t="shared" si="358"/>
        <v>0</v>
      </c>
      <c r="Q224" s="97">
        <f t="shared" si="358"/>
        <v>0</v>
      </c>
      <c r="R224" s="97">
        <f t="shared" si="358"/>
        <v>0</v>
      </c>
      <c r="S224" s="97">
        <f t="shared" si="358"/>
        <v>0</v>
      </c>
      <c r="T224" s="97">
        <f t="shared" si="358"/>
        <v>0</v>
      </c>
      <c r="U224" s="97">
        <f t="shared" si="358"/>
        <v>801.20999999996275</v>
      </c>
      <c r="V224" s="97">
        <f t="shared" si="358"/>
        <v>0</v>
      </c>
      <c r="W224" s="97">
        <f>SUM(W220:W223)</f>
        <v>0</v>
      </c>
      <c r="X224" s="97">
        <f t="shared" ref="X224:AD224" si="359">SUM(X220:X223)</f>
        <v>0</v>
      </c>
      <c r="Y224" s="97">
        <f>SUM(Y220:Y223)</f>
        <v>0</v>
      </c>
      <c r="Z224" s="97">
        <f t="shared" si="359"/>
        <v>0</v>
      </c>
      <c r="AA224" s="97">
        <f t="shared" si="359"/>
        <v>0</v>
      </c>
      <c r="AB224" s="97">
        <f t="shared" si="359"/>
        <v>0</v>
      </c>
      <c r="AC224" s="97">
        <f t="shared" si="359"/>
        <v>0</v>
      </c>
      <c r="AD224" s="97">
        <f t="shared" si="359"/>
        <v>0</v>
      </c>
      <c r="AE224" s="97">
        <f>SUM(AE220:AE223)</f>
        <v>0</v>
      </c>
      <c r="AF224" s="97">
        <f>SUM(AF220:AF223)</f>
        <v>0</v>
      </c>
      <c r="AG224" s="97">
        <f>SUM(AG220:AG223)</f>
        <v>0</v>
      </c>
      <c r="AH224" s="97">
        <f t="shared" ref="AH224:AL224" si="360">SUM(AH220:AH223)</f>
        <v>0</v>
      </c>
      <c r="AI224" s="97">
        <f t="shared" si="360"/>
        <v>0</v>
      </c>
      <c r="AJ224" s="97">
        <f t="shared" si="360"/>
        <v>0</v>
      </c>
      <c r="AK224" s="97">
        <f t="shared" si="360"/>
        <v>0</v>
      </c>
      <c r="AL224" s="97">
        <f t="shared" si="360"/>
        <v>0</v>
      </c>
      <c r="AM224" s="97">
        <f>SUM(AM220:AM223)</f>
        <v>0</v>
      </c>
      <c r="AN224" s="97">
        <f>SUM(AN220:AN223)</f>
        <v>0</v>
      </c>
      <c r="AO224" s="97">
        <f>SUM(AO220:AO223)</f>
        <v>0</v>
      </c>
      <c r="AP224" s="97">
        <f>SUM(AP220:AP223)</f>
        <v>0</v>
      </c>
      <c r="AQ224" s="97">
        <f>SUM(AQ220:AQ223)</f>
        <v>0</v>
      </c>
      <c r="AR224" s="97">
        <f t="shared" ref="AR224" si="361">SUM(AR220:AR223)</f>
        <v>0</v>
      </c>
      <c r="AS224" s="97">
        <f>SUM(AS220:AS223)</f>
        <v>0</v>
      </c>
      <c r="AT224" s="97">
        <f t="shared" ref="AT224:AV224" si="362">SUM(AT220:AT223)</f>
        <v>0</v>
      </c>
      <c r="AU224" s="97">
        <f t="shared" si="362"/>
        <v>0</v>
      </c>
      <c r="AV224" s="97">
        <f t="shared" si="362"/>
        <v>0</v>
      </c>
      <c r="AW224" s="97">
        <f>SUM(AW220:AW223)</f>
        <v>0</v>
      </c>
      <c r="AX224" s="97">
        <f t="shared" ref="AX224:BF224" si="363">SUM(AX220:AX223)</f>
        <v>0</v>
      </c>
      <c r="AY224" s="97">
        <f t="shared" si="363"/>
        <v>0</v>
      </c>
      <c r="AZ224" s="97">
        <f t="shared" si="363"/>
        <v>0</v>
      </c>
      <c r="BA224" s="97">
        <f t="shared" si="363"/>
        <v>0</v>
      </c>
      <c r="BB224" s="97">
        <f t="shared" si="363"/>
        <v>0</v>
      </c>
      <c r="BC224" s="97">
        <f t="shared" si="363"/>
        <v>0</v>
      </c>
      <c r="BD224" s="97">
        <f t="shared" si="363"/>
        <v>0</v>
      </c>
      <c r="BE224" s="97">
        <f t="shared" si="363"/>
        <v>0</v>
      </c>
      <c r="BF224" s="97">
        <f t="shared" si="363"/>
        <v>0</v>
      </c>
    </row>
    <row r="225" spans="1:58" ht="14.1" customHeight="1">
      <c r="A225" s="75">
        <f t="shared" si="327"/>
        <v>219</v>
      </c>
      <c r="B225" s="96"/>
      <c r="C225" s="96"/>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row>
    <row r="226" spans="1:58" s="95" customFormat="1" ht="14.1" customHeight="1">
      <c r="A226" s="75">
        <f t="shared" si="327"/>
        <v>220</v>
      </c>
      <c r="B226" s="81" t="s">
        <v>203</v>
      </c>
      <c r="C226" s="81"/>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87"/>
      <c r="AH226" s="87"/>
      <c r="AI226" s="87"/>
      <c r="AJ226" s="87"/>
      <c r="AK226" s="87"/>
      <c r="AL226" s="87"/>
      <c r="AM226" s="87"/>
      <c r="AN226" s="87"/>
      <c r="AO226" s="87"/>
      <c r="AP226" s="87"/>
      <c r="AQ226" s="87"/>
      <c r="AR226" s="87"/>
      <c r="AS226" s="87"/>
      <c r="AT226" s="87"/>
      <c r="AU226" s="87"/>
      <c r="AV226" s="87"/>
      <c r="AW226" s="87"/>
      <c r="AX226" s="87"/>
      <c r="AY226" s="87"/>
      <c r="AZ226" s="87"/>
      <c r="BA226" s="87"/>
      <c r="BB226" s="87"/>
      <c r="BC226" s="87"/>
      <c r="BD226" s="87"/>
      <c r="BE226" s="87"/>
      <c r="BF226" s="87"/>
    </row>
    <row r="227" spans="1:58" ht="14.1" customHeight="1">
      <c r="A227" s="75">
        <f t="shared" si="327"/>
        <v>221</v>
      </c>
      <c r="B227" s="76" t="s">
        <v>364</v>
      </c>
      <c r="C227" s="80">
        <f>SUM(D227:BF227)</f>
        <v>953958.03999999166</v>
      </c>
      <c r="D227" s="87">
        <v>0</v>
      </c>
      <c r="E227" s="87">
        <v>0</v>
      </c>
      <c r="F227" s="87">
        <v>0</v>
      </c>
      <c r="G227" s="87">
        <v>0</v>
      </c>
      <c r="H227" s="87">
        <v>0</v>
      </c>
      <c r="I227" s="87">
        <v>0</v>
      </c>
      <c r="J227" s="87">
        <v>0</v>
      </c>
      <c r="K227" s="87">
        <v>0</v>
      </c>
      <c r="L227" s="87">
        <v>0</v>
      </c>
      <c r="M227" s="87">
        <v>0</v>
      </c>
      <c r="N227" s="87">
        <v>0</v>
      </c>
      <c r="O227" s="87">
        <v>0</v>
      </c>
      <c r="P227" s="87">
        <v>0</v>
      </c>
      <c r="Q227" s="87">
        <v>0</v>
      </c>
      <c r="R227" s="87">
        <v>0</v>
      </c>
      <c r="S227" s="87">
        <v>0</v>
      </c>
      <c r="T227" s="87">
        <v>0</v>
      </c>
      <c r="U227" s="87">
        <v>953958.03999999166</v>
      </c>
      <c r="V227" s="87">
        <v>0</v>
      </c>
      <c r="W227" s="87">
        <v>0</v>
      </c>
      <c r="X227" s="87">
        <v>0</v>
      </c>
      <c r="Y227" s="87">
        <v>0</v>
      </c>
      <c r="Z227" s="87">
        <v>0</v>
      </c>
      <c r="AA227" s="87">
        <v>0</v>
      </c>
      <c r="AB227" s="87">
        <v>0</v>
      </c>
      <c r="AC227" s="87">
        <v>0</v>
      </c>
      <c r="AD227" s="87">
        <v>0</v>
      </c>
      <c r="AE227" s="87">
        <v>0</v>
      </c>
      <c r="AF227" s="87">
        <v>0</v>
      </c>
      <c r="AG227" s="87">
        <v>0</v>
      </c>
      <c r="AH227" s="87">
        <v>0</v>
      </c>
      <c r="AI227" s="87">
        <v>0</v>
      </c>
      <c r="AJ227" s="87">
        <v>0</v>
      </c>
      <c r="AK227" s="87">
        <v>0</v>
      </c>
      <c r="AL227" s="87">
        <v>0</v>
      </c>
      <c r="AM227" s="87">
        <v>0</v>
      </c>
      <c r="AN227" s="87">
        <v>0</v>
      </c>
      <c r="AO227" s="87">
        <v>0</v>
      </c>
      <c r="AP227" s="87">
        <v>0</v>
      </c>
      <c r="AQ227" s="87">
        <v>0</v>
      </c>
      <c r="AR227" s="87">
        <v>0</v>
      </c>
      <c r="AS227" s="87">
        <v>0</v>
      </c>
      <c r="AT227" s="87">
        <v>0</v>
      </c>
      <c r="AU227" s="87">
        <v>0</v>
      </c>
      <c r="AV227" s="87">
        <v>0</v>
      </c>
      <c r="AW227" s="87">
        <v>0</v>
      </c>
      <c r="AX227" s="87">
        <v>0</v>
      </c>
      <c r="AY227" s="87">
        <v>0</v>
      </c>
      <c r="AZ227" s="87">
        <v>0</v>
      </c>
      <c r="BA227" s="87">
        <v>0</v>
      </c>
      <c r="BB227" s="87">
        <v>0</v>
      </c>
      <c r="BC227" s="87">
        <v>0</v>
      </c>
      <c r="BD227" s="87">
        <v>0</v>
      </c>
      <c r="BE227" s="87">
        <v>0</v>
      </c>
      <c r="BF227" s="87">
        <v>0</v>
      </c>
    </row>
    <row r="228" spans="1:58" ht="14.1" customHeight="1">
      <c r="A228" s="75">
        <f t="shared" si="327"/>
        <v>222</v>
      </c>
      <c r="B228" s="76" t="s">
        <v>367</v>
      </c>
      <c r="C228" s="80">
        <f>SUM(D228:BF228)</f>
        <v>183694.38200000115</v>
      </c>
      <c r="D228" s="87">
        <v>0</v>
      </c>
      <c r="E228" s="87">
        <v>0</v>
      </c>
      <c r="F228" s="87">
        <v>0</v>
      </c>
      <c r="G228" s="87">
        <v>0</v>
      </c>
      <c r="H228" s="87">
        <v>0</v>
      </c>
      <c r="I228" s="87">
        <v>0</v>
      </c>
      <c r="J228" s="87">
        <v>0</v>
      </c>
      <c r="K228" s="87">
        <v>0</v>
      </c>
      <c r="L228" s="87">
        <v>0</v>
      </c>
      <c r="M228" s="87">
        <v>0</v>
      </c>
      <c r="N228" s="87">
        <v>0</v>
      </c>
      <c r="O228" s="87">
        <v>0</v>
      </c>
      <c r="P228" s="87">
        <v>0</v>
      </c>
      <c r="Q228" s="87">
        <v>0</v>
      </c>
      <c r="R228" s="87">
        <v>0</v>
      </c>
      <c r="S228" s="87">
        <v>0</v>
      </c>
      <c r="T228" s="87">
        <v>0</v>
      </c>
      <c r="U228" s="87">
        <v>183694.38200000115</v>
      </c>
      <c r="V228" s="87">
        <v>0</v>
      </c>
      <c r="W228" s="87">
        <v>0</v>
      </c>
      <c r="X228" s="87">
        <v>0</v>
      </c>
      <c r="Y228" s="87">
        <v>0</v>
      </c>
      <c r="Z228" s="87">
        <v>0</v>
      </c>
      <c r="AA228" s="87">
        <v>0</v>
      </c>
      <c r="AB228" s="87">
        <v>0</v>
      </c>
      <c r="AC228" s="87">
        <v>0</v>
      </c>
      <c r="AD228" s="87">
        <v>0</v>
      </c>
      <c r="AE228" s="87">
        <v>0</v>
      </c>
      <c r="AF228" s="87">
        <v>0</v>
      </c>
      <c r="AG228" s="87">
        <v>0</v>
      </c>
      <c r="AH228" s="87">
        <v>0</v>
      </c>
      <c r="AI228" s="87">
        <v>0</v>
      </c>
      <c r="AJ228" s="87">
        <v>0</v>
      </c>
      <c r="AK228" s="87">
        <v>0</v>
      </c>
      <c r="AL228" s="87">
        <v>0</v>
      </c>
      <c r="AM228" s="87">
        <v>0</v>
      </c>
      <c r="AN228" s="87">
        <v>0</v>
      </c>
      <c r="AO228" s="87">
        <v>0</v>
      </c>
      <c r="AP228" s="87">
        <v>0</v>
      </c>
      <c r="AQ228" s="87">
        <v>0</v>
      </c>
      <c r="AR228" s="87">
        <v>0</v>
      </c>
      <c r="AS228" s="87">
        <v>0</v>
      </c>
      <c r="AT228" s="87">
        <v>0</v>
      </c>
      <c r="AU228" s="87">
        <v>0</v>
      </c>
      <c r="AV228" s="87">
        <v>0</v>
      </c>
      <c r="AW228" s="87">
        <v>0</v>
      </c>
      <c r="AX228" s="87">
        <v>0</v>
      </c>
      <c r="AY228" s="87">
        <v>0</v>
      </c>
      <c r="AZ228" s="87">
        <v>0</v>
      </c>
      <c r="BA228" s="87">
        <v>0</v>
      </c>
      <c r="BB228" s="87">
        <v>0</v>
      </c>
      <c r="BC228" s="87">
        <v>0</v>
      </c>
      <c r="BD228" s="87">
        <v>0</v>
      </c>
      <c r="BE228" s="87">
        <v>0</v>
      </c>
      <c r="BF228" s="87">
        <v>0</v>
      </c>
    </row>
    <row r="229" spans="1:58" ht="14.1" customHeight="1">
      <c r="A229" s="75">
        <f t="shared" si="327"/>
        <v>223</v>
      </c>
      <c r="B229" s="76" t="s">
        <v>367</v>
      </c>
      <c r="C229" s="80">
        <f>SUM(D229:BF229)</f>
        <v>-999098.21</v>
      </c>
      <c r="D229" s="87">
        <v>0</v>
      </c>
      <c r="E229" s="87">
        <v>0</v>
      </c>
      <c r="F229" s="87">
        <v>0</v>
      </c>
      <c r="G229" s="87">
        <v>0</v>
      </c>
      <c r="H229" s="87">
        <v>0</v>
      </c>
      <c r="I229" s="87">
        <v>0</v>
      </c>
      <c r="J229" s="87">
        <v>0</v>
      </c>
      <c r="K229" s="87">
        <v>0</v>
      </c>
      <c r="L229" s="87">
        <v>0</v>
      </c>
      <c r="M229" s="87">
        <v>0</v>
      </c>
      <c r="N229" s="87">
        <v>0</v>
      </c>
      <c r="O229" s="87">
        <v>0</v>
      </c>
      <c r="P229" s="87">
        <v>0</v>
      </c>
      <c r="Q229" s="87">
        <v>0</v>
      </c>
      <c r="R229" s="87">
        <v>0</v>
      </c>
      <c r="S229" s="87">
        <v>0</v>
      </c>
      <c r="T229" s="87">
        <v>0</v>
      </c>
      <c r="U229" s="87">
        <v>25961.790000000037</v>
      </c>
      <c r="V229" s="87">
        <v>0</v>
      </c>
      <c r="W229" s="87">
        <v>0</v>
      </c>
      <c r="X229" s="87">
        <v>0</v>
      </c>
      <c r="Y229" s="87">
        <v>0</v>
      </c>
      <c r="Z229" s="87">
        <v>0</v>
      </c>
      <c r="AA229" s="87">
        <v>0</v>
      </c>
      <c r="AB229" s="87">
        <v>0</v>
      </c>
      <c r="AC229" s="87">
        <v>0</v>
      </c>
      <c r="AD229" s="87">
        <v>0</v>
      </c>
      <c r="AE229" s="87">
        <v>0</v>
      </c>
      <c r="AF229" s="87">
        <v>0</v>
      </c>
      <c r="AG229" s="87">
        <v>0</v>
      </c>
      <c r="AH229" s="87">
        <v>0</v>
      </c>
      <c r="AI229" s="87">
        <v>0</v>
      </c>
      <c r="AJ229" s="87">
        <v>0</v>
      </c>
      <c r="AK229" s="87">
        <v>0</v>
      </c>
      <c r="AL229" s="87">
        <v>0</v>
      </c>
      <c r="AM229" s="87">
        <v>0</v>
      </c>
      <c r="AN229" s="87">
        <v>0</v>
      </c>
      <c r="AO229" s="87">
        <v>0</v>
      </c>
      <c r="AP229" s="87">
        <v>0</v>
      </c>
      <c r="AQ229" s="87">
        <v>0</v>
      </c>
      <c r="AR229" s="87">
        <v>0</v>
      </c>
      <c r="AS229" s="87">
        <v>0</v>
      </c>
      <c r="AT229" s="87">
        <v>0</v>
      </c>
      <c r="AU229" s="87">
        <v>0</v>
      </c>
      <c r="AV229" s="87">
        <v>0</v>
      </c>
      <c r="AW229" s="87">
        <v>0</v>
      </c>
      <c r="AX229" s="87">
        <v>0</v>
      </c>
      <c r="AY229" s="87">
        <v>0</v>
      </c>
      <c r="AZ229" s="87">
        <v>0</v>
      </c>
      <c r="BA229" s="87">
        <v>0</v>
      </c>
      <c r="BB229" s="87">
        <v>0</v>
      </c>
      <c r="BC229" s="87">
        <v>0</v>
      </c>
      <c r="BD229" s="87">
        <v>-1025060</v>
      </c>
      <c r="BE229" s="87">
        <v>0</v>
      </c>
      <c r="BF229" s="87">
        <v>0</v>
      </c>
    </row>
    <row r="230" spans="1:58" ht="14.1" customHeight="1">
      <c r="A230" s="75">
        <f t="shared" si="327"/>
        <v>224</v>
      </c>
      <c r="B230" s="76" t="s">
        <v>370</v>
      </c>
      <c r="C230" s="80">
        <f>SUM(D230:BF230)</f>
        <v>40191.357000000309</v>
      </c>
      <c r="D230" s="87">
        <v>0</v>
      </c>
      <c r="E230" s="87">
        <v>0</v>
      </c>
      <c r="F230" s="87">
        <v>0</v>
      </c>
      <c r="G230" s="87">
        <v>0</v>
      </c>
      <c r="H230" s="87">
        <v>0</v>
      </c>
      <c r="I230" s="87">
        <v>0</v>
      </c>
      <c r="J230" s="87">
        <v>0</v>
      </c>
      <c r="K230" s="87">
        <v>0</v>
      </c>
      <c r="L230" s="87">
        <v>0</v>
      </c>
      <c r="M230" s="87">
        <v>0</v>
      </c>
      <c r="N230" s="87">
        <v>0</v>
      </c>
      <c r="O230" s="87">
        <v>0</v>
      </c>
      <c r="P230" s="87">
        <v>0</v>
      </c>
      <c r="Q230" s="87">
        <v>0</v>
      </c>
      <c r="R230" s="87">
        <v>0</v>
      </c>
      <c r="S230" s="87">
        <v>0</v>
      </c>
      <c r="T230" s="87">
        <v>0</v>
      </c>
      <c r="U230" s="87">
        <v>40191.357000000309</v>
      </c>
      <c r="V230" s="87">
        <v>0</v>
      </c>
      <c r="W230" s="87">
        <v>0</v>
      </c>
      <c r="X230" s="87">
        <v>0</v>
      </c>
      <c r="Y230" s="87">
        <v>0</v>
      </c>
      <c r="Z230" s="87">
        <v>0</v>
      </c>
      <c r="AA230" s="87">
        <v>0</v>
      </c>
      <c r="AB230" s="87">
        <v>0</v>
      </c>
      <c r="AC230" s="87">
        <v>0</v>
      </c>
      <c r="AD230" s="87">
        <v>0</v>
      </c>
      <c r="AE230" s="87">
        <v>0</v>
      </c>
      <c r="AF230" s="87">
        <v>0</v>
      </c>
      <c r="AG230" s="87">
        <v>0</v>
      </c>
      <c r="AH230" s="87">
        <v>0</v>
      </c>
      <c r="AI230" s="87">
        <v>0</v>
      </c>
      <c r="AJ230" s="87">
        <v>0</v>
      </c>
      <c r="AK230" s="87">
        <v>0</v>
      </c>
      <c r="AL230" s="87">
        <v>0</v>
      </c>
      <c r="AM230" s="87">
        <v>0</v>
      </c>
      <c r="AN230" s="87">
        <v>0</v>
      </c>
      <c r="AO230" s="87">
        <v>0</v>
      </c>
      <c r="AP230" s="87">
        <v>0</v>
      </c>
      <c r="AQ230" s="87">
        <v>0</v>
      </c>
      <c r="AR230" s="87">
        <v>0</v>
      </c>
      <c r="AS230" s="87">
        <v>0</v>
      </c>
      <c r="AT230" s="87">
        <v>0</v>
      </c>
      <c r="AU230" s="87">
        <v>0</v>
      </c>
      <c r="AV230" s="87">
        <v>0</v>
      </c>
      <c r="AW230" s="87">
        <v>0</v>
      </c>
      <c r="AX230" s="87">
        <v>0</v>
      </c>
      <c r="AY230" s="87">
        <v>0</v>
      </c>
      <c r="AZ230" s="87">
        <v>0</v>
      </c>
      <c r="BA230" s="87">
        <v>0</v>
      </c>
      <c r="BB230" s="87">
        <v>0</v>
      </c>
      <c r="BC230" s="87">
        <v>0</v>
      </c>
      <c r="BD230" s="87">
        <v>0</v>
      </c>
      <c r="BE230" s="87">
        <v>0</v>
      </c>
      <c r="BF230" s="87">
        <v>0</v>
      </c>
    </row>
    <row r="231" spans="1:58" ht="14.1" customHeight="1">
      <c r="A231" s="75">
        <f t="shared" si="327"/>
        <v>225</v>
      </c>
      <c r="B231" s="90" t="s">
        <v>372</v>
      </c>
      <c r="C231" s="91">
        <f>SUM(D231:BF231)</f>
        <v>6061.8729999996722</v>
      </c>
      <c r="D231" s="92">
        <v>0</v>
      </c>
      <c r="E231" s="92">
        <v>0</v>
      </c>
      <c r="F231" s="92">
        <v>0</v>
      </c>
      <c r="G231" s="92">
        <v>0</v>
      </c>
      <c r="H231" s="92">
        <v>0</v>
      </c>
      <c r="I231" s="92">
        <v>0</v>
      </c>
      <c r="J231" s="92">
        <v>0</v>
      </c>
      <c r="K231" s="92">
        <v>0</v>
      </c>
      <c r="L231" s="92">
        <v>0</v>
      </c>
      <c r="M231" s="92">
        <v>0</v>
      </c>
      <c r="N231" s="92">
        <v>0</v>
      </c>
      <c r="O231" s="92">
        <v>0</v>
      </c>
      <c r="P231" s="92">
        <v>0</v>
      </c>
      <c r="Q231" s="92">
        <v>0</v>
      </c>
      <c r="R231" s="92">
        <v>0</v>
      </c>
      <c r="S231" s="92">
        <v>0</v>
      </c>
      <c r="T231" s="92">
        <v>0</v>
      </c>
      <c r="U231" s="92">
        <v>6061.8729999996722</v>
      </c>
      <c r="V231" s="92">
        <v>0</v>
      </c>
      <c r="W231" s="92">
        <v>0</v>
      </c>
      <c r="X231" s="92">
        <v>0</v>
      </c>
      <c r="Y231" s="92">
        <v>0</v>
      </c>
      <c r="Z231" s="92">
        <v>0</v>
      </c>
      <c r="AA231" s="92">
        <v>0</v>
      </c>
      <c r="AB231" s="92">
        <v>0</v>
      </c>
      <c r="AC231" s="92">
        <v>0</v>
      </c>
      <c r="AD231" s="92">
        <v>0</v>
      </c>
      <c r="AE231" s="92">
        <v>0</v>
      </c>
      <c r="AF231" s="92">
        <v>0</v>
      </c>
      <c r="AG231" s="92">
        <v>0</v>
      </c>
      <c r="AH231" s="92">
        <v>0</v>
      </c>
      <c r="AI231" s="92">
        <v>0</v>
      </c>
      <c r="AJ231" s="92">
        <v>0</v>
      </c>
      <c r="AK231" s="92">
        <v>0</v>
      </c>
      <c r="AL231" s="92">
        <v>0</v>
      </c>
      <c r="AM231" s="92">
        <v>0</v>
      </c>
      <c r="AN231" s="92">
        <v>0</v>
      </c>
      <c r="AO231" s="92">
        <v>0</v>
      </c>
      <c r="AP231" s="92">
        <v>0</v>
      </c>
      <c r="AQ231" s="92">
        <v>0</v>
      </c>
      <c r="AR231" s="92">
        <v>0</v>
      </c>
      <c r="AS231" s="92">
        <v>0</v>
      </c>
      <c r="AT231" s="92">
        <v>0</v>
      </c>
      <c r="AU231" s="92">
        <v>0</v>
      </c>
      <c r="AV231" s="92">
        <v>0</v>
      </c>
      <c r="AW231" s="92">
        <v>0</v>
      </c>
      <c r="AX231" s="92">
        <v>0</v>
      </c>
      <c r="AY231" s="92">
        <v>0</v>
      </c>
      <c r="AZ231" s="92">
        <v>0</v>
      </c>
      <c r="BA231" s="92">
        <v>0</v>
      </c>
      <c r="BB231" s="92">
        <v>0</v>
      </c>
      <c r="BC231" s="92">
        <v>0</v>
      </c>
      <c r="BD231" s="92">
        <v>0</v>
      </c>
      <c r="BE231" s="92">
        <v>0</v>
      </c>
      <c r="BF231" s="92">
        <v>0</v>
      </c>
    </row>
    <row r="232" spans="1:58" ht="14.1" customHeight="1">
      <c r="A232" s="75">
        <f t="shared" si="327"/>
        <v>226</v>
      </c>
      <c r="B232" s="81" t="s">
        <v>374</v>
      </c>
      <c r="C232" s="87">
        <f t="shared" ref="C232:AD232" si="364">SUM(C227:C231)</f>
        <v>184807.44199999282</v>
      </c>
      <c r="D232" s="87">
        <f t="shared" si="364"/>
        <v>0</v>
      </c>
      <c r="E232" s="87">
        <f t="shared" si="364"/>
        <v>0</v>
      </c>
      <c r="F232" s="87">
        <f t="shared" si="364"/>
        <v>0</v>
      </c>
      <c r="G232" s="87">
        <f t="shared" si="364"/>
        <v>0</v>
      </c>
      <c r="H232" s="87">
        <f t="shared" si="364"/>
        <v>0</v>
      </c>
      <c r="I232" s="87">
        <f t="shared" si="364"/>
        <v>0</v>
      </c>
      <c r="J232" s="87">
        <f t="shared" si="364"/>
        <v>0</v>
      </c>
      <c r="K232" s="87">
        <f t="shared" si="364"/>
        <v>0</v>
      </c>
      <c r="L232" s="87">
        <f t="shared" si="364"/>
        <v>0</v>
      </c>
      <c r="M232" s="87">
        <f t="shared" si="364"/>
        <v>0</v>
      </c>
      <c r="N232" s="87">
        <f t="shared" si="364"/>
        <v>0</v>
      </c>
      <c r="O232" s="87">
        <f t="shared" si="364"/>
        <v>0</v>
      </c>
      <c r="P232" s="87">
        <f t="shared" si="364"/>
        <v>0</v>
      </c>
      <c r="Q232" s="87">
        <f t="shared" si="364"/>
        <v>0</v>
      </c>
      <c r="R232" s="87">
        <f t="shared" si="364"/>
        <v>0</v>
      </c>
      <c r="S232" s="87">
        <f t="shared" si="364"/>
        <v>0</v>
      </c>
      <c r="T232" s="87">
        <f t="shared" si="364"/>
        <v>0</v>
      </c>
      <c r="U232" s="87">
        <f t="shared" si="364"/>
        <v>1209867.4419999928</v>
      </c>
      <c r="V232" s="87">
        <f t="shared" si="364"/>
        <v>0</v>
      </c>
      <c r="W232" s="87">
        <f t="shared" si="364"/>
        <v>0</v>
      </c>
      <c r="X232" s="87">
        <f t="shared" si="364"/>
        <v>0</v>
      </c>
      <c r="Y232" s="87">
        <f>SUM(Y227:Y231)</f>
        <v>0</v>
      </c>
      <c r="Z232" s="87">
        <f t="shared" si="364"/>
        <v>0</v>
      </c>
      <c r="AA232" s="87">
        <f t="shared" si="364"/>
        <v>0</v>
      </c>
      <c r="AB232" s="87">
        <f t="shared" si="364"/>
        <v>0</v>
      </c>
      <c r="AC232" s="87">
        <f t="shared" si="364"/>
        <v>0</v>
      </c>
      <c r="AD232" s="87">
        <f t="shared" si="364"/>
        <v>0</v>
      </c>
      <c r="AE232" s="87">
        <f>SUM(AE227:AE231)</f>
        <v>0</v>
      </c>
      <c r="AF232" s="87">
        <f>SUM(AF227:AF231)</f>
        <v>0</v>
      </c>
      <c r="AG232" s="87">
        <f>SUM(AG227:AG231)</f>
        <v>0</v>
      </c>
      <c r="AH232" s="87">
        <f t="shared" ref="AH232:AL232" si="365">SUM(AH227:AH231)</f>
        <v>0</v>
      </c>
      <c r="AI232" s="87">
        <f t="shared" si="365"/>
        <v>0</v>
      </c>
      <c r="AJ232" s="87">
        <f t="shared" si="365"/>
        <v>0</v>
      </c>
      <c r="AK232" s="87">
        <f t="shared" si="365"/>
        <v>0</v>
      </c>
      <c r="AL232" s="87">
        <f t="shared" si="365"/>
        <v>0</v>
      </c>
      <c r="AM232" s="87">
        <f>SUM(AM227:AM231)</f>
        <v>0</v>
      </c>
      <c r="AN232" s="87">
        <f>SUM(AN227:AN231)</f>
        <v>0</v>
      </c>
      <c r="AO232" s="87">
        <f>SUM(AO227:AO231)</f>
        <v>0</v>
      </c>
      <c r="AP232" s="87">
        <f>SUM(AP227:AP231)</f>
        <v>0</v>
      </c>
      <c r="AQ232" s="87">
        <f>SUM(AQ227:AQ231)</f>
        <v>0</v>
      </c>
      <c r="AR232" s="87">
        <f t="shared" ref="AR232" si="366">SUM(AR227:AR231)</f>
        <v>0</v>
      </c>
      <c r="AS232" s="87">
        <f>SUM(AS227:AS231)</f>
        <v>0</v>
      </c>
      <c r="AT232" s="87">
        <f t="shared" ref="AT232:AV232" si="367">SUM(AT227:AT231)</f>
        <v>0</v>
      </c>
      <c r="AU232" s="87">
        <f t="shared" si="367"/>
        <v>0</v>
      </c>
      <c r="AV232" s="87">
        <f t="shared" si="367"/>
        <v>0</v>
      </c>
      <c r="AW232" s="87">
        <f>SUM(AW227:AW231)</f>
        <v>0</v>
      </c>
      <c r="AX232" s="87">
        <f t="shared" ref="AX232:BF232" si="368">SUM(AX227:AX231)</f>
        <v>0</v>
      </c>
      <c r="AY232" s="87">
        <f t="shared" si="368"/>
        <v>0</v>
      </c>
      <c r="AZ232" s="87">
        <f t="shared" si="368"/>
        <v>0</v>
      </c>
      <c r="BA232" s="87">
        <f t="shared" si="368"/>
        <v>0</v>
      </c>
      <c r="BB232" s="87">
        <f t="shared" si="368"/>
        <v>0</v>
      </c>
      <c r="BC232" s="87">
        <f t="shared" si="368"/>
        <v>0</v>
      </c>
      <c r="BD232" s="87">
        <f t="shared" si="368"/>
        <v>-1025060</v>
      </c>
      <c r="BE232" s="87">
        <f t="shared" si="368"/>
        <v>0</v>
      </c>
      <c r="BF232" s="87">
        <f t="shared" si="368"/>
        <v>0</v>
      </c>
    </row>
    <row r="233" spans="1:58" ht="14.1" customHeight="1">
      <c r="A233" s="75">
        <f t="shared" si="327"/>
        <v>227</v>
      </c>
      <c r="C233" s="80"/>
      <c r="D233" s="87"/>
      <c r="E233" s="87"/>
      <c r="F233" s="87"/>
      <c r="G233" s="87"/>
      <c r="H233" s="87"/>
      <c r="I233" s="87"/>
      <c r="J233" s="87"/>
      <c r="K233" s="87"/>
      <c r="L233" s="87"/>
      <c r="M233" s="87"/>
      <c r="N233" s="87"/>
      <c r="O233" s="87"/>
      <c r="P233" s="87"/>
      <c r="Q233" s="87"/>
      <c r="R233" s="87"/>
      <c r="S233" s="87"/>
      <c r="T233" s="87"/>
      <c r="U233" s="87"/>
      <c r="V233" s="87"/>
      <c r="W233" s="87"/>
      <c r="X233" s="87"/>
      <c r="Y233" s="87"/>
      <c r="Z233" s="87"/>
      <c r="AA233" s="87"/>
      <c r="AB233" s="87"/>
      <c r="AC233" s="87"/>
      <c r="AD233" s="87"/>
      <c r="AE233" s="87"/>
      <c r="AF233" s="87"/>
      <c r="AG233" s="87"/>
      <c r="AH233" s="87"/>
      <c r="AI233" s="87"/>
      <c r="AJ233" s="87"/>
      <c r="AK233" s="87"/>
      <c r="AL233" s="87"/>
      <c r="AM233" s="87"/>
      <c r="AN233" s="87"/>
      <c r="AO233" s="87"/>
      <c r="AP233" s="87"/>
      <c r="AQ233" s="87"/>
      <c r="AR233" s="87"/>
      <c r="AS233" s="87"/>
      <c r="AT233" s="87"/>
      <c r="AU233" s="87"/>
      <c r="AV233" s="87"/>
      <c r="AW233" s="87"/>
      <c r="AX233" s="87"/>
      <c r="AY233" s="87"/>
      <c r="AZ233" s="87"/>
      <c r="BA233" s="87"/>
      <c r="BB233" s="87"/>
      <c r="BC233" s="87"/>
      <c r="BD233" s="87"/>
      <c r="BE233" s="87"/>
      <c r="BF233" s="87"/>
    </row>
    <row r="234" spans="1:58" ht="14.1" customHeight="1">
      <c r="A234" s="75">
        <f t="shared" si="327"/>
        <v>228</v>
      </c>
      <c r="B234" s="81" t="s">
        <v>202</v>
      </c>
      <c r="C234" s="80"/>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87"/>
      <c r="AH234" s="87"/>
      <c r="AI234" s="87"/>
      <c r="AJ234" s="87"/>
      <c r="AK234" s="87"/>
      <c r="AL234" s="87"/>
      <c r="AM234" s="87"/>
      <c r="AN234" s="87"/>
      <c r="AO234" s="87"/>
      <c r="AP234" s="87"/>
      <c r="AQ234" s="87"/>
      <c r="AR234" s="87"/>
      <c r="AS234" s="87"/>
      <c r="AT234" s="87"/>
      <c r="AU234" s="87"/>
      <c r="AV234" s="87"/>
      <c r="AW234" s="87"/>
      <c r="AX234" s="87"/>
      <c r="AY234" s="87"/>
      <c r="AZ234" s="87"/>
      <c r="BA234" s="87"/>
      <c r="BB234" s="87"/>
      <c r="BC234" s="87"/>
      <c r="BD234" s="87"/>
      <c r="BE234" s="87"/>
      <c r="BF234" s="87"/>
    </row>
    <row r="235" spans="1:58" ht="14.1" customHeight="1">
      <c r="A235" s="75">
        <f t="shared" si="327"/>
        <v>229</v>
      </c>
      <c r="B235" s="76" t="s">
        <v>769</v>
      </c>
      <c r="C235" s="80">
        <f>SUM(D235:BF235)</f>
        <v>0</v>
      </c>
      <c r="D235" s="87">
        <v>0</v>
      </c>
      <c r="E235" s="87">
        <v>0</v>
      </c>
      <c r="F235" s="87">
        <v>0</v>
      </c>
      <c r="G235" s="87">
        <v>0</v>
      </c>
      <c r="H235" s="87">
        <v>0</v>
      </c>
      <c r="I235" s="87">
        <v>0</v>
      </c>
      <c r="J235" s="87">
        <v>0</v>
      </c>
      <c r="K235" s="87">
        <v>0</v>
      </c>
      <c r="L235" s="87">
        <v>0</v>
      </c>
      <c r="M235" s="87">
        <v>0</v>
      </c>
      <c r="N235" s="87">
        <v>0</v>
      </c>
      <c r="O235" s="87">
        <v>0</v>
      </c>
      <c r="P235" s="87">
        <v>0</v>
      </c>
      <c r="Q235" s="87">
        <v>0</v>
      </c>
      <c r="R235" s="87">
        <v>0</v>
      </c>
      <c r="S235" s="87">
        <v>0</v>
      </c>
      <c r="T235" s="87">
        <v>0</v>
      </c>
      <c r="U235" s="87">
        <v>0</v>
      </c>
      <c r="V235" s="87">
        <v>0</v>
      </c>
      <c r="W235" s="87">
        <v>0</v>
      </c>
      <c r="X235" s="87">
        <v>0</v>
      </c>
      <c r="Y235" s="87">
        <v>0</v>
      </c>
      <c r="Z235" s="87">
        <v>0</v>
      </c>
      <c r="AA235" s="87">
        <v>0</v>
      </c>
      <c r="AB235" s="87">
        <v>0</v>
      </c>
      <c r="AC235" s="87">
        <v>0</v>
      </c>
      <c r="AD235" s="87">
        <v>0</v>
      </c>
      <c r="AE235" s="87">
        <v>0</v>
      </c>
      <c r="AF235" s="87">
        <v>0</v>
      </c>
      <c r="AG235" s="87">
        <v>0</v>
      </c>
      <c r="AH235" s="87">
        <v>0</v>
      </c>
      <c r="AI235" s="87">
        <v>0</v>
      </c>
      <c r="AJ235" s="87">
        <v>0</v>
      </c>
      <c r="AK235" s="87">
        <v>0</v>
      </c>
      <c r="AL235" s="87">
        <v>0</v>
      </c>
      <c r="AM235" s="87">
        <v>0</v>
      </c>
      <c r="AN235" s="87">
        <v>0</v>
      </c>
      <c r="AO235" s="87">
        <v>0</v>
      </c>
      <c r="AP235" s="87">
        <v>0</v>
      </c>
      <c r="AQ235" s="87">
        <v>0</v>
      </c>
      <c r="AR235" s="87">
        <v>0</v>
      </c>
      <c r="AS235" s="87">
        <v>0</v>
      </c>
      <c r="AT235" s="87">
        <v>0</v>
      </c>
      <c r="AU235" s="87">
        <v>0</v>
      </c>
      <c r="AV235" s="87">
        <v>0</v>
      </c>
      <c r="AW235" s="87">
        <v>0</v>
      </c>
      <c r="AX235" s="87">
        <v>0</v>
      </c>
      <c r="AY235" s="87">
        <v>0</v>
      </c>
      <c r="AZ235" s="87">
        <v>0</v>
      </c>
      <c r="BA235" s="87">
        <v>0</v>
      </c>
      <c r="BB235" s="87">
        <v>0</v>
      </c>
      <c r="BC235" s="87">
        <v>0</v>
      </c>
      <c r="BD235" s="87">
        <v>0</v>
      </c>
      <c r="BE235" s="87">
        <v>0</v>
      </c>
      <c r="BF235" s="87">
        <v>0</v>
      </c>
    </row>
    <row r="236" spans="1:58" ht="14.1" customHeight="1">
      <c r="A236" s="75">
        <f t="shared" si="327"/>
        <v>230</v>
      </c>
      <c r="B236" s="90" t="s">
        <v>379</v>
      </c>
      <c r="C236" s="80">
        <f>SUM(D236:BF236)</f>
        <v>28641.75</v>
      </c>
      <c r="D236" s="87">
        <v>0</v>
      </c>
      <c r="E236" s="87">
        <v>0</v>
      </c>
      <c r="F236" s="87">
        <v>0</v>
      </c>
      <c r="G236" s="87">
        <v>0</v>
      </c>
      <c r="H236" s="87">
        <v>0</v>
      </c>
      <c r="I236" s="87">
        <v>0</v>
      </c>
      <c r="J236" s="87">
        <v>0</v>
      </c>
      <c r="K236" s="87">
        <v>0</v>
      </c>
      <c r="L236" s="87">
        <v>0</v>
      </c>
      <c r="M236" s="87">
        <v>0</v>
      </c>
      <c r="N236" s="87">
        <v>0</v>
      </c>
      <c r="O236" s="87">
        <v>0</v>
      </c>
      <c r="P236" s="87">
        <v>0</v>
      </c>
      <c r="Q236" s="87">
        <v>0</v>
      </c>
      <c r="R236" s="87">
        <v>0</v>
      </c>
      <c r="S236" s="87">
        <v>0</v>
      </c>
      <c r="T236" s="87">
        <v>0</v>
      </c>
      <c r="U236" s="87">
        <v>28641.75</v>
      </c>
      <c r="V236" s="87">
        <v>0</v>
      </c>
      <c r="W236" s="87">
        <v>0</v>
      </c>
      <c r="X236" s="87">
        <v>0</v>
      </c>
      <c r="Y236" s="87">
        <v>0</v>
      </c>
      <c r="Z236" s="87">
        <v>0</v>
      </c>
      <c r="AA236" s="87">
        <v>0</v>
      </c>
      <c r="AB236" s="87">
        <v>0</v>
      </c>
      <c r="AC236" s="87">
        <v>0</v>
      </c>
      <c r="AD236" s="87">
        <v>0</v>
      </c>
      <c r="AE236" s="87">
        <v>0</v>
      </c>
      <c r="AF236" s="87">
        <v>0</v>
      </c>
      <c r="AG236" s="87">
        <v>0</v>
      </c>
      <c r="AH236" s="87">
        <v>0</v>
      </c>
      <c r="AI236" s="87">
        <v>0</v>
      </c>
      <c r="AJ236" s="87">
        <v>0</v>
      </c>
      <c r="AK236" s="87">
        <v>0</v>
      </c>
      <c r="AL236" s="87">
        <v>0</v>
      </c>
      <c r="AM236" s="87">
        <v>0</v>
      </c>
      <c r="AN236" s="87">
        <v>0</v>
      </c>
      <c r="AO236" s="87">
        <v>0</v>
      </c>
      <c r="AP236" s="87">
        <v>0</v>
      </c>
      <c r="AQ236" s="87">
        <v>0</v>
      </c>
      <c r="AR236" s="87">
        <v>0</v>
      </c>
      <c r="AS236" s="87">
        <v>0</v>
      </c>
      <c r="AT236" s="87">
        <v>0</v>
      </c>
      <c r="AU236" s="87">
        <v>0</v>
      </c>
      <c r="AV236" s="87">
        <v>0</v>
      </c>
      <c r="AW236" s="87">
        <v>0</v>
      </c>
      <c r="AX236" s="87">
        <v>0</v>
      </c>
      <c r="AY236" s="87">
        <v>0</v>
      </c>
      <c r="AZ236" s="87">
        <v>0</v>
      </c>
      <c r="BA236" s="87">
        <v>0</v>
      </c>
      <c r="BB236" s="87">
        <v>0</v>
      </c>
      <c r="BC236" s="87">
        <v>0</v>
      </c>
      <c r="BD236" s="87">
        <v>0</v>
      </c>
      <c r="BE236" s="87">
        <v>0</v>
      </c>
      <c r="BF236" s="87">
        <v>0</v>
      </c>
    </row>
    <row r="237" spans="1:58" ht="14.1" customHeight="1">
      <c r="A237" s="75">
        <f t="shared" si="327"/>
        <v>231</v>
      </c>
      <c r="B237" s="93" t="s">
        <v>381</v>
      </c>
      <c r="C237" s="97">
        <f t="shared" ref="C237:V237" si="369">SUM(C235:C236)</f>
        <v>28641.75</v>
      </c>
      <c r="D237" s="97">
        <f t="shared" si="369"/>
        <v>0</v>
      </c>
      <c r="E237" s="97">
        <f t="shared" si="369"/>
        <v>0</v>
      </c>
      <c r="F237" s="97">
        <f t="shared" si="369"/>
        <v>0</v>
      </c>
      <c r="G237" s="97">
        <f t="shared" si="369"/>
        <v>0</v>
      </c>
      <c r="H237" s="97">
        <f t="shared" si="369"/>
        <v>0</v>
      </c>
      <c r="I237" s="97">
        <f t="shared" si="369"/>
        <v>0</v>
      </c>
      <c r="J237" s="97">
        <f t="shared" si="369"/>
        <v>0</v>
      </c>
      <c r="K237" s="97">
        <f t="shared" si="369"/>
        <v>0</v>
      </c>
      <c r="L237" s="97">
        <f t="shared" si="369"/>
        <v>0</v>
      </c>
      <c r="M237" s="97">
        <f t="shared" si="369"/>
        <v>0</v>
      </c>
      <c r="N237" s="97">
        <f t="shared" si="369"/>
        <v>0</v>
      </c>
      <c r="O237" s="97">
        <f t="shared" si="369"/>
        <v>0</v>
      </c>
      <c r="P237" s="97">
        <f t="shared" si="369"/>
        <v>0</v>
      </c>
      <c r="Q237" s="97">
        <f t="shared" si="369"/>
        <v>0</v>
      </c>
      <c r="R237" s="97">
        <f t="shared" si="369"/>
        <v>0</v>
      </c>
      <c r="S237" s="97">
        <f t="shared" si="369"/>
        <v>0</v>
      </c>
      <c r="T237" s="97">
        <f t="shared" si="369"/>
        <v>0</v>
      </c>
      <c r="U237" s="97">
        <f t="shared" si="369"/>
        <v>28641.75</v>
      </c>
      <c r="V237" s="97">
        <f t="shared" si="369"/>
        <v>0</v>
      </c>
      <c r="W237" s="97">
        <f>SUM(W235:W236)</f>
        <v>0</v>
      </c>
      <c r="X237" s="97">
        <f t="shared" ref="X237:AD237" si="370">SUM(X235:X236)</f>
        <v>0</v>
      </c>
      <c r="Y237" s="97">
        <f>SUM(Y235:Y236)</f>
        <v>0</v>
      </c>
      <c r="Z237" s="97">
        <f t="shared" si="370"/>
        <v>0</v>
      </c>
      <c r="AA237" s="97">
        <f t="shared" si="370"/>
        <v>0</v>
      </c>
      <c r="AB237" s="97">
        <f t="shared" si="370"/>
        <v>0</v>
      </c>
      <c r="AC237" s="97">
        <f t="shared" si="370"/>
        <v>0</v>
      </c>
      <c r="AD237" s="97">
        <f t="shared" si="370"/>
        <v>0</v>
      </c>
      <c r="AE237" s="97">
        <f>SUM(AE235:AE236)</f>
        <v>0</v>
      </c>
      <c r="AF237" s="97">
        <f>SUM(AF235:AF236)</f>
        <v>0</v>
      </c>
      <c r="AG237" s="97">
        <f>SUM(AG235:AG236)</f>
        <v>0</v>
      </c>
      <c r="AH237" s="97">
        <f t="shared" ref="AH237:AL237" si="371">SUM(AH235:AH236)</f>
        <v>0</v>
      </c>
      <c r="AI237" s="97">
        <f t="shared" si="371"/>
        <v>0</v>
      </c>
      <c r="AJ237" s="97">
        <f t="shared" si="371"/>
        <v>0</v>
      </c>
      <c r="AK237" s="97">
        <f t="shared" si="371"/>
        <v>0</v>
      </c>
      <c r="AL237" s="97">
        <f t="shared" si="371"/>
        <v>0</v>
      </c>
      <c r="AM237" s="97">
        <f>SUM(AM235:AM236)</f>
        <v>0</v>
      </c>
      <c r="AN237" s="97">
        <f>SUM(AN235:AN236)</f>
        <v>0</v>
      </c>
      <c r="AO237" s="97">
        <f>SUM(AO235:AO236)</f>
        <v>0</v>
      </c>
      <c r="AP237" s="97">
        <f>SUM(AP235:AP236)</f>
        <v>0</v>
      </c>
      <c r="AQ237" s="97">
        <f>SUM(AQ235:AQ236)</f>
        <v>0</v>
      </c>
      <c r="AR237" s="97">
        <f t="shared" ref="AR237" si="372">SUM(AR235:AR236)</f>
        <v>0</v>
      </c>
      <c r="AS237" s="97">
        <f>SUM(AS235:AS236)</f>
        <v>0</v>
      </c>
      <c r="AT237" s="97">
        <f t="shared" ref="AT237:AV237" si="373">SUM(AT235:AT236)</f>
        <v>0</v>
      </c>
      <c r="AU237" s="97">
        <f t="shared" si="373"/>
        <v>0</v>
      </c>
      <c r="AV237" s="97">
        <f t="shared" si="373"/>
        <v>0</v>
      </c>
      <c r="AW237" s="97">
        <f>SUM(AW235:AW236)</f>
        <v>0</v>
      </c>
      <c r="AX237" s="97">
        <f t="shared" ref="AX237:BF237" si="374">SUM(AX235:AX236)</f>
        <v>0</v>
      </c>
      <c r="AY237" s="97">
        <f t="shared" si="374"/>
        <v>0</v>
      </c>
      <c r="AZ237" s="97">
        <f t="shared" si="374"/>
        <v>0</v>
      </c>
      <c r="BA237" s="97">
        <f t="shared" si="374"/>
        <v>0</v>
      </c>
      <c r="BB237" s="97">
        <f t="shared" si="374"/>
        <v>0</v>
      </c>
      <c r="BC237" s="97">
        <f t="shared" si="374"/>
        <v>0</v>
      </c>
      <c r="BD237" s="97">
        <f t="shared" si="374"/>
        <v>0</v>
      </c>
      <c r="BE237" s="97">
        <f t="shared" si="374"/>
        <v>0</v>
      </c>
      <c r="BF237" s="97">
        <f t="shared" si="374"/>
        <v>0</v>
      </c>
    </row>
    <row r="238" spans="1:58" ht="14.1" customHeight="1">
      <c r="A238" s="75">
        <f t="shared" si="327"/>
        <v>232</v>
      </c>
      <c r="B238" s="96"/>
      <c r="C238" s="96"/>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row>
    <row r="239" spans="1:58" ht="14.1" customHeight="1">
      <c r="A239" s="75">
        <f t="shared" si="327"/>
        <v>233</v>
      </c>
      <c r="B239" s="96"/>
      <c r="C239" s="96"/>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row>
    <row r="240" spans="1:58" ht="14.1" customHeight="1">
      <c r="A240" s="75">
        <f t="shared" si="327"/>
        <v>234</v>
      </c>
      <c r="B240" s="81" t="s">
        <v>382</v>
      </c>
      <c r="C240" s="81"/>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c r="AE240" s="87"/>
      <c r="AF240" s="87"/>
      <c r="AG240" s="87"/>
      <c r="AH240" s="87"/>
      <c r="AI240" s="87"/>
      <c r="AJ240" s="87"/>
      <c r="AK240" s="87"/>
      <c r="AL240" s="87"/>
      <c r="AM240" s="87"/>
      <c r="AN240" s="87"/>
      <c r="AO240" s="87"/>
      <c r="AP240" s="87"/>
      <c r="AQ240" s="87"/>
      <c r="AR240" s="87"/>
      <c r="AS240" s="87"/>
      <c r="AT240" s="87"/>
      <c r="AU240" s="87"/>
      <c r="AV240" s="87"/>
      <c r="AW240" s="87"/>
      <c r="AX240" s="87"/>
      <c r="AY240" s="87"/>
      <c r="AZ240" s="87"/>
      <c r="BA240" s="87"/>
      <c r="BB240" s="87"/>
      <c r="BC240" s="87"/>
      <c r="BD240" s="87"/>
      <c r="BE240" s="87"/>
      <c r="BF240" s="87"/>
    </row>
    <row r="241" spans="1:58" s="95" customFormat="1" ht="14.1" customHeight="1">
      <c r="A241" s="75">
        <f t="shared" si="327"/>
        <v>235</v>
      </c>
      <c r="B241" s="76" t="s">
        <v>770</v>
      </c>
      <c r="C241" s="80">
        <f t="shared" ref="C241:C248" si="375">SUM(D241:BF241)</f>
        <v>93977971.09415172</v>
      </c>
      <c r="D241" s="87">
        <v>0</v>
      </c>
      <c r="E241" s="87">
        <v>0</v>
      </c>
      <c r="F241" s="87">
        <v>0</v>
      </c>
      <c r="G241" s="87">
        <v>0</v>
      </c>
      <c r="H241" s="87">
        <v>0</v>
      </c>
      <c r="I241" s="87">
        <v>0</v>
      </c>
      <c r="J241" s="87">
        <v>0</v>
      </c>
      <c r="K241" s="87">
        <v>0</v>
      </c>
      <c r="L241" s="87">
        <v>0</v>
      </c>
      <c r="M241" s="87">
        <v>0</v>
      </c>
      <c r="N241" s="87">
        <v>0</v>
      </c>
      <c r="O241" s="87">
        <v>0</v>
      </c>
      <c r="P241" s="87">
        <v>0</v>
      </c>
      <c r="Q241" s="87">
        <v>0</v>
      </c>
      <c r="R241" s="87">
        <v>0</v>
      </c>
      <c r="S241" s="87">
        <v>0</v>
      </c>
      <c r="T241" s="87">
        <v>0</v>
      </c>
      <c r="U241" s="87">
        <v>-5514295.8700000355</v>
      </c>
      <c r="V241" s="87">
        <v>0</v>
      </c>
      <c r="W241" s="87">
        <v>0</v>
      </c>
      <c r="X241" s="87">
        <v>0</v>
      </c>
      <c r="Y241" s="87">
        <v>0</v>
      </c>
      <c r="Z241" s="87">
        <v>0</v>
      </c>
      <c r="AA241" s="87">
        <v>0</v>
      </c>
      <c r="AB241" s="87">
        <v>0</v>
      </c>
      <c r="AC241" s="87">
        <v>0</v>
      </c>
      <c r="AD241" s="87">
        <v>0</v>
      </c>
      <c r="AE241" s="87">
        <v>0</v>
      </c>
      <c r="AF241" s="87">
        <v>0</v>
      </c>
      <c r="AG241" s="87">
        <v>0</v>
      </c>
      <c r="AH241" s="87">
        <v>0</v>
      </c>
      <c r="AI241" s="87">
        <v>0</v>
      </c>
      <c r="AJ241" s="87">
        <v>0</v>
      </c>
      <c r="AK241" s="87">
        <v>0</v>
      </c>
      <c r="AL241" s="87">
        <v>0</v>
      </c>
      <c r="AM241" s="87">
        <v>0</v>
      </c>
      <c r="AN241" s="87">
        <v>0</v>
      </c>
      <c r="AO241" s="87">
        <v>0</v>
      </c>
      <c r="AP241" s="87">
        <v>0</v>
      </c>
      <c r="AQ241" s="87">
        <v>0</v>
      </c>
      <c r="AR241" s="87">
        <v>0</v>
      </c>
      <c r="AS241" s="87">
        <v>0</v>
      </c>
      <c r="AT241" s="87">
        <v>0</v>
      </c>
      <c r="AU241" s="87">
        <v>0</v>
      </c>
      <c r="AV241" s="87">
        <v>0</v>
      </c>
      <c r="AW241" s="87">
        <v>0</v>
      </c>
      <c r="AX241" s="87">
        <v>0</v>
      </c>
      <c r="AY241" s="87">
        <v>0</v>
      </c>
      <c r="AZ241" s="87">
        <v>0</v>
      </c>
      <c r="BA241" s="87">
        <v>0</v>
      </c>
      <c r="BB241" s="87">
        <v>54614594.964151755</v>
      </c>
      <c r="BC241" s="87">
        <v>0</v>
      </c>
      <c r="BD241" s="87">
        <v>44877672</v>
      </c>
      <c r="BE241" s="87">
        <v>0</v>
      </c>
      <c r="BF241" s="87">
        <v>0</v>
      </c>
    </row>
    <row r="242" spans="1:58" s="95" customFormat="1" ht="14.1" customHeight="1">
      <c r="A242" s="75">
        <f t="shared" si="327"/>
        <v>236</v>
      </c>
      <c r="B242" s="76" t="s">
        <v>385</v>
      </c>
      <c r="C242" s="80">
        <f t="shared" si="375"/>
        <v>0</v>
      </c>
      <c r="D242" s="87">
        <v>0</v>
      </c>
      <c r="E242" s="87">
        <v>0</v>
      </c>
      <c r="F242" s="87">
        <v>0</v>
      </c>
      <c r="G242" s="87">
        <v>0</v>
      </c>
      <c r="H242" s="87">
        <v>0</v>
      </c>
      <c r="I242" s="87">
        <v>0</v>
      </c>
      <c r="J242" s="87">
        <v>0</v>
      </c>
      <c r="K242" s="87">
        <v>0</v>
      </c>
      <c r="L242" s="87">
        <v>0</v>
      </c>
      <c r="M242" s="87">
        <v>0</v>
      </c>
      <c r="N242" s="87">
        <v>0</v>
      </c>
      <c r="O242" s="87">
        <v>0</v>
      </c>
      <c r="P242" s="87">
        <v>0</v>
      </c>
      <c r="Q242" s="87">
        <v>0</v>
      </c>
      <c r="R242" s="87">
        <v>0</v>
      </c>
      <c r="S242" s="87">
        <v>0</v>
      </c>
      <c r="T242" s="87">
        <v>0</v>
      </c>
      <c r="U242" s="87">
        <v>0</v>
      </c>
      <c r="V242" s="87">
        <v>0</v>
      </c>
      <c r="W242" s="87">
        <v>0</v>
      </c>
      <c r="X242" s="87">
        <v>0</v>
      </c>
      <c r="Y242" s="87">
        <v>0</v>
      </c>
      <c r="Z242" s="87">
        <v>0</v>
      </c>
      <c r="AA242" s="87">
        <v>0</v>
      </c>
      <c r="AB242" s="87">
        <v>0</v>
      </c>
      <c r="AC242" s="87">
        <v>0</v>
      </c>
      <c r="AD242" s="87">
        <v>0</v>
      </c>
      <c r="AE242" s="87">
        <v>0</v>
      </c>
      <c r="AF242" s="87">
        <v>0</v>
      </c>
      <c r="AG242" s="87">
        <v>0</v>
      </c>
      <c r="AH242" s="87">
        <v>0</v>
      </c>
      <c r="AI242" s="87">
        <v>0</v>
      </c>
      <c r="AJ242" s="87">
        <v>0</v>
      </c>
      <c r="AK242" s="87">
        <v>0</v>
      </c>
      <c r="AL242" s="87">
        <v>0</v>
      </c>
      <c r="AM242" s="87">
        <v>0</v>
      </c>
      <c r="AN242" s="87">
        <v>0</v>
      </c>
      <c r="AO242" s="87">
        <v>0</v>
      </c>
      <c r="AP242" s="87">
        <v>0</v>
      </c>
      <c r="AQ242" s="87">
        <v>0</v>
      </c>
      <c r="AR242" s="87">
        <v>0</v>
      </c>
      <c r="AS242" s="87">
        <v>0</v>
      </c>
      <c r="AT242" s="87">
        <v>0</v>
      </c>
      <c r="AU242" s="87">
        <v>0</v>
      </c>
      <c r="AV242" s="87">
        <v>0</v>
      </c>
      <c r="AW242" s="87">
        <v>0</v>
      </c>
      <c r="AX242" s="87">
        <v>0</v>
      </c>
      <c r="AY242" s="87">
        <v>0</v>
      </c>
      <c r="AZ242" s="87">
        <v>0</v>
      </c>
      <c r="BA242" s="87">
        <v>0</v>
      </c>
      <c r="BB242" s="87">
        <v>0</v>
      </c>
      <c r="BC242" s="87">
        <v>0</v>
      </c>
      <c r="BD242" s="87">
        <v>0</v>
      </c>
      <c r="BE242" s="87">
        <v>0</v>
      </c>
      <c r="BF242" s="87">
        <v>0</v>
      </c>
    </row>
    <row r="243" spans="1:58" s="95" customFormat="1" ht="14.1" customHeight="1">
      <c r="A243" s="75">
        <f t="shared" si="327"/>
        <v>237</v>
      </c>
      <c r="B243" s="76" t="s">
        <v>386</v>
      </c>
      <c r="C243" s="80">
        <f t="shared" si="375"/>
        <v>0</v>
      </c>
      <c r="D243" s="87">
        <v>0</v>
      </c>
      <c r="E243" s="87">
        <v>0</v>
      </c>
      <c r="F243" s="87">
        <v>0</v>
      </c>
      <c r="G243" s="87">
        <v>0</v>
      </c>
      <c r="H243" s="87">
        <v>0</v>
      </c>
      <c r="I243" s="87">
        <v>0</v>
      </c>
      <c r="J243" s="87">
        <v>0</v>
      </c>
      <c r="K243" s="87">
        <v>0</v>
      </c>
      <c r="L243" s="87">
        <v>0</v>
      </c>
      <c r="M243" s="87">
        <v>0</v>
      </c>
      <c r="N243" s="87">
        <v>0</v>
      </c>
      <c r="O243" s="87">
        <v>0</v>
      </c>
      <c r="P243" s="87">
        <v>0</v>
      </c>
      <c r="Q243" s="87">
        <v>0</v>
      </c>
      <c r="R243" s="87">
        <v>0</v>
      </c>
      <c r="S243" s="87">
        <v>0</v>
      </c>
      <c r="T243" s="87">
        <v>0</v>
      </c>
      <c r="U243" s="87">
        <v>0</v>
      </c>
      <c r="V243" s="87">
        <v>0</v>
      </c>
      <c r="W243" s="87">
        <v>0</v>
      </c>
      <c r="X243" s="87">
        <v>0</v>
      </c>
      <c r="Y243" s="87">
        <v>0</v>
      </c>
      <c r="Z243" s="87">
        <v>0</v>
      </c>
      <c r="AA243" s="87">
        <v>0</v>
      </c>
      <c r="AB243" s="87">
        <v>0</v>
      </c>
      <c r="AC243" s="87">
        <v>0</v>
      </c>
      <c r="AD243" s="87">
        <v>0</v>
      </c>
      <c r="AE243" s="87">
        <v>0</v>
      </c>
      <c r="AF243" s="87">
        <v>0</v>
      </c>
      <c r="AG243" s="87">
        <v>0</v>
      </c>
      <c r="AH243" s="87">
        <v>0</v>
      </c>
      <c r="AI243" s="87">
        <v>0</v>
      </c>
      <c r="AJ243" s="87">
        <v>0</v>
      </c>
      <c r="AK243" s="87">
        <v>0</v>
      </c>
      <c r="AL243" s="87">
        <v>0</v>
      </c>
      <c r="AM243" s="87">
        <v>0</v>
      </c>
      <c r="AN243" s="87">
        <v>0</v>
      </c>
      <c r="AO243" s="87">
        <v>0</v>
      </c>
      <c r="AP243" s="87">
        <v>0</v>
      </c>
      <c r="AQ243" s="87">
        <v>0</v>
      </c>
      <c r="AR243" s="87">
        <v>0</v>
      </c>
      <c r="AS243" s="87">
        <v>0</v>
      </c>
      <c r="AT243" s="87">
        <v>0</v>
      </c>
      <c r="AU243" s="87">
        <v>0</v>
      </c>
      <c r="AV243" s="87">
        <v>0</v>
      </c>
      <c r="AW243" s="87">
        <v>0</v>
      </c>
      <c r="AX243" s="87">
        <v>0</v>
      </c>
      <c r="AY243" s="87">
        <v>0</v>
      </c>
      <c r="AZ243" s="87">
        <v>0</v>
      </c>
      <c r="BA243" s="87">
        <v>0</v>
      </c>
      <c r="BB243" s="87">
        <v>0</v>
      </c>
      <c r="BC243" s="87">
        <v>0</v>
      </c>
      <c r="BD243" s="87">
        <v>0</v>
      </c>
      <c r="BE243" s="87">
        <v>0</v>
      </c>
      <c r="BF243" s="87">
        <v>0</v>
      </c>
    </row>
    <row r="244" spans="1:58" s="95" customFormat="1" ht="14.1" customHeight="1">
      <c r="A244" s="75">
        <f t="shared" si="327"/>
        <v>238</v>
      </c>
      <c r="B244" s="76" t="s">
        <v>387</v>
      </c>
      <c r="C244" s="80">
        <f t="shared" si="375"/>
        <v>0</v>
      </c>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87"/>
      <c r="AH244" s="87"/>
      <c r="AI244" s="87"/>
      <c r="AJ244" s="87"/>
      <c r="AK244" s="87"/>
      <c r="AL244" s="87"/>
      <c r="AM244" s="87"/>
      <c r="AN244" s="87"/>
      <c r="AO244" s="87"/>
      <c r="AP244" s="87"/>
      <c r="AQ244" s="87"/>
      <c r="AR244" s="87"/>
      <c r="AS244" s="87"/>
      <c r="AT244" s="87"/>
      <c r="AU244" s="87"/>
      <c r="AV244" s="87"/>
      <c r="AW244" s="87"/>
      <c r="AX244" s="87"/>
      <c r="AY244" s="87"/>
      <c r="AZ244" s="87"/>
      <c r="BA244" s="87"/>
      <c r="BB244" s="87"/>
      <c r="BC244" s="87"/>
      <c r="BD244" s="87"/>
      <c r="BE244" s="87"/>
      <c r="BF244" s="87"/>
    </row>
    <row r="245" spans="1:58" s="95" customFormat="1" ht="14.1" customHeight="1">
      <c r="A245" s="75">
        <f t="shared" si="327"/>
        <v>239</v>
      </c>
      <c r="B245" s="76" t="s">
        <v>771</v>
      </c>
      <c r="C245" s="80">
        <f t="shared" si="375"/>
        <v>0</v>
      </c>
      <c r="D245" s="87">
        <v>0</v>
      </c>
      <c r="E245" s="87">
        <v>0</v>
      </c>
      <c r="F245" s="87">
        <v>0</v>
      </c>
      <c r="G245" s="87">
        <v>0</v>
      </c>
      <c r="H245" s="87">
        <v>0</v>
      </c>
      <c r="I245" s="87">
        <v>0</v>
      </c>
      <c r="J245" s="87">
        <v>0</v>
      </c>
      <c r="K245" s="87">
        <v>0</v>
      </c>
      <c r="L245" s="87">
        <v>0</v>
      </c>
      <c r="M245" s="87">
        <v>0</v>
      </c>
      <c r="N245" s="87">
        <v>0</v>
      </c>
      <c r="O245" s="87">
        <v>0</v>
      </c>
      <c r="P245" s="87">
        <v>0</v>
      </c>
      <c r="Q245" s="87">
        <v>0</v>
      </c>
      <c r="R245" s="87">
        <v>0</v>
      </c>
      <c r="S245" s="87">
        <v>0</v>
      </c>
      <c r="T245" s="87">
        <v>0</v>
      </c>
      <c r="U245" s="87">
        <v>0</v>
      </c>
      <c r="V245" s="87">
        <v>0</v>
      </c>
      <c r="W245" s="87">
        <v>0</v>
      </c>
      <c r="X245" s="87">
        <v>0</v>
      </c>
      <c r="Y245" s="87">
        <v>0</v>
      </c>
      <c r="Z245" s="87">
        <v>0</v>
      </c>
      <c r="AA245" s="87">
        <v>0</v>
      </c>
      <c r="AB245" s="87">
        <v>0</v>
      </c>
      <c r="AC245" s="87">
        <v>0</v>
      </c>
      <c r="AD245" s="87">
        <v>0</v>
      </c>
      <c r="AE245" s="87">
        <v>0</v>
      </c>
      <c r="AF245" s="87">
        <v>0</v>
      </c>
      <c r="AG245" s="87">
        <v>0</v>
      </c>
      <c r="AH245" s="87">
        <v>0</v>
      </c>
      <c r="AI245" s="87">
        <v>0</v>
      </c>
      <c r="AJ245" s="87">
        <v>0</v>
      </c>
      <c r="AK245" s="87">
        <v>0</v>
      </c>
      <c r="AL245" s="87">
        <v>0</v>
      </c>
      <c r="AM245" s="87">
        <v>0</v>
      </c>
      <c r="AN245" s="87">
        <v>0</v>
      </c>
      <c r="AO245" s="87">
        <v>0</v>
      </c>
      <c r="AP245" s="87">
        <v>0</v>
      </c>
      <c r="AQ245" s="87">
        <v>0</v>
      </c>
      <c r="AR245" s="87">
        <v>0</v>
      </c>
      <c r="AS245" s="87">
        <v>0</v>
      </c>
      <c r="AT245" s="87">
        <v>0</v>
      </c>
      <c r="AU245" s="87">
        <v>0</v>
      </c>
      <c r="AV245" s="87">
        <v>0</v>
      </c>
      <c r="AW245" s="87">
        <v>0</v>
      </c>
      <c r="AX245" s="87">
        <v>0</v>
      </c>
      <c r="AY245" s="87">
        <v>0</v>
      </c>
      <c r="AZ245" s="87">
        <v>0</v>
      </c>
      <c r="BA245" s="87">
        <v>0</v>
      </c>
      <c r="BB245" s="87">
        <v>0</v>
      </c>
      <c r="BC245" s="87">
        <v>0</v>
      </c>
      <c r="BD245" s="87">
        <v>0</v>
      </c>
      <c r="BE245" s="87">
        <v>0</v>
      </c>
      <c r="BF245" s="87">
        <v>0</v>
      </c>
    </row>
    <row r="246" spans="1:58" ht="14.1" customHeight="1">
      <c r="A246" s="75">
        <f t="shared" si="327"/>
        <v>240</v>
      </c>
      <c r="B246" s="76" t="s">
        <v>391</v>
      </c>
      <c r="C246" s="80">
        <f t="shared" si="375"/>
        <v>0</v>
      </c>
      <c r="D246" s="87">
        <v>0</v>
      </c>
      <c r="E246" s="87">
        <v>0</v>
      </c>
      <c r="F246" s="87">
        <v>0</v>
      </c>
      <c r="G246" s="87">
        <v>0</v>
      </c>
      <c r="H246" s="87">
        <v>0</v>
      </c>
      <c r="I246" s="87">
        <v>0</v>
      </c>
      <c r="J246" s="87">
        <v>0</v>
      </c>
      <c r="K246" s="87">
        <v>0</v>
      </c>
      <c r="L246" s="87">
        <v>0</v>
      </c>
      <c r="M246" s="87">
        <v>0</v>
      </c>
      <c r="N246" s="87">
        <v>0</v>
      </c>
      <c r="O246" s="87">
        <v>0</v>
      </c>
      <c r="P246" s="87">
        <v>0</v>
      </c>
      <c r="Q246" s="87">
        <v>0</v>
      </c>
      <c r="R246" s="87">
        <v>0</v>
      </c>
      <c r="S246" s="87">
        <v>0</v>
      </c>
      <c r="T246" s="87">
        <v>0</v>
      </c>
      <c r="U246" s="87">
        <v>0</v>
      </c>
      <c r="V246" s="87">
        <v>0</v>
      </c>
      <c r="W246" s="87">
        <v>0</v>
      </c>
      <c r="X246" s="87">
        <v>0</v>
      </c>
      <c r="Y246" s="87">
        <v>0</v>
      </c>
      <c r="Z246" s="87">
        <v>0</v>
      </c>
      <c r="AA246" s="87">
        <v>0</v>
      </c>
      <c r="AB246" s="87">
        <v>0</v>
      </c>
      <c r="AC246" s="87">
        <v>0</v>
      </c>
      <c r="AD246" s="87">
        <v>0</v>
      </c>
      <c r="AE246" s="87">
        <v>0</v>
      </c>
      <c r="AF246" s="87">
        <v>0</v>
      </c>
      <c r="AG246" s="87">
        <v>0</v>
      </c>
      <c r="AH246" s="87">
        <v>0</v>
      </c>
      <c r="AI246" s="87">
        <v>0</v>
      </c>
      <c r="AJ246" s="87">
        <v>0</v>
      </c>
      <c r="AK246" s="87">
        <v>0</v>
      </c>
      <c r="AL246" s="87">
        <v>0</v>
      </c>
      <c r="AM246" s="87">
        <v>0</v>
      </c>
      <c r="AN246" s="87">
        <v>0</v>
      </c>
      <c r="AO246" s="87">
        <v>0</v>
      </c>
      <c r="AP246" s="87">
        <v>0</v>
      </c>
      <c r="AQ246" s="87">
        <v>0</v>
      </c>
      <c r="AR246" s="87">
        <v>0</v>
      </c>
      <c r="AS246" s="87">
        <v>0</v>
      </c>
      <c r="AT246" s="87">
        <v>0</v>
      </c>
      <c r="AU246" s="87">
        <v>0</v>
      </c>
      <c r="AV246" s="87">
        <v>0</v>
      </c>
      <c r="AW246" s="87">
        <v>0</v>
      </c>
      <c r="AX246" s="87">
        <v>0</v>
      </c>
      <c r="AY246" s="87">
        <v>0</v>
      </c>
      <c r="AZ246" s="87">
        <v>0</v>
      </c>
      <c r="BA246" s="87">
        <v>0</v>
      </c>
      <c r="BB246" s="87">
        <v>0</v>
      </c>
      <c r="BC246" s="87">
        <v>0</v>
      </c>
      <c r="BD246" s="87">
        <v>0</v>
      </c>
      <c r="BE246" s="87">
        <v>0</v>
      </c>
      <c r="BF246" s="87">
        <v>0</v>
      </c>
    </row>
    <row r="247" spans="1:58" ht="14.1" customHeight="1">
      <c r="A247" s="75">
        <f t="shared" si="327"/>
        <v>241</v>
      </c>
      <c r="B247" s="76" t="s">
        <v>393</v>
      </c>
      <c r="C247" s="80">
        <f t="shared" si="375"/>
        <v>10000000</v>
      </c>
      <c r="D247" s="87">
        <v>0</v>
      </c>
      <c r="E247" s="87">
        <v>0</v>
      </c>
      <c r="F247" s="87">
        <v>0</v>
      </c>
      <c r="G247" s="87">
        <v>0</v>
      </c>
      <c r="H247" s="87"/>
      <c r="I247" s="87">
        <v>0</v>
      </c>
      <c r="J247" s="87">
        <v>0</v>
      </c>
      <c r="K247" s="87">
        <v>0</v>
      </c>
      <c r="L247" s="87">
        <v>0</v>
      </c>
      <c r="M247" s="87">
        <v>0</v>
      </c>
      <c r="N247" s="87">
        <v>0</v>
      </c>
      <c r="O247" s="87">
        <v>0</v>
      </c>
      <c r="P247" s="87">
        <v>0</v>
      </c>
      <c r="Q247" s="87">
        <v>0</v>
      </c>
      <c r="R247" s="87">
        <v>0</v>
      </c>
      <c r="S247" s="87">
        <v>0</v>
      </c>
      <c r="T247" s="87">
        <v>0</v>
      </c>
      <c r="U247" s="87">
        <v>0</v>
      </c>
      <c r="V247" s="87">
        <v>0</v>
      </c>
      <c r="W247" s="87">
        <v>0</v>
      </c>
      <c r="X247" s="87">
        <v>0</v>
      </c>
      <c r="Y247" s="87">
        <v>0</v>
      </c>
      <c r="Z247" s="87">
        <v>0</v>
      </c>
      <c r="AA247" s="87">
        <v>0</v>
      </c>
      <c r="AB247" s="87">
        <v>0</v>
      </c>
      <c r="AC247" s="87">
        <v>0</v>
      </c>
      <c r="AD247" s="87">
        <v>0</v>
      </c>
      <c r="AE247" s="87">
        <v>0</v>
      </c>
      <c r="AF247" s="87">
        <v>0</v>
      </c>
      <c r="AG247" s="87">
        <v>0</v>
      </c>
      <c r="AH247" s="87">
        <v>0</v>
      </c>
      <c r="AI247" s="87">
        <v>0</v>
      </c>
      <c r="AJ247" s="87">
        <v>0</v>
      </c>
      <c r="AK247" s="87">
        <v>0</v>
      </c>
      <c r="AL247" s="87">
        <v>0</v>
      </c>
      <c r="AM247" s="87">
        <v>0</v>
      </c>
      <c r="AN247" s="87">
        <v>0</v>
      </c>
      <c r="AO247" s="87">
        <v>0</v>
      </c>
      <c r="AP247" s="87">
        <v>0</v>
      </c>
      <c r="AQ247" s="87">
        <v>0</v>
      </c>
      <c r="AR247" s="87">
        <v>0</v>
      </c>
      <c r="AS247" s="87">
        <v>0</v>
      </c>
      <c r="AT247" s="87">
        <v>0</v>
      </c>
      <c r="AU247" s="87">
        <v>0</v>
      </c>
      <c r="AV247" s="87">
        <v>0</v>
      </c>
      <c r="AW247" s="87">
        <v>0</v>
      </c>
      <c r="AX247" s="87">
        <v>0</v>
      </c>
      <c r="AY247" s="87">
        <v>10000000</v>
      </c>
      <c r="AZ247" s="87">
        <v>0</v>
      </c>
      <c r="BA247" s="87">
        <v>0</v>
      </c>
      <c r="BB247" s="87">
        <v>0</v>
      </c>
      <c r="BC247" s="87">
        <v>0</v>
      </c>
      <c r="BD247" s="87">
        <v>0</v>
      </c>
      <c r="BE247" s="87">
        <v>0</v>
      </c>
      <c r="BF247" s="87">
        <v>0</v>
      </c>
    </row>
    <row r="248" spans="1:58" ht="14.1" customHeight="1">
      <c r="A248" s="75">
        <f t="shared" si="327"/>
        <v>242</v>
      </c>
      <c r="B248" s="90" t="s">
        <v>394</v>
      </c>
      <c r="C248" s="80">
        <f t="shared" si="375"/>
        <v>0</v>
      </c>
      <c r="D248" s="87">
        <v>0</v>
      </c>
      <c r="E248" s="87">
        <v>0</v>
      </c>
      <c r="F248" s="87">
        <v>0</v>
      </c>
      <c r="G248" s="87">
        <v>0</v>
      </c>
      <c r="H248" s="87">
        <v>0</v>
      </c>
      <c r="I248" s="87">
        <v>0</v>
      </c>
      <c r="J248" s="87">
        <v>0</v>
      </c>
      <c r="K248" s="87">
        <v>0</v>
      </c>
      <c r="L248" s="87">
        <v>0</v>
      </c>
      <c r="M248" s="87">
        <v>0</v>
      </c>
      <c r="N248" s="87">
        <v>0</v>
      </c>
      <c r="O248" s="87">
        <v>0</v>
      </c>
      <c r="P248" s="87">
        <v>0</v>
      </c>
      <c r="Q248" s="87">
        <v>0</v>
      </c>
      <c r="R248" s="87">
        <v>0</v>
      </c>
      <c r="S248" s="87">
        <v>0</v>
      </c>
      <c r="T248" s="87">
        <v>0</v>
      </c>
      <c r="U248" s="87">
        <v>0</v>
      </c>
      <c r="V248" s="87">
        <v>0</v>
      </c>
      <c r="W248" s="87">
        <v>0</v>
      </c>
      <c r="X248" s="87">
        <v>0</v>
      </c>
      <c r="Y248" s="87">
        <v>0</v>
      </c>
      <c r="Z248" s="87">
        <v>0</v>
      </c>
      <c r="AA248" s="87">
        <v>0</v>
      </c>
      <c r="AB248" s="87">
        <v>0</v>
      </c>
      <c r="AC248" s="87">
        <v>0</v>
      </c>
      <c r="AD248" s="87">
        <v>0</v>
      </c>
      <c r="AE248" s="87">
        <v>0</v>
      </c>
      <c r="AF248" s="87">
        <v>0</v>
      </c>
      <c r="AG248" s="87">
        <v>0</v>
      </c>
      <c r="AH248" s="87">
        <v>0</v>
      </c>
      <c r="AI248" s="87">
        <v>0</v>
      </c>
      <c r="AJ248" s="87">
        <v>0</v>
      </c>
      <c r="AK248" s="87">
        <v>0</v>
      </c>
      <c r="AL248" s="87">
        <v>0</v>
      </c>
      <c r="AM248" s="87">
        <v>0</v>
      </c>
      <c r="AN248" s="87">
        <v>0</v>
      </c>
      <c r="AO248" s="87">
        <v>0</v>
      </c>
      <c r="AP248" s="87">
        <v>0</v>
      </c>
      <c r="AQ248" s="87">
        <v>0</v>
      </c>
      <c r="AR248" s="87">
        <v>0</v>
      </c>
      <c r="AS248" s="87">
        <v>0</v>
      </c>
      <c r="AT248" s="87">
        <v>0</v>
      </c>
      <c r="AU248" s="87">
        <v>0</v>
      </c>
      <c r="AV248" s="87">
        <v>0</v>
      </c>
      <c r="AW248" s="87">
        <v>0</v>
      </c>
      <c r="AX248" s="87">
        <v>0</v>
      </c>
      <c r="AY248" s="87">
        <v>0</v>
      </c>
      <c r="AZ248" s="87">
        <v>0</v>
      </c>
      <c r="BA248" s="87">
        <v>0</v>
      </c>
      <c r="BB248" s="87">
        <v>0</v>
      </c>
      <c r="BC248" s="87">
        <v>0</v>
      </c>
      <c r="BD248" s="87">
        <v>0</v>
      </c>
      <c r="BE248" s="87">
        <v>0</v>
      </c>
      <c r="BF248" s="87">
        <v>0</v>
      </c>
    </row>
    <row r="249" spans="1:58" ht="14.1" customHeight="1">
      <c r="A249" s="75">
        <f t="shared" si="327"/>
        <v>243</v>
      </c>
      <c r="B249" s="93" t="s">
        <v>395</v>
      </c>
      <c r="C249" s="97">
        <f t="shared" ref="C249:V249" si="376">SUM(C241:C248)</f>
        <v>103977971.09415172</v>
      </c>
      <c r="D249" s="97">
        <f t="shared" si="376"/>
        <v>0</v>
      </c>
      <c r="E249" s="97">
        <f t="shared" si="376"/>
        <v>0</v>
      </c>
      <c r="F249" s="97">
        <f t="shared" si="376"/>
        <v>0</v>
      </c>
      <c r="G249" s="97">
        <f t="shared" si="376"/>
        <v>0</v>
      </c>
      <c r="H249" s="97">
        <f t="shared" si="376"/>
        <v>0</v>
      </c>
      <c r="I249" s="97">
        <f t="shared" si="376"/>
        <v>0</v>
      </c>
      <c r="J249" s="97">
        <f t="shared" si="376"/>
        <v>0</v>
      </c>
      <c r="K249" s="97">
        <f t="shared" si="376"/>
        <v>0</v>
      </c>
      <c r="L249" s="97">
        <f t="shared" si="376"/>
        <v>0</v>
      </c>
      <c r="M249" s="97">
        <f t="shared" si="376"/>
        <v>0</v>
      </c>
      <c r="N249" s="97">
        <f t="shared" si="376"/>
        <v>0</v>
      </c>
      <c r="O249" s="97">
        <f t="shared" si="376"/>
        <v>0</v>
      </c>
      <c r="P249" s="97">
        <f t="shared" si="376"/>
        <v>0</v>
      </c>
      <c r="Q249" s="97">
        <f t="shared" si="376"/>
        <v>0</v>
      </c>
      <c r="R249" s="97">
        <f t="shared" si="376"/>
        <v>0</v>
      </c>
      <c r="S249" s="97">
        <f t="shared" si="376"/>
        <v>0</v>
      </c>
      <c r="T249" s="97">
        <f t="shared" si="376"/>
        <v>0</v>
      </c>
      <c r="U249" s="97">
        <f t="shared" si="376"/>
        <v>-5514295.8700000355</v>
      </c>
      <c r="V249" s="97">
        <f t="shared" si="376"/>
        <v>0</v>
      </c>
      <c r="W249" s="97">
        <f>SUM(W241:W248)</f>
        <v>0</v>
      </c>
      <c r="X249" s="97">
        <f t="shared" ref="X249:AD249" si="377">SUM(X241:X248)</f>
        <v>0</v>
      </c>
      <c r="Y249" s="97">
        <f>SUM(Y241:Y248)</f>
        <v>0</v>
      </c>
      <c r="Z249" s="97">
        <f t="shared" si="377"/>
        <v>0</v>
      </c>
      <c r="AA249" s="97">
        <f t="shared" si="377"/>
        <v>0</v>
      </c>
      <c r="AB249" s="97">
        <f t="shared" si="377"/>
        <v>0</v>
      </c>
      <c r="AC249" s="97">
        <f t="shared" si="377"/>
        <v>0</v>
      </c>
      <c r="AD249" s="97">
        <f t="shared" si="377"/>
        <v>0</v>
      </c>
      <c r="AE249" s="97">
        <f>SUM(AE241:AE248)</f>
        <v>0</v>
      </c>
      <c r="AF249" s="97">
        <f>SUM(AF241:AF248)</f>
        <v>0</v>
      </c>
      <c r="AG249" s="97">
        <f>SUM(AG241:AG248)</f>
        <v>0</v>
      </c>
      <c r="AH249" s="97">
        <f t="shared" ref="AH249:AL249" si="378">SUM(AH241:AH248)</f>
        <v>0</v>
      </c>
      <c r="AI249" s="97">
        <f t="shared" si="378"/>
        <v>0</v>
      </c>
      <c r="AJ249" s="97">
        <f t="shared" si="378"/>
        <v>0</v>
      </c>
      <c r="AK249" s="97">
        <f t="shared" si="378"/>
        <v>0</v>
      </c>
      <c r="AL249" s="97">
        <f t="shared" si="378"/>
        <v>0</v>
      </c>
      <c r="AM249" s="97">
        <f>SUM(AM241:AM248)</f>
        <v>0</v>
      </c>
      <c r="AN249" s="97">
        <f>SUM(AN241:AN248)</f>
        <v>0</v>
      </c>
      <c r="AO249" s="97">
        <f>SUM(AO241:AO248)</f>
        <v>0</v>
      </c>
      <c r="AP249" s="97">
        <f>SUM(AP241:AP248)</f>
        <v>0</v>
      </c>
      <c r="AQ249" s="97">
        <f>SUM(AQ241:AQ248)</f>
        <v>0</v>
      </c>
      <c r="AR249" s="97">
        <f t="shared" ref="AR249" si="379">SUM(AR241:AR248)</f>
        <v>0</v>
      </c>
      <c r="AS249" s="97">
        <f>SUM(AS241:AS248)</f>
        <v>0</v>
      </c>
      <c r="AT249" s="97">
        <f t="shared" ref="AT249:AV249" si="380">SUM(AT241:AT248)</f>
        <v>0</v>
      </c>
      <c r="AU249" s="97">
        <f t="shared" si="380"/>
        <v>0</v>
      </c>
      <c r="AV249" s="97">
        <f t="shared" si="380"/>
        <v>0</v>
      </c>
      <c r="AW249" s="97">
        <f>SUM(AW241:AW248)</f>
        <v>0</v>
      </c>
      <c r="AX249" s="97">
        <f t="shared" ref="AX249:BF249" si="381">SUM(AX241:AX248)</f>
        <v>0</v>
      </c>
      <c r="AY249" s="97">
        <f t="shared" si="381"/>
        <v>10000000</v>
      </c>
      <c r="AZ249" s="97">
        <f t="shared" si="381"/>
        <v>0</v>
      </c>
      <c r="BA249" s="97">
        <f t="shared" si="381"/>
        <v>0</v>
      </c>
      <c r="BB249" s="97">
        <f t="shared" si="381"/>
        <v>54614594.964151755</v>
      </c>
      <c r="BC249" s="97">
        <f t="shared" si="381"/>
        <v>0</v>
      </c>
      <c r="BD249" s="97">
        <f t="shared" si="381"/>
        <v>44877672</v>
      </c>
      <c r="BE249" s="97">
        <f t="shared" si="381"/>
        <v>0</v>
      </c>
      <c r="BF249" s="97">
        <f t="shared" si="381"/>
        <v>0</v>
      </c>
    </row>
    <row r="250" spans="1:58" ht="14.1" customHeight="1">
      <c r="A250" s="75">
        <f t="shared" si="327"/>
        <v>244</v>
      </c>
      <c r="B250" s="114"/>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c r="AU250" s="115"/>
      <c r="AV250" s="115"/>
      <c r="AW250" s="115"/>
      <c r="AX250" s="115"/>
      <c r="AY250" s="115"/>
      <c r="AZ250" s="115"/>
      <c r="BA250" s="115"/>
      <c r="BB250" s="115"/>
      <c r="BC250" s="115"/>
      <c r="BD250" s="115"/>
      <c r="BE250" s="115"/>
      <c r="BF250" s="115"/>
    </row>
    <row r="251" spans="1:58" s="81" customFormat="1" ht="14.1" customHeight="1" thickBot="1">
      <c r="A251" s="75">
        <f t="shared" si="327"/>
        <v>245</v>
      </c>
      <c r="B251" s="116" t="s">
        <v>772</v>
      </c>
      <c r="C251" s="119">
        <f>C194+C217+C166+C224+C237+C249+C232</f>
        <v>-138088477.14384821</v>
      </c>
      <c r="D251" s="119">
        <f t="shared" ref="D251:AL251" si="382">D194+D217+D166+D224+D237+D249</f>
        <v>0</v>
      </c>
      <c r="E251" s="119">
        <f t="shared" si="382"/>
        <v>0</v>
      </c>
      <c r="F251" s="119">
        <f t="shared" si="382"/>
        <v>0</v>
      </c>
      <c r="G251" s="119">
        <f t="shared" si="382"/>
        <v>0</v>
      </c>
      <c r="H251" s="119">
        <f t="shared" si="382"/>
        <v>0</v>
      </c>
      <c r="I251" s="119">
        <f t="shared" si="382"/>
        <v>0</v>
      </c>
      <c r="J251" s="119">
        <f t="shared" si="382"/>
        <v>0</v>
      </c>
      <c r="K251" s="119">
        <f t="shared" si="382"/>
        <v>0</v>
      </c>
      <c r="L251" s="119">
        <f t="shared" si="382"/>
        <v>0</v>
      </c>
      <c r="M251" s="119">
        <f t="shared" si="382"/>
        <v>0</v>
      </c>
      <c r="N251" s="119">
        <f t="shared" si="382"/>
        <v>0</v>
      </c>
      <c r="O251" s="119">
        <f t="shared" si="382"/>
        <v>0</v>
      </c>
      <c r="P251" s="119">
        <f t="shared" si="382"/>
        <v>0</v>
      </c>
      <c r="Q251" s="119">
        <f t="shared" si="382"/>
        <v>0</v>
      </c>
      <c r="R251" s="119">
        <f t="shared" si="382"/>
        <v>0</v>
      </c>
      <c r="S251" s="119">
        <f t="shared" si="382"/>
        <v>0</v>
      </c>
      <c r="T251" s="119">
        <f t="shared" si="382"/>
        <v>0</v>
      </c>
      <c r="U251" s="119">
        <f t="shared" si="382"/>
        <v>20188819.880000077</v>
      </c>
      <c r="V251" s="119">
        <f t="shared" si="382"/>
        <v>0</v>
      </c>
      <c r="W251" s="119">
        <f t="shared" si="382"/>
        <v>0</v>
      </c>
      <c r="X251" s="119">
        <f t="shared" si="382"/>
        <v>0</v>
      </c>
      <c r="Y251" s="119">
        <f t="shared" si="382"/>
        <v>0</v>
      </c>
      <c r="Z251" s="119">
        <f t="shared" si="382"/>
        <v>0</v>
      </c>
      <c r="AA251" s="119">
        <f t="shared" si="382"/>
        <v>0</v>
      </c>
      <c r="AB251" s="119">
        <f t="shared" si="382"/>
        <v>0</v>
      </c>
      <c r="AC251" s="119">
        <f t="shared" si="382"/>
        <v>0</v>
      </c>
      <c r="AD251" s="119">
        <f t="shared" si="382"/>
        <v>0</v>
      </c>
      <c r="AE251" s="119">
        <f t="shared" si="382"/>
        <v>0</v>
      </c>
      <c r="AF251" s="119">
        <f t="shared" si="382"/>
        <v>0</v>
      </c>
      <c r="AG251" s="119">
        <f t="shared" si="382"/>
        <v>0</v>
      </c>
      <c r="AH251" s="119">
        <f t="shared" si="382"/>
        <v>0</v>
      </c>
      <c r="AI251" s="119">
        <f t="shared" si="382"/>
        <v>0</v>
      </c>
      <c r="AJ251" s="119">
        <f t="shared" si="382"/>
        <v>0</v>
      </c>
      <c r="AK251" s="119">
        <f t="shared" si="382"/>
        <v>0</v>
      </c>
      <c r="AL251" s="119">
        <f t="shared" si="382"/>
        <v>0</v>
      </c>
      <c r="AM251" s="119">
        <f>AM194+AM217+AM166+AM224+AM237+AM249</f>
        <v>0</v>
      </c>
      <c r="AN251" s="119">
        <f>AN194+AN217+AN166+AN224+AN237+AN249</f>
        <v>0</v>
      </c>
      <c r="AO251" s="119">
        <f>AO194+AO217+AO166+AO224+AO237+AO249</f>
        <v>0</v>
      </c>
      <c r="AP251" s="119">
        <f>AP194+AP217+AP166+AP224+AP237+AP249</f>
        <v>0</v>
      </c>
      <c r="AQ251" s="119">
        <f>AQ194+AQ217+AQ166+AQ224+AQ237+AQ249</f>
        <v>0</v>
      </c>
      <c r="AR251" s="119">
        <f t="shared" ref="AR251" si="383">AR194+AR217+AR166+AR224+AR237+AR249</f>
        <v>0</v>
      </c>
      <c r="AS251" s="119">
        <f>AS194+AS217+AS166+AS224+AS237+AS249</f>
        <v>0</v>
      </c>
      <c r="AT251" s="119">
        <f t="shared" ref="AT251:AU251" si="384">AT194+AT217+AT166+AT224+AT237+AT249</f>
        <v>0</v>
      </c>
      <c r="AU251" s="119">
        <f t="shared" si="384"/>
        <v>-127654870.42999995</v>
      </c>
      <c r="AV251" s="119">
        <f>AV194+AV217+AV166+AV224+AV237+AV249</f>
        <v>18000000</v>
      </c>
      <c r="AW251" s="119">
        <f>AW194+AW217+AW166+AW224+AW237+AW249</f>
        <v>84676984.310000002</v>
      </c>
      <c r="AX251" s="119">
        <f t="shared" ref="AX251:BF251" si="385">AX194+AX217+AX166+AX224+AX237+AX249</f>
        <v>-84676984.310000002</v>
      </c>
      <c r="AY251" s="119">
        <f t="shared" si="385"/>
        <v>10000000</v>
      </c>
      <c r="AZ251" s="119">
        <f t="shared" si="385"/>
        <v>0</v>
      </c>
      <c r="BA251" s="119">
        <f t="shared" si="385"/>
        <v>0</v>
      </c>
      <c r="BB251" s="119">
        <f t="shared" si="385"/>
        <v>54614594.964151755</v>
      </c>
      <c r="BC251" s="119">
        <f t="shared" si="385"/>
        <v>0</v>
      </c>
      <c r="BD251" s="119">
        <f t="shared" si="385"/>
        <v>-113080671</v>
      </c>
      <c r="BE251" s="119">
        <f t="shared" si="385"/>
        <v>-341158</v>
      </c>
      <c r="BF251" s="119">
        <f t="shared" si="385"/>
        <v>0</v>
      </c>
    </row>
    <row r="252" spans="1:58" ht="14.1" customHeight="1" thickTop="1">
      <c r="A252" s="75">
        <f t="shared" si="327"/>
        <v>246</v>
      </c>
      <c r="B252" s="80"/>
      <c r="C252" s="80"/>
    </row>
    <row r="253" spans="1:58" ht="14.1" customHeight="1">
      <c r="A253" s="75">
        <f t="shared" si="327"/>
        <v>247</v>
      </c>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c r="AD253" s="87"/>
      <c r="AE253" s="87"/>
      <c r="AF253" s="87"/>
      <c r="AG253" s="87"/>
      <c r="AH253" s="87"/>
      <c r="AI253" s="87"/>
      <c r="AJ253" s="87"/>
      <c r="AK253" s="87"/>
      <c r="AL253" s="87"/>
      <c r="AM253" s="87"/>
      <c r="AN253" s="87"/>
      <c r="AO253" s="87"/>
      <c r="AP253" s="87"/>
      <c r="AQ253" s="87"/>
      <c r="AR253" s="87"/>
      <c r="AS253" s="87"/>
      <c r="AT253" s="87"/>
      <c r="AU253" s="87"/>
      <c r="AV253" s="87"/>
      <c r="AW253" s="87"/>
      <c r="AX253" s="87"/>
      <c r="AY253" s="87"/>
      <c r="AZ253" s="87"/>
      <c r="BA253" s="87"/>
      <c r="BB253" s="87"/>
      <c r="BC253" s="87"/>
      <c r="BD253" s="87"/>
      <c r="BE253" s="87"/>
      <c r="BF253" s="87"/>
    </row>
    <row r="254" spans="1:58" ht="14.1" customHeight="1">
      <c r="A254" s="75">
        <f t="shared" si="327"/>
        <v>248</v>
      </c>
      <c r="B254" s="89" t="s">
        <v>167</v>
      </c>
      <c r="C254" s="80">
        <f t="shared" ref="C254:C261" si="386">SUM(D254:BF254)</f>
        <v>-53897239.240777612</v>
      </c>
      <c r="D254" s="87">
        <f>-2278308+4727891</f>
        <v>2449583</v>
      </c>
      <c r="E254" s="87">
        <v>-515361.63697997667</v>
      </c>
      <c r="F254" s="87">
        <v>145034</v>
      </c>
      <c r="G254" s="87">
        <v>2712449.39</v>
      </c>
      <c r="H254" s="87">
        <v>33001096.547184512</v>
      </c>
      <c r="I254" s="87">
        <v>0</v>
      </c>
      <c r="J254" s="87">
        <v>-5276.19</v>
      </c>
      <c r="K254" s="87">
        <v>-19703413</v>
      </c>
      <c r="L254" s="87">
        <v>-49418888</v>
      </c>
      <c r="M254" s="87">
        <f>-14265129-2506318</f>
        <v>-16771447</v>
      </c>
      <c r="N254" s="87">
        <v>0</v>
      </c>
      <c r="O254" s="87">
        <v>-628079.1</v>
      </c>
      <c r="P254" s="87">
        <v>-373893.79</v>
      </c>
      <c r="Q254" s="120">
        <f>-2908255.86482087+-867856.0605</f>
        <v>-3776111.9253208702</v>
      </c>
      <c r="R254" s="87">
        <v>-1012931.5356612798</v>
      </c>
      <c r="S254" s="87">
        <v>0</v>
      </c>
      <c r="T254" s="87">
        <v>0</v>
      </c>
      <c r="U254" s="87">
        <v>0</v>
      </c>
      <c r="V254" s="87">
        <v>0</v>
      </c>
      <c r="W254" s="87">
        <v>0</v>
      </c>
      <c r="X254" s="87">
        <v>0</v>
      </c>
      <c r="Y254" s="87">
        <v>0</v>
      </c>
      <c r="Z254" s="87">
        <v>0</v>
      </c>
      <c r="AA254" s="87">
        <v>0</v>
      </c>
      <c r="AB254" s="87">
        <v>0</v>
      </c>
      <c r="AC254" s="87">
        <v>0</v>
      </c>
      <c r="AD254" s="87">
        <v>0</v>
      </c>
      <c r="AE254" s="87">
        <v>0</v>
      </c>
      <c r="AF254" s="87">
        <v>0</v>
      </c>
      <c r="AG254" s="87">
        <v>0</v>
      </c>
      <c r="AH254" s="87">
        <v>0</v>
      </c>
      <c r="AI254" s="87">
        <v>0</v>
      </c>
      <c r="AJ254" s="87">
        <v>0</v>
      </c>
      <c r="AK254" s="87">
        <v>0</v>
      </c>
      <c r="AL254" s="87">
        <v>0</v>
      </c>
      <c r="AM254" s="87">
        <v>0</v>
      </c>
      <c r="AN254" s="87">
        <v>0</v>
      </c>
      <c r="AO254" s="87">
        <v>0</v>
      </c>
      <c r="AP254" s="87">
        <v>0</v>
      </c>
      <c r="AQ254" s="87">
        <v>0</v>
      </c>
      <c r="AR254" s="87">
        <v>0</v>
      </c>
      <c r="AS254" s="87">
        <v>0</v>
      </c>
      <c r="AT254" s="87">
        <v>0</v>
      </c>
      <c r="AU254" s="87">
        <v>0</v>
      </c>
      <c r="AV254" s="87">
        <v>0</v>
      </c>
      <c r="AW254" s="87">
        <v>0</v>
      </c>
      <c r="AX254" s="87">
        <v>0</v>
      </c>
      <c r="AY254" s="87">
        <v>0</v>
      </c>
      <c r="AZ254" s="87">
        <v>0</v>
      </c>
      <c r="BA254" s="87">
        <v>0</v>
      </c>
      <c r="BB254" s="87">
        <v>0</v>
      </c>
      <c r="BC254" s="87">
        <v>0</v>
      </c>
      <c r="BD254" s="87">
        <v>0</v>
      </c>
      <c r="BE254" s="87">
        <v>0</v>
      </c>
      <c r="BF254" s="87">
        <v>0</v>
      </c>
    </row>
    <row r="255" spans="1:58" ht="14.1" customHeight="1">
      <c r="A255" s="75">
        <f t="shared" si="327"/>
        <v>249</v>
      </c>
      <c r="B255" s="89" t="s">
        <v>399</v>
      </c>
      <c r="C255" s="80">
        <f t="shared" si="386"/>
        <v>0</v>
      </c>
      <c r="D255" s="87">
        <v>0</v>
      </c>
      <c r="E255" s="87">
        <v>0</v>
      </c>
      <c r="F255" s="87">
        <v>0</v>
      </c>
      <c r="G255" s="87">
        <v>0</v>
      </c>
      <c r="H255" s="87">
        <v>0</v>
      </c>
      <c r="I255" s="87">
        <v>0</v>
      </c>
      <c r="J255" s="87">
        <v>0</v>
      </c>
      <c r="K255" s="87">
        <v>0</v>
      </c>
      <c r="L255" s="87">
        <v>0</v>
      </c>
      <c r="M255" s="87">
        <v>0</v>
      </c>
      <c r="N255" s="87">
        <v>0</v>
      </c>
      <c r="O255" s="87">
        <v>0</v>
      </c>
      <c r="P255" s="87">
        <v>0</v>
      </c>
      <c r="Q255" s="87">
        <v>0</v>
      </c>
      <c r="R255" s="87">
        <v>0</v>
      </c>
      <c r="S255" s="87">
        <v>0</v>
      </c>
      <c r="T255" s="87">
        <v>0</v>
      </c>
      <c r="U255" s="87">
        <v>0</v>
      </c>
      <c r="V255" s="87">
        <v>0</v>
      </c>
      <c r="W255" s="87">
        <v>0</v>
      </c>
      <c r="X255" s="87">
        <v>0</v>
      </c>
      <c r="Y255" s="87">
        <v>0</v>
      </c>
      <c r="Z255" s="87">
        <v>0</v>
      </c>
      <c r="AA255" s="87">
        <v>0</v>
      </c>
      <c r="AB255" s="87">
        <v>0</v>
      </c>
      <c r="AC255" s="87">
        <v>0</v>
      </c>
      <c r="AD255" s="87">
        <v>0</v>
      </c>
      <c r="AE255" s="87">
        <v>0</v>
      </c>
      <c r="AF255" s="87">
        <v>0</v>
      </c>
      <c r="AG255" s="87">
        <v>0</v>
      </c>
      <c r="AH255" s="87">
        <v>0</v>
      </c>
      <c r="AI255" s="87">
        <v>0</v>
      </c>
      <c r="AJ255" s="87">
        <v>0</v>
      </c>
      <c r="AK255" s="87">
        <v>0</v>
      </c>
      <c r="AL255" s="87">
        <v>0</v>
      </c>
      <c r="AM255" s="87">
        <v>0</v>
      </c>
      <c r="AN255" s="87">
        <v>0</v>
      </c>
      <c r="AO255" s="87">
        <v>0</v>
      </c>
      <c r="AP255" s="87">
        <v>0</v>
      </c>
      <c r="AQ255" s="87">
        <v>0</v>
      </c>
      <c r="AR255" s="87">
        <v>0</v>
      </c>
      <c r="AS255" s="87">
        <v>0</v>
      </c>
      <c r="AT255" s="87">
        <v>0</v>
      </c>
      <c r="AU255" s="87">
        <v>0</v>
      </c>
      <c r="AV255" s="87">
        <v>0</v>
      </c>
      <c r="AW255" s="87">
        <v>0</v>
      </c>
      <c r="AX255" s="87">
        <v>0</v>
      </c>
      <c r="AY255" s="87">
        <v>0</v>
      </c>
      <c r="AZ255" s="87">
        <v>0</v>
      </c>
      <c r="BA255" s="87">
        <v>0</v>
      </c>
      <c r="BB255" s="87">
        <v>0</v>
      </c>
      <c r="BC255" s="87">
        <v>0</v>
      </c>
      <c r="BD255" s="87">
        <v>0</v>
      </c>
      <c r="BE255" s="87">
        <v>0</v>
      </c>
      <c r="BF255" s="87">
        <v>0</v>
      </c>
    </row>
    <row r="256" spans="1:58" ht="14.1" customHeight="1">
      <c r="A256" s="75">
        <f t="shared" si="327"/>
        <v>250</v>
      </c>
      <c r="B256" s="89" t="s">
        <v>169</v>
      </c>
      <c r="C256" s="80">
        <f t="shared" si="386"/>
        <v>0</v>
      </c>
      <c r="D256" s="87">
        <v>0</v>
      </c>
      <c r="E256" s="87">
        <v>0</v>
      </c>
      <c r="F256" s="87">
        <v>0</v>
      </c>
      <c r="G256" s="87">
        <v>0</v>
      </c>
      <c r="H256" s="87">
        <v>0</v>
      </c>
      <c r="I256" s="87">
        <v>0</v>
      </c>
      <c r="J256" s="87">
        <v>0</v>
      </c>
      <c r="K256" s="87">
        <v>0</v>
      </c>
      <c r="L256" s="87">
        <v>0</v>
      </c>
      <c r="M256" s="87">
        <v>0</v>
      </c>
      <c r="N256" s="87">
        <v>0</v>
      </c>
      <c r="O256" s="87">
        <v>0</v>
      </c>
      <c r="P256" s="87">
        <v>0</v>
      </c>
      <c r="Q256" s="87">
        <v>0</v>
      </c>
      <c r="R256" s="87">
        <v>0</v>
      </c>
      <c r="S256" s="87">
        <v>0</v>
      </c>
      <c r="T256" s="87">
        <v>0</v>
      </c>
      <c r="U256" s="87">
        <v>0</v>
      </c>
      <c r="V256" s="87">
        <v>0</v>
      </c>
      <c r="W256" s="87">
        <v>0</v>
      </c>
      <c r="X256" s="87">
        <v>0</v>
      </c>
      <c r="Y256" s="87">
        <v>0</v>
      </c>
      <c r="Z256" s="87">
        <v>0</v>
      </c>
      <c r="AA256" s="87">
        <v>0</v>
      </c>
      <c r="AB256" s="87">
        <v>0</v>
      </c>
      <c r="AC256" s="87">
        <v>0</v>
      </c>
      <c r="AD256" s="87">
        <v>0</v>
      </c>
      <c r="AE256" s="87">
        <v>0</v>
      </c>
      <c r="AF256" s="87">
        <v>0</v>
      </c>
      <c r="AG256" s="87">
        <v>0</v>
      </c>
      <c r="AH256" s="87">
        <v>0</v>
      </c>
      <c r="AI256" s="87">
        <v>0</v>
      </c>
      <c r="AJ256" s="87">
        <v>0</v>
      </c>
      <c r="AK256" s="87">
        <v>0</v>
      </c>
      <c r="AL256" s="87">
        <v>0</v>
      </c>
      <c r="AM256" s="87">
        <v>0</v>
      </c>
      <c r="AN256" s="87">
        <v>0</v>
      </c>
      <c r="AO256" s="87">
        <v>0</v>
      </c>
      <c r="AP256" s="87">
        <v>0</v>
      </c>
      <c r="AQ256" s="87">
        <v>0</v>
      </c>
      <c r="AR256" s="87">
        <v>0</v>
      </c>
      <c r="AS256" s="87">
        <v>0</v>
      </c>
      <c r="AT256" s="87">
        <v>0</v>
      </c>
      <c r="AU256" s="87">
        <v>0</v>
      </c>
      <c r="AV256" s="87">
        <v>0</v>
      </c>
      <c r="AW256" s="87">
        <v>0</v>
      </c>
      <c r="AX256" s="87">
        <v>0</v>
      </c>
      <c r="AY256" s="87">
        <v>0</v>
      </c>
      <c r="AZ256" s="87">
        <v>0</v>
      </c>
      <c r="BA256" s="87">
        <v>0</v>
      </c>
      <c r="BB256" s="87">
        <v>0</v>
      </c>
      <c r="BC256" s="87">
        <v>0</v>
      </c>
      <c r="BD256" s="87">
        <v>0</v>
      </c>
      <c r="BE256" s="87">
        <v>0</v>
      </c>
      <c r="BF256" s="87">
        <v>0</v>
      </c>
    </row>
    <row r="257" spans="1:58" ht="14.1" customHeight="1">
      <c r="A257" s="75">
        <f t="shared" si="327"/>
        <v>251</v>
      </c>
      <c r="B257" s="89"/>
      <c r="C257" s="80">
        <f t="shared" si="386"/>
        <v>0</v>
      </c>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c r="AE257" s="87"/>
      <c r="AF257" s="87"/>
      <c r="AG257" s="87"/>
      <c r="AH257" s="87"/>
      <c r="AI257" s="87"/>
      <c r="AJ257" s="87"/>
      <c r="AK257" s="87"/>
      <c r="AL257" s="87"/>
      <c r="AM257" s="87"/>
      <c r="AN257" s="87"/>
      <c r="AO257" s="87"/>
      <c r="AP257" s="87"/>
      <c r="AQ257" s="87"/>
      <c r="AR257" s="87"/>
      <c r="AS257" s="87"/>
      <c r="AT257" s="87"/>
      <c r="AU257" s="87"/>
      <c r="AV257" s="87"/>
      <c r="AW257" s="87"/>
      <c r="AX257" s="87"/>
      <c r="AY257" s="87"/>
      <c r="AZ257" s="87"/>
      <c r="BA257" s="87"/>
      <c r="BB257" s="87"/>
      <c r="BC257" s="87"/>
      <c r="BD257" s="87"/>
      <c r="BE257" s="87"/>
      <c r="BF257" s="87"/>
    </row>
    <row r="258" spans="1:58" ht="14.1" customHeight="1">
      <c r="A258" s="75">
        <f t="shared" si="327"/>
        <v>252</v>
      </c>
      <c r="B258" s="81" t="s">
        <v>402</v>
      </c>
      <c r="C258" s="80">
        <f t="shared" si="386"/>
        <v>0</v>
      </c>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7"/>
      <c r="AL258" s="87"/>
      <c r="AM258" s="87"/>
      <c r="AN258" s="87"/>
      <c r="AO258" s="87"/>
      <c r="AP258" s="87"/>
      <c r="AQ258" s="87"/>
      <c r="AR258" s="87"/>
      <c r="AS258" s="87"/>
      <c r="AT258" s="87"/>
      <c r="AU258" s="87"/>
      <c r="AV258" s="87"/>
      <c r="AW258" s="87"/>
      <c r="AX258" s="87"/>
      <c r="AY258" s="87"/>
      <c r="AZ258" s="87"/>
      <c r="BA258" s="87"/>
      <c r="BB258" s="87"/>
      <c r="BC258" s="87"/>
      <c r="BD258" s="87"/>
      <c r="BE258" s="87"/>
      <c r="BF258" s="87"/>
    </row>
    <row r="259" spans="1:58" ht="14.1" customHeight="1">
      <c r="A259" s="75">
        <f t="shared" si="327"/>
        <v>253</v>
      </c>
      <c r="B259" s="76" t="s">
        <v>403</v>
      </c>
      <c r="C259" s="80">
        <f t="shared" si="386"/>
        <v>0</v>
      </c>
      <c r="D259" s="87">
        <v>0</v>
      </c>
      <c r="E259" s="87">
        <v>0</v>
      </c>
      <c r="F259" s="87">
        <v>0</v>
      </c>
      <c r="G259" s="87">
        <v>0</v>
      </c>
      <c r="H259" s="87">
        <v>0</v>
      </c>
      <c r="I259" s="87">
        <v>0</v>
      </c>
      <c r="J259" s="87">
        <v>0</v>
      </c>
      <c r="K259" s="87">
        <v>0</v>
      </c>
      <c r="L259" s="87">
        <v>0</v>
      </c>
      <c r="M259" s="87">
        <v>0</v>
      </c>
      <c r="N259" s="87">
        <v>0</v>
      </c>
      <c r="O259" s="87">
        <v>0</v>
      </c>
      <c r="P259" s="87">
        <v>0</v>
      </c>
      <c r="Q259" s="87">
        <v>0</v>
      </c>
      <c r="R259" s="87">
        <v>0</v>
      </c>
      <c r="S259" s="87">
        <v>0</v>
      </c>
      <c r="T259" s="87">
        <v>0</v>
      </c>
      <c r="U259" s="87">
        <v>0</v>
      </c>
      <c r="V259" s="87">
        <v>0</v>
      </c>
      <c r="W259" s="87">
        <v>0</v>
      </c>
      <c r="X259" s="87">
        <v>0</v>
      </c>
      <c r="Y259" s="87">
        <v>0</v>
      </c>
      <c r="Z259" s="87">
        <v>0</v>
      </c>
      <c r="AA259" s="87">
        <v>0</v>
      </c>
      <c r="AB259" s="87">
        <v>0</v>
      </c>
      <c r="AC259" s="87">
        <v>0</v>
      </c>
      <c r="AD259" s="87">
        <v>0</v>
      </c>
      <c r="AE259" s="87">
        <v>0</v>
      </c>
      <c r="AF259" s="87">
        <v>0</v>
      </c>
      <c r="AG259" s="87">
        <v>0</v>
      </c>
      <c r="AH259" s="87">
        <v>0</v>
      </c>
      <c r="AI259" s="87">
        <v>0</v>
      </c>
      <c r="AJ259" s="87">
        <v>0</v>
      </c>
      <c r="AK259" s="87">
        <v>0</v>
      </c>
      <c r="AL259" s="87">
        <v>0</v>
      </c>
      <c r="AM259" s="87">
        <v>0</v>
      </c>
      <c r="AN259" s="87">
        <v>0</v>
      </c>
      <c r="AO259" s="87">
        <v>0</v>
      </c>
      <c r="AP259" s="87">
        <v>0</v>
      </c>
      <c r="AQ259" s="87">
        <v>0</v>
      </c>
      <c r="AR259" s="87">
        <v>0</v>
      </c>
      <c r="AS259" s="87">
        <v>0</v>
      </c>
      <c r="AT259" s="87">
        <v>0</v>
      </c>
      <c r="AU259" s="87">
        <v>0</v>
      </c>
      <c r="AV259" s="87">
        <v>0</v>
      </c>
      <c r="AW259" s="87">
        <v>0</v>
      </c>
      <c r="AX259" s="87">
        <v>0</v>
      </c>
      <c r="AY259" s="87">
        <v>0</v>
      </c>
      <c r="AZ259" s="87">
        <v>0</v>
      </c>
      <c r="BA259" s="87">
        <v>0</v>
      </c>
      <c r="BB259" s="87">
        <v>0</v>
      </c>
      <c r="BC259" s="87">
        <v>0</v>
      </c>
      <c r="BD259" s="87">
        <v>0</v>
      </c>
      <c r="BE259" s="87">
        <v>0</v>
      </c>
      <c r="BF259" s="87">
        <v>0</v>
      </c>
    </row>
    <row r="260" spans="1:58" ht="14.1" customHeight="1">
      <c r="A260" s="75">
        <f t="shared" si="327"/>
        <v>254</v>
      </c>
      <c r="B260" s="76" t="s">
        <v>404</v>
      </c>
      <c r="C260" s="80">
        <f t="shared" si="386"/>
        <v>316449.31359999999</v>
      </c>
      <c r="D260" s="87">
        <v>0</v>
      </c>
      <c r="E260" s="87">
        <v>0</v>
      </c>
      <c r="F260" s="87">
        <v>0</v>
      </c>
      <c r="G260" s="87">
        <v>0</v>
      </c>
      <c r="H260" s="87">
        <v>0</v>
      </c>
      <c r="I260" s="87">
        <v>0</v>
      </c>
      <c r="J260" s="87">
        <v>0</v>
      </c>
      <c r="K260" s="87">
        <v>0</v>
      </c>
      <c r="L260" s="87">
        <v>0</v>
      </c>
      <c r="M260" s="87">
        <v>0</v>
      </c>
      <c r="N260" s="87">
        <v>0</v>
      </c>
      <c r="O260" s="87">
        <v>0</v>
      </c>
      <c r="P260" s="87">
        <v>0</v>
      </c>
      <c r="Q260" s="87">
        <v>0</v>
      </c>
      <c r="R260" s="87">
        <v>0</v>
      </c>
      <c r="S260" s="87">
        <v>0</v>
      </c>
      <c r="T260" s="87">
        <v>0</v>
      </c>
      <c r="U260" s="87">
        <v>316449.31359999999</v>
      </c>
      <c r="V260" s="87">
        <v>0</v>
      </c>
      <c r="W260" s="87">
        <v>0</v>
      </c>
      <c r="X260" s="87">
        <v>0</v>
      </c>
      <c r="Y260" s="87">
        <v>0</v>
      </c>
      <c r="Z260" s="87">
        <v>0</v>
      </c>
      <c r="AA260" s="87">
        <v>0</v>
      </c>
      <c r="AB260" s="87">
        <v>0</v>
      </c>
      <c r="AC260" s="87">
        <v>0</v>
      </c>
      <c r="AD260" s="87">
        <v>0</v>
      </c>
      <c r="AE260" s="87">
        <v>0</v>
      </c>
      <c r="AF260" s="87">
        <v>0</v>
      </c>
      <c r="AG260" s="87">
        <v>0</v>
      </c>
      <c r="AH260" s="87">
        <v>0</v>
      </c>
      <c r="AI260" s="87">
        <v>0</v>
      </c>
      <c r="AJ260" s="87">
        <v>0</v>
      </c>
      <c r="AK260" s="87">
        <v>0</v>
      </c>
      <c r="AL260" s="87">
        <v>0</v>
      </c>
      <c r="AM260" s="87">
        <v>0</v>
      </c>
      <c r="AN260" s="87">
        <v>0</v>
      </c>
      <c r="AO260" s="87">
        <v>0</v>
      </c>
      <c r="AP260" s="87">
        <v>0</v>
      </c>
      <c r="AQ260" s="87">
        <v>0</v>
      </c>
      <c r="AR260" s="87">
        <v>0</v>
      </c>
      <c r="AS260" s="87">
        <v>0</v>
      </c>
      <c r="AT260" s="87">
        <v>0</v>
      </c>
      <c r="AU260" s="87">
        <v>0</v>
      </c>
      <c r="AV260" s="87">
        <v>0</v>
      </c>
      <c r="AW260" s="87">
        <v>0</v>
      </c>
      <c r="AX260" s="87">
        <v>0</v>
      </c>
      <c r="AY260" s="87">
        <v>0</v>
      </c>
      <c r="AZ260" s="87">
        <v>0</v>
      </c>
      <c r="BA260" s="87">
        <v>0</v>
      </c>
      <c r="BB260" s="87">
        <v>0</v>
      </c>
      <c r="BC260" s="87">
        <v>0</v>
      </c>
      <c r="BD260" s="87">
        <v>0</v>
      </c>
      <c r="BE260" s="87">
        <v>0</v>
      </c>
      <c r="BF260" s="87">
        <v>0</v>
      </c>
    </row>
    <row r="261" spans="1:58" ht="14.1" customHeight="1">
      <c r="A261" s="75">
        <f t="shared" si="327"/>
        <v>255</v>
      </c>
      <c r="B261" s="90" t="s">
        <v>406</v>
      </c>
      <c r="C261" s="80">
        <f t="shared" si="386"/>
        <v>0</v>
      </c>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87"/>
      <c r="AN261" s="87"/>
      <c r="AO261" s="87"/>
      <c r="AP261" s="87"/>
      <c r="AQ261" s="87"/>
      <c r="AR261" s="87"/>
      <c r="AS261" s="87"/>
      <c r="AT261" s="87"/>
      <c r="AU261" s="87"/>
      <c r="AV261" s="87"/>
      <c r="AW261" s="87"/>
      <c r="AX261" s="87"/>
      <c r="AY261" s="87"/>
      <c r="AZ261" s="87"/>
      <c r="BA261" s="87"/>
      <c r="BB261" s="87"/>
      <c r="BC261" s="87"/>
      <c r="BD261" s="87"/>
      <c r="BE261" s="87"/>
      <c r="BF261" s="87"/>
    </row>
    <row r="262" spans="1:58" ht="14.1" customHeight="1">
      <c r="A262" s="75">
        <f t="shared" si="327"/>
        <v>256</v>
      </c>
      <c r="B262" s="108" t="s">
        <v>407</v>
      </c>
      <c r="C262" s="97">
        <f t="shared" ref="C262:V262" si="387">+C259+C260</f>
        <v>316449.31359999999</v>
      </c>
      <c r="D262" s="97">
        <f t="shared" si="387"/>
        <v>0</v>
      </c>
      <c r="E262" s="97">
        <f t="shared" si="387"/>
        <v>0</v>
      </c>
      <c r="F262" s="97">
        <f t="shared" si="387"/>
        <v>0</v>
      </c>
      <c r="G262" s="97">
        <f t="shared" si="387"/>
        <v>0</v>
      </c>
      <c r="H262" s="97">
        <f t="shared" si="387"/>
        <v>0</v>
      </c>
      <c r="I262" s="97">
        <f t="shared" si="387"/>
        <v>0</v>
      </c>
      <c r="J262" s="97">
        <f t="shared" si="387"/>
        <v>0</v>
      </c>
      <c r="K262" s="97">
        <f t="shared" si="387"/>
        <v>0</v>
      </c>
      <c r="L262" s="97">
        <f t="shared" si="387"/>
        <v>0</v>
      </c>
      <c r="M262" s="97">
        <f t="shared" si="387"/>
        <v>0</v>
      </c>
      <c r="N262" s="97">
        <f t="shared" si="387"/>
        <v>0</v>
      </c>
      <c r="O262" s="97">
        <f t="shared" si="387"/>
        <v>0</v>
      </c>
      <c r="P262" s="97">
        <f t="shared" si="387"/>
        <v>0</v>
      </c>
      <c r="Q262" s="97">
        <f t="shared" si="387"/>
        <v>0</v>
      </c>
      <c r="R262" s="97">
        <f t="shared" si="387"/>
        <v>0</v>
      </c>
      <c r="S262" s="97">
        <f t="shared" si="387"/>
        <v>0</v>
      </c>
      <c r="T262" s="97">
        <f t="shared" si="387"/>
        <v>0</v>
      </c>
      <c r="U262" s="97">
        <f t="shared" si="387"/>
        <v>316449.31359999999</v>
      </c>
      <c r="V262" s="97">
        <f t="shared" si="387"/>
        <v>0</v>
      </c>
      <c r="W262" s="97">
        <f>+W259+W260</f>
        <v>0</v>
      </c>
      <c r="X262" s="97">
        <f t="shared" ref="X262:AD262" si="388">+X259+X260</f>
        <v>0</v>
      </c>
      <c r="Y262" s="97">
        <f>+Y259+Y260</f>
        <v>0</v>
      </c>
      <c r="Z262" s="97">
        <f t="shared" si="388"/>
        <v>0</v>
      </c>
      <c r="AA262" s="97">
        <f t="shared" si="388"/>
        <v>0</v>
      </c>
      <c r="AB262" s="97">
        <f t="shared" si="388"/>
        <v>0</v>
      </c>
      <c r="AC262" s="97">
        <f t="shared" si="388"/>
        <v>0</v>
      </c>
      <c r="AD262" s="97">
        <f t="shared" si="388"/>
        <v>0</v>
      </c>
      <c r="AE262" s="97">
        <f>+AE259+AE260</f>
        <v>0</v>
      </c>
      <c r="AF262" s="97">
        <f>+AF259+AF260</f>
        <v>0</v>
      </c>
      <c r="AG262" s="97">
        <f>+AG259+AG260</f>
        <v>0</v>
      </c>
      <c r="AH262" s="97">
        <f t="shared" ref="AH262:AL262" si="389">+AH259+AH260</f>
        <v>0</v>
      </c>
      <c r="AI262" s="97">
        <f t="shared" si="389"/>
        <v>0</v>
      </c>
      <c r="AJ262" s="97">
        <f t="shared" si="389"/>
        <v>0</v>
      </c>
      <c r="AK262" s="97">
        <f t="shared" si="389"/>
        <v>0</v>
      </c>
      <c r="AL262" s="97">
        <f t="shared" si="389"/>
        <v>0</v>
      </c>
      <c r="AM262" s="97">
        <f>+AM259+AM260</f>
        <v>0</v>
      </c>
      <c r="AN262" s="97">
        <f>+AN259+AN260</f>
        <v>0</v>
      </c>
      <c r="AO262" s="97">
        <f>+AO259+AO260</f>
        <v>0</v>
      </c>
      <c r="AP262" s="97">
        <f>+AP259+AP260</f>
        <v>0</v>
      </c>
      <c r="AQ262" s="97">
        <f>+AQ259+AQ260</f>
        <v>0</v>
      </c>
      <c r="AR262" s="97">
        <f t="shared" ref="AR262" si="390">+AR259+AR260</f>
        <v>0</v>
      </c>
      <c r="AS262" s="97">
        <f>+AS259+AS260</f>
        <v>0</v>
      </c>
      <c r="AT262" s="97">
        <f t="shared" ref="AT262:AV262" si="391">+AT259+AT260</f>
        <v>0</v>
      </c>
      <c r="AU262" s="97">
        <f t="shared" si="391"/>
        <v>0</v>
      </c>
      <c r="AV262" s="97">
        <f t="shared" si="391"/>
        <v>0</v>
      </c>
      <c r="AW262" s="97">
        <f>+AW259+AW260</f>
        <v>0</v>
      </c>
      <c r="AX262" s="97">
        <f t="shared" ref="AX262:BF262" si="392">+AX259+AX260</f>
        <v>0</v>
      </c>
      <c r="AY262" s="97">
        <f t="shared" si="392"/>
        <v>0</v>
      </c>
      <c r="AZ262" s="97">
        <f t="shared" si="392"/>
        <v>0</v>
      </c>
      <c r="BA262" s="97">
        <f t="shared" si="392"/>
        <v>0</v>
      </c>
      <c r="BB262" s="97">
        <f t="shared" si="392"/>
        <v>0</v>
      </c>
      <c r="BC262" s="97">
        <f t="shared" si="392"/>
        <v>0</v>
      </c>
      <c r="BD262" s="97">
        <f t="shared" si="392"/>
        <v>0</v>
      </c>
      <c r="BE262" s="97">
        <f t="shared" si="392"/>
        <v>0</v>
      </c>
      <c r="BF262" s="97">
        <f t="shared" si="392"/>
        <v>0</v>
      </c>
    </row>
    <row r="263" spans="1:58" ht="14.1" customHeight="1">
      <c r="A263" s="75">
        <f t="shared" si="327"/>
        <v>257</v>
      </c>
      <c r="B263" s="89"/>
      <c r="C263" s="89"/>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row>
    <row r="264" spans="1:58" ht="14.1" customHeight="1">
      <c r="A264" s="75">
        <f t="shared" si="327"/>
        <v>258</v>
      </c>
      <c r="B264" s="81" t="s">
        <v>408</v>
      </c>
      <c r="C264" s="81"/>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c r="AB264" s="87"/>
      <c r="AC264" s="87"/>
      <c r="AD264" s="87"/>
      <c r="AE264" s="87"/>
      <c r="AF264" s="87"/>
      <c r="AG264" s="87"/>
      <c r="AH264" s="87"/>
      <c r="AI264" s="87"/>
      <c r="AJ264" s="87"/>
      <c r="AK264" s="87"/>
      <c r="AL264" s="87"/>
      <c r="AM264" s="87"/>
      <c r="AN264" s="87"/>
      <c r="AO264" s="87"/>
      <c r="AP264" s="87"/>
      <c r="AQ264" s="87"/>
      <c r="AR264" s="87"/>
      <c r="AS264" s="87"/>
      <c r="AT264" s="87"/>
      <c r="AU264" s="87"/>
      <c r="AV264" s="87"/>
      <c r="AW264" s="87"/>
      <c r="AX264" s="87"/>
      <c r="AY264" s="87"/>
      <c r="AZ264" s="87"/>
      <c r="BA264" s="87"/>
      <c r="BB264" s="87"/>
      <c r="BC264" s="87"/>
      <c r="BD264" s="87"/>
      <c r="BE264" s="87"/>
      <c r="BF264" s="87"/>
    </row>
    <row r="265" spans="1:58" ht="14.1" customHeight="1">
      <c r="A265" s="75">
        <f t="shared" si="327"/>
        <v>259</v>
      </c>
      <c r="B265" s="76" t="s">
        <v>409</v>
      </c>
      <c r="C265" s="80">
        <f t="shared" ref="C265:C276" si="393">SUM(D265:BF265)</f>
        <v>0</v>
      </c>
      <c r="D265" s="87">
        <v>0</v>
      </c>
      <c r="E265" s="87">
        <v>0</v>
      </c>
      <c r="F265" s="87">
        <v>0</v>
      </c>
      <c r="G265" s="87">
        <v>0</v>
      </c>
      <c r="H265" s="87">
        <v>0</v>
      </c>
      <c r="I265" s="87">
        <v>0</v>
      </c>
      <c r="J265" s="87">
        <v>0</v>
      </c>
      <c r="K265" s="87">
        <v>0</v>
      </c>
      <c r="L265" s="87">
        <v>0</v>
      </c>
      <c r="M265" s="87">
        <v>0</v>
      </c>
      <c r="N265" s="87">
        <v>0</v>
      </c>
      <c r="O265" s="87">
        <v>0</v>
      </c>
      <c r="P265" s="87">
        <v>0</v>
      </c>
      <c r="Q265" s="87">
        <v>0</v>
      </c>
      <c r="R265" s="87">
        <v>0</v>
      </c>
      <c r="S265" s="87">
        <v>0</v>
      </c>
      <c r="T265" s="87">
        <v>0</v>
      </c>
      <c r="U265" s="87">
        <v>0</v>
      </c>
      <c r="V265" s="87">
        <v>0</v>
      </c>
      <c r="W265" s="87">
        <v>0</v>
      </c>
      <c r="X265" s="87">
        <v>0</v>
      </c>
      <c r="Y265" s="87">
        <v>0</v>
      </c>
      <c r="Z265" s="87">
        <v>0</v>
      </c>
      <c r="AA265" s="87">
        <v>0</v>
      </c>
      <c r="AB265" s="87">
        <v>0</v>
      </c>
      <c r="AC265" s="87">
        <v>0</v>
      </c>
      <c r="AD265" s="87">
        <v>0</v>
      </c>
      <c r="AE265" s="87">
        <v>0</v>
      </c>
      <c r="AF265" s="87">
        <v>0</v>
      </c>
      <c r="AG265" s="87">
        <v>0</v>
      </c>
      <c r="AH265" s="87">
        <v>0</v>
      </c>
      <c r="AI265" s="87">
        <v>0</v>
      </c>
      <c r="AJ265" s="87">
        <v>0</v>
      </c>
      <c r="AK265" s="87">
        <v>0</v>
      </c>
      <c r="AL265" s="87">
        <v>0</v>
      </c>
      <c r="AM265" s="87">
        <v>0</v>
      </c>
      <c r="AN265" s="87">
        <v>0</v>
      </c>
      <c r="AO265" s="87">
        <v>0</v>
      </c>
      <c r="AP265" s="87">
        <v>0</v>
      </c>
      <c r="AQ265" s="87">
        <v>0</v>
      </c>
      <c r="AR265" s="87">
        <v>0</v>
      </c>
      <c r="AS265" s="87">
        <v>0</v>
      </c>
      <c r="AT265" s="87">
        <v>0</v>
      </c>
      <c r="AU265" s="87">
        <v>0</v>
      </c>
      <c r="AV265" s="87">
        <v>0</v>
      </c>
      <c r="AW265" s="87">
        <v>0</v>
      </c>
      <c r="AX265" s="87">
        <v>0</v>
      </c>
      <c r="AY265" s="87">
        <v>0</v>
      </c>
      <c r="AZ265" s="87">
        <v>0</v>
      </c>
      <c r="BA265" s="87">
        <v>0</v>
      </c>
      <c r="BB265" s="87">
        <v>0</v>
      </c>
      <c r="BC265" s="87">
        <v>0</v>
      </c>
      <c r="BD265" s="87">
        <v>0</v>
      </c>
      <c r="BE265" s="87">
        <v>0</v>
      </c>
      <c r="BF265" s="87">
        <v>0</v>
      </c>
    </row>
    <row r="266" spans="1:58" ht="14.1" customHeight="1">
      <c r="A266" s="75">
        <f t="shared" si="327"/>
        <v>260</v>
      </c>
      <c r="B266" s="76" t="s">
        <v>410</v>
      </c>
      <c r="C266" s="80">
        <f t="shared" si="393"/>
        <v>643148</v>
      </c>
      <c r="D266" s="87">
        <v>0</v>
      </c>
      <c r="E266" s="87">
        <v>0</v>
      </c>
      <c r="F266" s="87">
        <v>0</v>
      </c>
      <c r="G266" s="87">
        <v>0</v>
      </c>
      <c r="H266" s="87">
        <v>0</v>
      </c>
      <c r="I266" s="87">
        <v>643148</v>
      </c>
      <c r="J266" s="87">
        <v>0</v>
      </c>
      <c r="K266" s="87">
        <v>0</v>
      </c>
      <c r="L266" s="87">
        <v>0</v>
      </c>
      <c r="M266" s="87">
        <v>0</v>
      </c>
      <c r="N266" s="87">
        <v>0</v>
      </c>
      <c r="O266" s="87">
        <v>0</v>
      </c>
      <c r="P266" s="87">
        <v>0</v>
      </c>
      <c r="Q266" s="87">
        <v>0</v>
      </c>
      <c r="R266" s="87">
        <v>0</v>
      </c>
      <c r="S266" s="87">
        <v>0</v>
      </c>
      <c r="T266" s="87">
        <v>0</v>
      </c>
      <c r="U266" s="87">
        <v>0</v>
      </c>
      <c r="V266" s="87">
        <v>0</v>
      </c>
      <c r="W266" s="87">
        <v>0</v>
      </c>
      <c r="X266" s="87">
        <v>0</v>
      </c>
      <c r="Y266" s="87">
        <v>0</v>
      </c>
      <c r="Z266" s="87">
        <v>0</v>
      </c>
      <c r="AA266" s="87">
        <v>0</v>
      </c>
      <c r="AB266" s="87">
        <v>0</v>
      </c>
      <c r="AC266" s="87">
        <v>0</v>
      </c>
      <c r="AD266" s="87">
        <v>0</v>
      </c>
      <c r="AE266" s="87">
        <v>0</v>
      </c>
      <c r="AF266" s="87">
        <v>0</v>
      </c>
      <c r="AG266" s="87">
        <v>0</v>
      </c>
      <c r="AH266" s="87">
        <v>0</v>
      </c>
      <c r="AI266" s="87">
        <v>0</v>
      </c>
      <c r="AJ266" s="87">
        <v>0</v>
      </c>
      <c r="AK266" s="87">
        <v>0</v>
      </c>
      <c r="AL266" s="87">
        <v>0</v>
      </c>
      <c r="AM266" s="87">
        <v>0</v>
      </c>
      <c r="AN266" s="87">
        <v>0</v>
      </c>
      <c r="AO266" s="87">
        <v>0</v>
      </c>
      <c r="AP266" s="87">
        <v>0</v>
      </c>
      <c r="AQ266" s="87">
        <v>0</v>
      </c>
      <c r="AR266" s="87">
        <v>0</v>
      </c>
      <c r="AS266" s="87">
        <v>0</v>
      </c>
      <c r="AT266" s="87">
        <v>0</v>
      </c>
      <c r="AU266" s="87">
        <v>0</v>
      </c>
      <c r="AV266" s="87">
        <v>0</v>
      </c>
      <c r="AW266" s="87">
        <v>0</v>
      </c>
      <c r="AX266" s="87">
        <v>0</v>
      </c>
      <c r="AY266" s="87">
        <v>0</v>
      </c>
      <c r="AZ266" s="87">
        <v>0</v>
      </c>
      <c r="BA266" s="87">
        <v>0</v>
      </c>
      <c r="BB266" s="87">
        <v>0</v>
      </c>
      <c r="BC266" s="87">
        <v>0</v>
      </c>
      <c r="BD266" s="87">
        <v>0</v>
      </c>
      <c r="BE266" s="87">
        <v>0</v>
      </c>
      <c r="BF266" s="87">
        <v>0</v>
      </c>
    </row>
    <row r="267" spans="1:58" ht="14.1" customHeight="1">
      <c r="A267" s="75">
        <f t="shared" ref="A267:A330" si="394">+A266+1</f>
        <v>261</v>
      </c>
      <c r="B267" s="81" t="s">
        <v>411</v>
      </c>
      <c r="C267" s="80">
        <f t="shared" si="393"/>
        <v>0</v>
      </c>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87"/>
      <c r="AH267" s="87"/>
      <c r="AI267" s="87"/>
      <c r="AJ267" s="87"/>
      <c r="AK267" s="87"/>
      <c r="AL267" s="87"/>
      <c r="AM267" s="87"/>
      <c r="AN267" s="87"/>
      <c r="AO267" s="87"/>
      <c r="AP267" s="87"/>
      <c r="AQ267" s="87"/>
      <c r="AR267" s="87"/>
      <c r="AS267" s="87"/>
      <c r="AT267" s="87"/>
      <c r="AU267" s="87"/>
      <c r="AV267" s="87"/>
      <c r="AW267" s="87"/>
      <c r="AX267" s="87"/>
      <c r="AY267" s="87"/>
      <c r="AZ267" s="87"/>
      <c r="BA267" s="87"/>
      <c r="BB267" s="87"/>
      <c r="BC267" s="87"/>
      <c r="BD267" s="87"/>
      <c r="BE267" s="87"/>
      <c r="BF267" s="87"/>
    </row>
    <row r="268" spans="1:58" s="89" customFormat="1" ht="14.1" customHeight="1">
      <c r="A268" s="75">
        <f t="shared" si="394"/>
        <v>262</v>
      </c>
      <c r="B268" s="76" t="s">
        <v>412</v>
      </c>
      <c r="C268" s="80">
        <f t="shared" si="393"/>
        <v>0</v>
      </c>
      <c r="D268" s="87">
        <v>0</v>
      </c>
      <c r="E268" s="87">
        <v>0</v>
      </c>
      <c r="F268" s="87">
        <v>0</v>
      </c>
      <c r="G268" s="87">
        <v>0</v>
      </c>
      <c r="H268" s="87">
        <v>0</v>
      </c>
      <c r="I268" s="87">
        <v>0</v>
      </c>
      <c r="J268" s="87">
        <v>0</v>
      </c>
      <c r="K268" s="87">
        <v>0</v>
      </c>
      <c r="L268" s="87">
        <v>0</v>
      </c>
      <c r="M268" s="87">
        <v>0</v>
      </c>
      <c r="N268" s="87">
        <v>0</v>
      </c>
      <c r="O268" s="87">
        <v>0</v>
      </c>
      <c r="P268" s="87">
        <v>0</v>
      </c>
      <c r="Q268" s="87">
        <v>0</v>
      </c>
      <c r="R268" s="87">
        <v>0</v>
      </c>
      <c r="S268" s="87">
        <v>0</v>
      </c>
      <c r="T268" s="87">
        <v>0</v>
      </c>
      <c r="U268" s="87">
        <v>0</v>
      </c>
      <c r="V268" s="87">
        <v>0</v>
      </c>
      <c r="W268" s="87">
        <v>0</v>
      </c>
      <c r="X268" s="87">
        <v>0</v>
      </c>
      <c r="Y268" s="87">
        <v>0</v>
      </c>
      <c r="Z268" s="87">
        <v>0</v>
      </c>
      <c r="AA268" s="87">
        <v>0</v>
      </c>
      <c r="AB268" s="87">
        <v>0</v>
      </c>
      <c r="AC268" s="87">
        <v>0</v>
      </c>
      <c r="AD268" s="87">
        <v>0</v>
      </c>
      <c r="AE268" s="87">
        <v>0</v>
      </c>
      <c r="AF268" s="87">
        <v>0</v>
      </c>
      <c r="AG268" s="87">
        <v>0</v>
      </c>
      <c r="AH268" s="87">
        <v>0</v>
      </c>
      <c r="AI268" s="87">
        <v>0</v>
      </c>
      <c r="AJ268" s="87">
        <v>0</v>
      </c>
      <c r="AK268" s="87">
        <v>0</v>
      </c>
      <c r="AL268" s="87">
        <v>0</v>
      </c>
      <c r="AM268" s="87">
        <v>0</v>
      </c>
      <c r="AN268" s="87">
        <v>0</v>
      </c>
      <c r="AO268" s="87">
        <v>0</v>
      </c>
      <c r="AP268" s="87">
        <v>0</v>
      </c>
      <c r="AQ268" s="87">
        <v>0</v>
      </c>
      <c r="AR268" s="87">
        <v>0</v>
      </c>
      <c r="AS268" s="87">
        <v>0</v>
      </c>
      <c r="AT268" s="87">
        <v>0</v>
      </c>
      <c r="AU268" s="87">
        <v>0</v>
      </c>
      <c r="AV268" s="87">
        <v>0</v>
      </c>
      <c r="AW268" s="87">
        <v>0</v>
      </c>
      <c r="AX268" s="87">
        <v>0</v>
      </c>
      <c r="AY268" s="87">
        <v>0</v>
      </c>
      <c r="AZ268" s="87">
        <v>0</v>
      </c>
      <c r="BA268" s="87">
        <v>0</v>
      </c>
      <c r="BB268" s="87">
        <v>0</v>
      </c>
      <c r="BC268" s="87">
        <v>0</v>
      </c>
      <c r="BD268" s="87">
        <v>0</v>
      </c>
      <c r="BE268" s="87">
        <v>0</v>
      </c>
      <c r="BF268" s="87">
        <v>0</v>
      </c>
    </row>
    <row r="269" spans="1:58" ht="14.1" customHeight="1">
      <c r="A269" s="75">
        <f t="shared" si="394"/>
        <v>263</v>
      </c>
      <c r="B269" s="76" t="s">
        <v>413</v>
      </c>
      <c r="C269" s="80">
        <f t="shared" si="393"/>
        <v>7520.2619999999879</v>
      </c>
      <c r="D269" s="87">
        <v>0</v>
      </c>
      <c r="E269" s="87">
        <v>0</v>
      </c>
      <c r="F269" s="87">
        <v>0</v>
      </c>
      <c r="G269" s="87">
        <v>0</v>
      </c>
      <c r="H269" s="87">
        <v>0</v>
      </c>
      <c r="I269" s="87">
        <v>0</v>
      </c>
      <c r="J269" s="87">
        <v>0</v>
      </c>
      <c r="K269" s="87">
        <v>0</v>
      </c>
      <c r="L269" s="87">
        <v>0</v>
      </c>
      <c r="M269" s="87">
        <v>0</v>
      </c>
      <c r="N269" s="87">
        <v>0</v>
      </c>
      <c r="O269" s="87">
        <v>0</v>
      </c>
      <c r="P269" s="87">
        <v>0</v>
      </c>
      <c r="Q269" s="87">
        <v>0</v>
      </c>
      <c r="R269" s="87">
        <v>0</v>
      </c>
      <c r="S269" s="87">
        <v>0</v>
      </c>
      <c r="T269" s="87">
        <v>0</v>
      </c>
      <c r="U269" s="87">
        <v>7520.2619999999879</v>
      </c>
      <c r="V269" s="87">
        <v>0</v>
      </c>
      <c r="W269" s="87">
        <v>0</v>
      </c>
      <c r="X269" s="87">
        <v>0</v>
      </c>
      <c r="Y269" s="87">
        <v>0</v>
      </c>
      <c r="Z269" s="87">
        <v>0</v>
      </c>
      <c r="AA269" s="87">
        <v>0</v>
      </c>
      <c r="AB269" s="87">
        <v>0</v>
      </c>
      <c r="AC269" s="87">
        <v>0</v>
      </c>
      <c r="AD269" s="87">
        <v>0</v>
      </c>
      <c r="AE269" s="87">
        <v>0</v>
      </c>
      <c r="AF269" s="87">
        <v>0</v>
      </c>
      <c r="AG269" s="87">
        <v>0</v>
      </c>
      <c r="AH269" s="87">
        <v>0</v>
      </c>
      <c r="AI269" s="87">
        <v>0</v>
      </c>
      <c r="AJ269" s="87">
        <v>0</v>
      </c>
      <c r="AK269" s="87">
        <v>0</v>
      </c>
      <c r="AL269" s="87">
        <v>0</v>
      </c>
      <c r="AM269" s="87">
        <v>0</v>
      </c>
      <c r="AN269" s="87">
        <v>0</v>
      </c>
      <c r="AO269" s="87">
        <v>0</v>
      </c>
      <c r="AP269" s="87">
        <v>0</v>
      </c>
      <c r="AQ269" s="87">
        <v>0</v>
      </c>
      <c r="AR269" s="87">
        <v>0</v>
      </c>
      <c r="AS269" s="87">
        <v>0</v>
      </c>
      <c r="AT269" s="87">
        <v>0</v>
      </c>
      <c r="AU269" s="87">
        <v>0</v>
      </c>
      <c r="AV269" s="87">
        <v>0</v>
      </c>
      <c r="AW269" s="87">
        <v>0</v>
      </c>
      <c r="AX269" s="87">
        <v>0</v>
      </c>
      <c r="AY269" s="87">
        <v>0</v>
      </c>
      <c r="AZ269" s="87">
        <v>0</v>
      </c>
      <c r="BA269" s="87">
        <v>0</v>
      </c>
      <c r="BB269" s="87">
        <v>0</v>
      </c>
      <c r="BC269" s="87">
        <v>0</v>
      </c>
      <c r="BD269" s="87">
        <v>0</v>
      </c>
      <c r="BE269" s="87">
        <v>0</v>
      </c>
      <c r="BF269" s="87">
        <v>0</v>
      </c>
    </row>
    <row r="270" spans="1:58" ht="14.1" customHeight="1">
      <c r="A270" s="75">
        <f t="shared" si="394"/>
        <v>264</v>
      </c>
      <c r="B270" s="76" t="s">
        <v>414</v>
      </c>
      <c r="C270" s="80">
        <f t="shared" si="393"/>
        <v>1021.7480000000214</v>
      </c>
      <c r="D270" s="87">
        <v>0</v>
      </c>
      <c r="E270" s="87">
        <v>0</v>
      </c>
      <c r="F270" s="87">
        <v>0</v>
      </c>
      <c r="G270" s="87">
        <v>0</v>
      </c>
      <c r="H270" s="87">
        <v>0</v>
      </c>
      <c r="I270" s="87">
        <v>0</v>
      </c>
      <c r="J270" s="87">
        <v>0</v>
      </c>
      <c r="K270" s="87">
        <v>0</v>
      </c>
      <c r="L270" s="87">
        <v>0</v>
      </c>
      <c r="M270" s="87">
        <v>0</v>
      </c>
      <c r="N270" s="87">
        <v>0</v>
      </c>
      <c r="O270" s="87">
        <v>0</v>
      </c>
      <c r="P270" s="87">
        <v>0</v>
      </c>
      <c r="Q270" s="87">
        <v>0</v>
      </c>
      <c r="R270" s="87">
        <v>0</v>
      </c>
      <c r="S270" s="87">
        <v>0</v>
      </c>
      <c r="T270" s="87">
        <v>0</v>
      </c>
      <c r="U270" s="87">
        <v>1021.7480000000214</v>
      </c>
      <c r="V270" s="87">
        <v>0</v>
      </c>
      <c r="W270" s="87">
        <v>0</v>
      </c>
      <c r="X270" s="87">
        <v>0</v>
      </c>
      <c r="Y270" s="87">
        <v>0</v>
      </c>
      <c r="Z270" s="87">
        <v>0</v>
      </c>
      <c r="AA270" s="87">
        <v>0</v>
      </c>
      <c r="AB270" s="87">
        <v>0</v>
      </c>
      <c r="AC270" s="87">
        <v>0</v>
      </c>
      <c r="AD270" s="87">
        <v>0</v>
      </c>
      <c r="AE270" s="87">
        <v>0</v>
      </c>
      <c r="AF270" s="87">
        <v>0</v>
      </c>
      <c r="AG270" s="87">
        <v>0</v>
      </c>
      <c r="AH270" s="87">
        <v>0</v>
      </c>
      <c r="AI270" s="87">
        <v>0</v>
      </c>
      <c r="AJ270" s="87">
        <v>0</v>
      </c>
      <c r="AK270" s="87">
        <v>0</v>
      </c>
      <c r="AL270" s="87">
        <v>0</v>
      </c>
      <c r="AM270" s="87">
        <v>0</v>
      </c>
      <c r="AN270" s="87">
        <v>0</v>
      </c>
      <c r="AO270" s="87">
        <v>0</v>
      </c>
      <c r="AP270" s="87">
        <v>0</v>
      </c>
      <c r="AQ270" s="87">
        <v>0</v>
      </c>
      <c r="AR270" s="87">
        <v>0</v>
      </c>
      <c r="AS270" s="87">
        <v>0</v>
      </c>
      <c r="AT270" s="87">
        <v>0</v>
      </c>
      <c r="AU270" s="87">
        <v>0</v>
      </c>
      <c r="AV270" s="87">
        <v>0</v>
      </c>
      <c r="AW270" s="87">
        <v>0</v>
      </c>
      <c r="AX270" s="87">
        <v>0</v>
      </c>
      <c r="AY270" s="87">
        <v>0</v>
      </c>
      <c r="AZ270" s="87">
        <v>0</v>
      </c>
      <c r="BA270" s="87">
        <v>0</v>
      </c>
      <c r="BB270" s="87">
        <v>0</v>
      </c>
      <c r="BC270" s="87">
        <v>0</v>
      </c>
      <c r="BD270" s="87">
        <v>0</v>
      </c>
      <c r="BE270" s="87">
        <v>0</v>
      </c>
      <c r="BF270" s="87">
        <v>0</v>
      </c>
    </row>
    <row r="271" spans="1:58" ht="14.1" customHeight="1">
      <c r="A271" s="75">
        <f t="shared" si="394"/>
        <v>265</v>
      </c>
      <c r="B271" s="76" t="s">
        <v>415</v>
      </c>
      <c r="C271" s="80">
        <f t="shared" si="393"/>
        <v>37348.270000000019</v>
      </c>
      <c r="D271" s="87">
        <v>0</v>
      </c>
      <c r="E271" s="87">
        <v>0</v>
      </c>
      <c r="F271" s="87">
        <v>0</v>
      </c>
      <c r="G271" s="87">
        <v>0</v>
      </c>
      <c r="H271" s="87">
        <v>0</v>
      </c>
      <c r="I271" s="87">
        <v>0</v>
      </c>
      <c r="J271" s="87">
        <v>0</v>
      </c>
      <c r="K271" s="87">
        <v>0</v>
      </c>
      <c r="L271" s="87">
        <v>0</v>
      </c>
      <c r="M271" s="87">
        <v>0</v>
      </c>
      <c r="N271" s="87">
        <v>0</v>
      </c>
      <c r="O271" s="87">
        <v>0</v>
      </c>
      <c r="P271" s="87">
        <v>0</v>
      </c>
      <c r="Q271" s="87">
        <v>0</v>
      </c>
      <c r="R271" s="87">
        <v>0</v>
      </c>
      <c r="S271" s="87">
        <v>0</v>
      </c>
      <c r="T271" s="87">
        <v>0</v>
      </c>
      <c r="U271" s="87">
        <v>37348.270000000019</v>
      </c>
      <c r="V271" s="87">
        <v>0</v>
      </c>
      <c r="W271" s="87">
        <v>0</v>
      </c>
      <c r="X271" s="87">
        <v>0</v>
      </c>
      <c r="Y271" s="87">
        <v>0</v>
      </c>
      <c r="Z271" s="87">
        <v>0</v>
      </c>
      <c r="AA271" s="87">
        <v>0</v>
      </c>
      <c r="AB271" s="87">
        <v>0</v>
      </c>
      <c r="AC271" s="87">
        <v>0</v>
      </c>
      <c r="AD271" s="87">
        <v>0</v>
      </c>
      <c r="AE271" s="87">
        <v>0</v>
      </c>
      <c r="AF271" s="87">
        <v>0</v>
      </c>
      <c r="AG271" s="87">
        <v>0</v>
      </c>
      <c r="AH271" s="87">
        <v>0</v>
      </c>
      <c r="AI271" s="87">
        <v>0</v>
      </c>
      <c r="AJ271" s="87">
        <v>0</v>
      </c>
      <c r="AK271" s="87">
        <v>0</v>
      </c>
      <c r="AL271" s="87">
        <v>0</v>
      </c>
      <c r="AM271" s="87">
        <v>0</v>
      </c>
      <c r="AN271" s="87">
        <v>0</v>
      </c>
      <c r="AO271" s="87">
        <v>0</v>
      </c>
      <c r="AP271" s="87">
        <v>0</v>
      </c>
      <c r="AQ271" s="87">
        <v>0</v>
      </c>
      <c r="AR271" s="87">
        <v>0</v>
      </c>
      <c r="AS271" s="87">
        <v>0</v>
      </c>
      <c r="AT271" s="87">
        <v>0</v>
      </c>
      <c r="AU271" s="87">
        <v>0</v>
      </c>
      <c r="AV271" s="87">
        <v>0</v>
      </c>
      <c r="AW271" s="87">
        <v>0</v>
      </c>
      <c r="AX271" s="87">
        <v>0</v>
      </c>
      <c r="AY271" s="87">
        <v>0</v>
      </c>
      <c r="AZ271" s="87">
        <v>0</v>
      </c>
      <c r="BA271" s="87">
        <v>0</v>
      </c>
      <c r="BB271" s="87">
        <v>0</v>
      </c>
      <c r="BC271" s="87">
        <v>0</v>
      </c>
      <c r="BD271" s="87">
        <v>0</v>
      </c>
      <c r="BE271" s="87">
        <v>0</v>
      </c>
      <c r="BF271" s="87">
        <v>0</v>
      </c>
    </row>
    <row r="272" spans="1:58" ht="14.1" customHeight="1">
      <c r="A272" s="75">
        <f t="shared" si="394"/>
        <v>266</v>
      </c>
      <c r="B272" s="76" t="s">
        <v>416</v>
      </c>
      <c r="C272" s="80">
        <f t="shared" si="393"/>
        <v>291</v>
      </c>
      <c r="D272" s="87">
        <v>0</v>
      </c>
      <c r="E272" s="87">
        <v>0</v>
      </c>
      <c r="F272" s="87">
        <v>0</v>
      </c>
      <c r="G272" s="87">
        <v>0</v>
      </c>
      <c r="H272" s="87">
        <v>0</v>
      </c>
      <c r="I272" s="87">
        <v>0</v>
      </c>
      <c r="J272" s="87">
        <v>0</v>
      </c>
      <c r="K272" s="87">
        <v>0</v>
      </c>
      <c r="L272" s="87">
        <v>0</v>
      </c>
      <c r="M272" s="87">
        <v>0</v>
      </c>
      <c r="N272" s="87">
        <v>0</v>
      </c>
      <c r="O272" s="87">
        <v>0</v>
      </c>
      <c r="P272" s="87">
        <v>0</v>
      </c>
      <c r="Q272" s="87">
        <v>0</v>
      </c>
      <c r="R272" s="87">
        <v>0</v>
      </c>
      <c r="S272" s="87">
        <v>0</v>
      </c>
      <c r="T272" s="87">
        <v>0</v>
      </c>
      <c r="U272" s="87">
        <v>291</v>
      </c>
      <c r="V272" s="87">
        <v>0</v>
      </c>
      <c r="W272" s="87">
        <v>0</v>
      </c>
      <c r="X272" s="87">
        <v>0</v>
      </c>
      <c r="Y272" s="87">
        <v>0</v>
      </c>
      <c r="Z272" s="87">
        <v>0</v>
      </c>
      <c r="AA272" s="87">
        <v>0</v>
      </c>
      <c r="AB272" s="87">
        <v>0</v>
      </c>
      <c r="AC272" s="87">
        <v>0</v>
      </c>
      <c r="AD272" s="87">
        <v>0</v>
      </c>
      <c r="AE272" s="87">
        <v>0</v>
      </c>
      <c r="AF272" s="87">
        <v>0</v>
      </c>
      <c r="AG272" s="87">
        <v>0</v>
      </c>
      <c r="AH272" s="87">
        <v>0</v>
      </c>
      <c r="AI272" s="87">
        <v>0</v>
      </c>
      <c r="AJ272" s="87">
        <v>0</v>
      </c>
      <c r="AK272" s="87">
        <v>0</v>
      </c>
      <c r="AL272" s="87">
        <v>0</v>
      </c>
      <c r="AM272" s="87">
        <v>0</v>
      </c>
      <c r="AN272" s="87">
        <v>0</v>
      </c>
      <c r="AO272" s="87">
        <v>0</v>
      </c>
      <c r="AP272" s="87">
        <v>0</v>
      </c>
      <c r="AQ272" s="87">
        <v>0</v>
      </c>
      <c r="AR272" s="87">
        <v>0</v>
      </c>
      <c r="AS272" s="87">
        <v>0</v>
      </c>
      <c r="AT272" s="87">
        <v>0</v>
      </c>
      <c r="AU272" s="87">
        <v>0</v>
      </c>
      <c r="AV272" s="87">
        <v>0</v>
      </c>
      <c r="AW272" s="87">
        <v>0</v>
      </c>
      <c r="AX272" s="87">
        <v>0</v>
      </c>
      <c r="AY272" s="87">
        <v>0</v>
      </c>
      <c r="AZ272" s="87">
        <v>0</v>
      </c>
      <c r="BA272" s="87">
        <v>0</v>
      </c>
      <c r="BB272" s="87">
        <v>0</v>
      </c>
      <c r="BC272" s="87">
        <v>0</v>
      </c>
      <c r="BD272" s="87">
        <v>0</v>
      </c>
      <c r="BE272" s="87">
        <v>0</v>
      </c>
      <c r="BF272" s="87">
        <v>0</v>
      </c>
    </row>
    <row r="273" spans="1:58" ht="14.1" customHeight="1">
      <c r="A273" s="75">
        <f t="shared" si="394"/>
        <v>267</v>
      </c>
      <c r="B273" s="76" t="s">
        <v>417</v>
      </c>
      <c r="C273" s="80">
        <f t="shared" si="393"/>
        <v>3</v>
      </c>
      <c r="D273" s="87">
        <v>0</v>
      </c>
      <c r="E273" s="87">
        <v>0</v>
      </c>
      <c r="F273" s="87">
        <v>0</v>
      </c>
      <c r="G273" s="87">
        <v>0</v>
      </c>
      <c r="H273" s="87">
        <v>0</v>
      </c>
      <c r="I273" s="87">
        <v>0</v>
      </c>
      <c r="J273" s="87">
        <v>0</v>
      </c>
      <c r="K273" s="87">
        <v>0</v>
      </c>
      <c r="L273" s="87">
        <v>0</v>
      </c>
      <c r="M273" s="87">
        <v>0</v>
      </c>
      <c r="N273" s="87">
        <v>0</v>
      </c>
      <c r="O273" s="87">
        <v>0</v>
      </c>
      <c r="P273" s="87">
        <v>0</v>
      </c>
      <c r="Q273" s="87">
        <v>0</v>
      </c>
      <c r="R273" s="87">
        <v>0</v>
      </c>
      <c r="S273" s="87">
        <v>0</v>
      </c>
      <c r="T273" s="87">
        <v>0</v>
      </c>
      <c r="U273" s="87">
        <v>3</v>
      </c>
      <c r="V273" s="87">
        <v>0</v>
      </c>
      <c r="W273" s="87">
        <v>0</v>
      </c>
      <c r="X273" s="87">
        <v>0</v>
      </c>
      <c r="Y273" s="87">
        <v>0</v>
      </c>
      <c r="Z273" s="87">
        <v>0</v>
      </c>
      <c r="AA273" s="87">
        <v>0</v>
      </c>
      <c r="AB273" s="87">
        <v>0</v>
      </c>
      <c r="AC273" s="87">
        <v>0</v>
      </c>
      <c r="AD273" s="87">
        <v>0</v>
      </c>
      <c r="AE273" s="87">
        <v>0</v>
      </c>
      <c r="AF273" s="87">
        <v>0</v>
      </c>
      <c r="AG273" s="87">
        <v>0</v>
      </c>
      <c r="AH273" s="87">
        <v>0</v>
      </c>
      <c r="AI273" s="87">
        <v>0</v>
      </c>
      <c r="AJ273" s="87">
        <v>0</v>
      </c>
      <c r="AK273" s="87">
        <v>0</v>
      </c>
      <c r="AL273" s="87">
        <v>0</v>
      </c>
      <c r="AM273" s="87">
        <v>0</v>
      </c>
      <c r="AN273" s="87">
        <v>0</v>
      </c>
      <c r="AO273" s="87">
        <v>0</v>
      </c>
      <c r="AP273" s="87">
        <v>0</v>
      </c>
      <c r="AQ273" s="87">
        <v>0</v>
      </c>
      <c r="AR273" s="87">
        <v>0</v>
      </c>
      <c r="AS273" s="87">
        <v>0</v>
      </c>
      <c r="AT273" s="87">
        <v>0</v>
      </c>
      <c r="AU273" s="87">
        <v>0</v>
      </c>
      <c r="AV273" s="87">
        <v>0</v>
      </c>
      <c r="AW273" s="87">
        <v>0</v>
      </c>
      <c r="AX273" s="87">
        <v>0</v>
      </c>
      <c r="AY273" s="87">
        <v>0</v>
      </c>
      <c r="AZ273" s="87">
        <v>0</v>
      </c>
      <c r="BA273" s="87">
        <v>0</v>
      </c>
      <c r="BB273" s="87">
        <v>0</v>
      </c>
      <c r="BC273" s="87">
        <v>0</v>
      </c>
      <c r="BD273" s="87">
        <v>0</v>
      </c>
      <c r="BE273" s="87">
        <v>0</v>
      </c>
      <c r="BF273" s="87">
        <v>0</v>
      </c>
    </row>
    <row r="274" spans="1:58" ht="14.1" customHeight="1">
      <c r="A274" s="75">
        <f t="shared" si="394"/>
        <v>268</v>
      </c>
      <c r="B274" s="76" t="s">
        <v>418</v>
      </c>
      <c r="C274" s="80">
        <f t="shared" si="393"/>
        <v>-266246.58999999962</v>
      </c>
      <c r="D274" s="87">
        <v>0</v>
      </c>
      <c r="E274" s="87">
        <v>0</v>
      </c>
      <c r="F274" s="87">
        <v>0</v>
      </c>
      <c r="G274" s="87">
        <v>0</v>
      </c>
      <c r="H274" s="87">
        <v>0</v>
      </c>
      <c r="I274" s="87">
        <v>0</v>
      </c>
      <c r="J274" s="87">
        <v>0</v>
      </c>
      <c r="K274" s="87">
        <v>0</v>
      </c>
      <c r="L274" s="87">
        <v>0</v>
      </c>
      <c r="M274" s="87">
        <v>0</v>
      </c>
      <c r="N274" s="87">
        <v>0</v>
      </c>
      <c r="O274" s="87">
        <v>0</v>
      </c>
      <c r="P274" s="87">
        <v>0</v>
      </c>
      <c r="Q274" s="87">
        <v>0</v>
      </c>
      <c r="R274" s="87">
        <v>0</v>
      </c>
      <c r="S274" s="87">
        <v>0</v>
      </c>
      <c r="T274" s="87">
        <v>-271393.99</v>
      </c>
      <c r="U274" s="87">
        <v>5147.4000000003725</v>
      </c>
      <c r="V274" s="87">
        <v>0</v>
      </c>
      <c r="W274" s="87">
        <v>0</v>
      </c>
      <c r="X274" s="87">
        <v>0</v>
      </c>
      <c r="Y274" s="87">
        <v>0</v>
      </c>
      <c r="Z274" s="87">
        <v>0</v>
      </c>
      <c r="AA274" s="87">
        <v>0</v>
      </c>
      <c r="AB274" s="87">
        <v>0</v>
      </c>
      <c r="AC274" s="87">
        <v>0</v>
      </c>
      <c r="AD274" s="87">
        <v>0</v>
      </c>
      <c r="AE274" s="87">
        <v>0</v>
      </c>
      <c r="AF274" s="87">
        <v>0</v>
      </c>
      <c r="AG274" s="87">
        <v>0</v>
      </c>
      <c r="AH274" s="87">
        <v>0</v>
      </c>
      <c r="AI274" s="87">
        <v>0</v>
      </c>
      <c r="AJ274" s="87">
        <v>0</v>
      </c>
      <c r="AK274" s="87">
        <v>0</v>
      </c>
      <c r="AL274" s="87">
        <v>0</v>
      </c>
      <c r="AM274" s="87">
        <v>0</v>
      </c>
      <c r="AN274" s="87">
        <v>0</v>
      </c>
      <c r="AO274" s="87">
        <v>0</v>
      </c>
      <c r="AP274" s="87">
        <v>0</v>
      </c>
      <c r="AQ274" s="87">
        <v>0</v>
      </c>
      <c r="AR274" s="87">
        <v>0</v>
      </c>
      <c r="AS274" s="87">
        <v>0</v>
      </c>
      <c r="AT274" s="87">
        <v>0</v>
      </c>
      <c r="AU274" s="87">
        <v>0</v>
      </c>
      <c r="AV274" s="87">
        <v>0</v>
      </c>
      <c r="AW274" s="87">
        <v>0</v>
      </c>
      <c r="AX274" s="87">
        <v>0</v>
      </c>
      <c r="AY274" s="87">
        <v>0</v>
      </c>
      <c r="AZ274" s="87">
        <v>0</v>
      </c>
      <c r="BA274" s="87">
        <v>0</v>
      </c>
      <c r="BB274" s="87">
        <v>0</v>
      </c>
      <c r="BC274" s="87">
        <v>0</v>
      </c>
      <c r="BD274" s="87">
        <v>0</v>
      </c>
      <c r="BE274" s="87">
        <v>0</v>
      </c>
      <c r="BF274" s="87">
        <v>0</v>
      </c>
    </row>
    <row r="275" spans="1:58" ht="14.1" customHeight="1">
      <c r="A275" s="75">
        <f t="shared" si="394"/>
        <v>269</v>
      </c>
      <c r="B275" s="76" t="s">
        <v>419</v>
      </c>
      <c r="C275" s="80">
        <f t="shared" si="393"/>
        <v>18</v>
      </c>
      <c r="D275" s="87">
        <v>0</v>
      </c>
      <c r="E275" s="87">
        <v>0</v>
      </c>
      <c r="F275" s="87">
        <v>0</v>
      </c>
      <c r="G275" s="87">
        <v>0</v>
      </c>
      <c r="H275" s="87">
        <v>0</v>
      </c>
      <c r="I275" s="87">
        <v>0</v>
      </c>
      <c r="J275" s="87">
        <v>0</v>
      </c>
      <c r="K275" s="87">
        <v>0</v>
      </c>
      <c r="L275" s="87">
        <v>0</v>
      </c>
      <c r="M275" s="87">
        <v>0</v>
      </c>
      <c r="N275" s="87">
        <v>0</v>
      </c>
      <c r="O275" s="87">
        <v>0</v>
      </c>
      <c r="P275" s="87">
        <v>0</v>
      </c>
      <c r="Q275" s="87">
        <v>0</v>
      </c>
      <c r="R275" s="87">
        <v>0</v>
      </c>
      <c r="S275" s="87">
        <v>0</v>
      </c>
      <c r="T275" s="87">
        <v>0</v>
      </c>
      <c r="U275" s="87">
        <v>18</v>
      </c>
      <c r="V275" s="87">
        <v>0</v>
      </c>
      <c r="W275" s="87">
        <v>0</v>
      </c>
      <c r="X275" s="87">
        <v>0</v>
      </c>
      <c r="Y275" s="87">
        <v>0</v>
      </c>
      <c r="Z275" s="87">
        <v>0</v>
      </c>
      <c r="AA275" s="87">
        <v>0</v>
      </c>
      <c r="AB275" s="87">
        <v>0</v>
      </c>
      <c r="AC275" s="87">
        <v>0</v>
      </c>
      <c r="AD275" s="87">
        <v>0</v>
      </c>
      <c r="AE275" s="87">
        <v>0</v>
      </c>
      <c r="AF275" s="87">
        <v>0</v>
      </c>
      <c r="AG275" s="87">
        <v>0</v>
      </c>
      <c r="AH275" s="87">
        <v>0</v>
      </c>
      <c r="AI275" s="87">
        <v>0</v>
      </c>
      <c r="AJ275" s="87">
        <v>0</v>
      </c>
      <c r="AK275" s="87">
        <v>0</v>
      </c>
      <c r="AL275" s="87">
        <v>0</v>
      </c>
      <c r="AM275" s="87">
        <v>0</v>
      </c>
      <c r="AN275" s="87">
        <v>0</v>
      </c>
      <c r="AO275" s="87">
        <v>0</v>
      </c>
      <c r="AP275" s="87">
        <v>0</v>
      </c>
      <c r="AQ275" s="87">
        <v>0</v>
      </c>
      <c r="AR275" s="87">
        <v>0</v>
      </c>
      <c r="AS275" s="87">
        <v>0</v>
      </c>
      <c r="AT275" s="87">
        <v>0</v>
      </c>
      <c r="AU275" s="87">
        <v>0</v>
      </c>
      <c r="AV275" s="87">
        <v>0</v>
      </c>
      <c r="AW275" s="87">
        <v>0</v>
      </c>
      <c r="AX275" s="87">
        <v>0</v>
      </c>
      <c r="AY275" s="87">
        <v>0</v>
      </c>
      <c r="AZ275" s="87">
        <v>0</v>
      </c>
      <c r="BA275" s="87">
        <v>0</v>
      </c>
      <c r="BB275" s="87">
        <v>0</v>
      </c>
      <c r="BC275" s="87">
        <v>0</v>
      </c>
      <c r="BD275" s="87">
        <v>0</v>
      </c>
      <c r="BE275" s="87">
        <v>0</v>
      </c>
      <c r="BF275" s="87">
        <v>0</v>
      </c>
    </row>
    <row r="276" spans="1:58" ht="14.1" customHeight="1">
      <c r="A276" s="75">
        <f t="shared" si="394"/>
        <v>270</v>
      </c>
      <c r="B276" s="90" t="s">
        <v>420</v>
      </c>
      <c r="C276" s="80">
        <f t="shared" si="393"/>
        <v>0</v>
      </c>
      <c r="D276" s="87">
        <v>0</v>
      </c>
      <c r="E276" s="87">
        <v>0</v>
      </c>
      <c r="F276" s="87">
        <v>0</v>
      </c>
      <c r="G276" s="87">
        <v>0</v>
      </c>
      <c r="H276" s="87">
        <v>0</v>
      </c>
      <c r="I276" s="87">
        <v>0</v>
      </c>
      <c r="J276" s="87">
        <v>0</v>
      </c>
      <c r="K276" s="87">
        <v>0</v>
      </c>
      <c r="L276" s="87">
        <v>0</v>
      </c>
      <c r="M276" s="87">
        <v>0</v>
      </c>
      <c r="N276" s="87">
        <v>0</v>
      </c>
      <c r="O276" s="87">
        <v>0</v>
      </c>
      <c r="P276" s="87">
        <v>0</v>
      </c>
      <c r="Q276" s="87">
        <v>0</v>
      </c>
      <c r="R276" s="87">
        <v>0</v>
      </c>
      <c r="S276" s="87">
        <v>0</v>
      </c>
      <c r="T276" s="87">
        <v>0</v>
      </c>
      <c r="U276" s="87">
        <v>0</v>
      </c>
      <c r="V276" s="87">
        <v>0</v>
      </c>
      <c r="W276" s="87">
        <v>0</v>
      </c>
      <c r="X276" s="87">
        <v>0</v>
      </c>
      <c r="Y276" s="87">
        <v>0</v>
      </c>
      <c r="Z276" s="87">
        <v>0</v>
      </c>
      <c r="AA276" s="87">
        <v>0</v>
      </c>
      <c r="AB276" s="87">
        <v>0</v>
      </c>
      <c r="AC276" s="87">
        <v>0</v>
      </c>
      <c r="AD276" s="87">
        <v>0</v>
      </c>
      <c r="AE276" s="87">
        <v>0</v>
      </c>
      <c r="AF276" s="87">
        <v>0</v>
      </c>
      <c r="AG276" s="87">
        <v>0</v>
      </c>
      <c r="AH276" s="87">
        <v>0</v>
      </c>
      <c r="AI276" s="87">
        <v>0</v>
      </c>
      <c r="AJ276" s="87">
        <v>0</v>
      </c>
      <c r="AK276" s="87">
        <v>0</v>
      </c>
      <c r="AL276" s="87">
        <v>0</v>
      </c>
      <c r="AM276" s="87">
        <v>0</v>
      </c>
      <c r="AN276" s="87">
        <v>0</v>
      </c>
      <c r="AO276" s="87">
        <v>0</v>
      </c>
      <c r="AP276" s="87">
        <v>0</v>
      </c>
      <c r="AQ276" s="87">
        <v>0</v>
      </c>
      <c r="AR276" s="87">
        <v>0</v>
      </c>
      <c r="AS276" s="87">
        <v>0</v>
      </c>
      <c r="AT276" s="87">
        <v>0</v>
      </c>
      <c r="AU276" s="87">
        <v>0</v>
      </c>
      <c r="AV276" s="87">
        <v>0</v>
      </c>
      <c r="AW276" s="87">
        <v>0</v>
      </c>
      <c r="AX276" s="87">
        <v>0</v>
      </c>
      <c r="AY276" s="87">
        <v>0</v>
      </c>
      <c r="AZ276" s="87">
        <v>0</v>
      </c>
      <c r="BA276" s="87">
        <v>0</v>
      </c>
      <c r="BB276" s="87">
        <v>0</v>
      </c>
      <c r="BC276" s="87">
        <v>0</v>
      </c>
      <c r="BD276" s="87">
        <v>0</v>
      </c>
      <c r="BE276" s="87">
        <v>0</v>
      </c>
      <c r="BF276" s="87">
        <v>0</v>
      </c>
    </row>
    <row r="277" spans="1:58" s="89" customFormat="1" ht="14.1" customHeight="1">
      <c r="A277" s="75">
        <f t="shared" si="394"/>
        <v>271</v>
      </c>
      <c r="B277" s="108" t="s">
        <v>421</v>
      </c>
      <c r="C277" s="97">
        <f t="shared" ref="C277:V277" si="395">SUM(C268:C276)</f>
        <v>-220044.30999999959</v>
      </c>
      <c r="D277" s="97">
        <f t="shared" si="395"/>
        <v>0</v>
      </c>
      <c r="E277" s="97">
        <f t="shared" si="395"/>
        <v>0</v>
      </c>
      <c r="F277" s="97">
        <f t="shared" si="395"/>
        <v>0</v>
      </c>
      <c r="G277" s="97">
        <f t="shared" si="395"/>
        <v>0</v>
      </c>
      <c r="H277" s="97">
        <f t="shared" si="395"/>
        <v>0</v>
      </c>
      <c r="I277" s="97">
        <f t="shared" si="395"/>
        <v>0</v>
      </c>
      <c r="J277" s="97">
        <f t="shared" si="395"/>
        <v>0</v>
      </c>
      <c r="K277" s="97">
        <f t="shared" si="395"/>
        <v>0</v>
      </c>
      <c r="L277" s="97">
        <f t="shared" si="395"/>
        <v>0</v>
      </c>
      <c r="M277" s="97">
        <f t="shared" si="395"/>
        <v>0</v>
      </c>
      <c r="N277" s="97">
        <f t="shared" si="395"/>
        <v>0</v>
      </c>
      <c r="O277" s="97">
        <f t="shared" si="395"/>
        <v>0</v>
      </c>
      <c r="P277" s="97">
        <f t="shared" si="395"/>
        <v>0</v>
      </c>
      <c r="Q277" s="97">
        <f t="shared" si="395"/>
        <v>0</v>
      </c>
      <c r="R277" s="97">
        <f t="shared" si="395"/>
        <v>0</v>
      </c>
      <c r="S277" s="97">
        <f t="shared" si="395"/>
        <v>0</v>
      </c>
      <c r="T277" s="97">
        <f t="shared" si="395"/>
        <v>-271393.99</v>
      </c>
      <c r="U277" s="97">
        <f t="shared" si="395"/>
        <v>51349.6800000004</v>
      </c>
      <c r="V277" s="97">
        <f t="shared" si="395"/>
        <v>0</v>
      </c>
      <c r="W277" s="97">
        <f>SUM(W268:W276)</f>
        <v>0</v>
      </c>
      <c r="X277" s="97">
        <f t="shared" ref="X277:AD277" si="396">SUM(X268:X276)</f>
        <v>0</v>
      </c>
      <c r="Y277" s="97">
        <f>SUM(Y268:Y276)</f>
        <v>0</v>
      </c>
      <c r="Z277" s="97">
        <f t="shared" si="396"/>
        <v>0</v>
      </c>
      <c r="AA277" s="97">
        <f t="shared" si="396"/>
        <v>0</v>
      </c>
      <c r="AB277" s="97">
        <f t="shared" si="396"/>
        <v>0</v>
      </c>
      <c r="AC277" s="97">
        <f t="shared" si="396"/>
        <v>0</v>
      </c>
      <c r="AD277" s="97">
        <f t="shared" si="396"/>
        <v>0</v>
      </c>
      <c r="AE277" s="97">
        <f>SUM(AE268:AE276)</f>
        <v>0</v>
      </c>
      <c r="AF277" s="97">
        <f>SUM(AF268:AF276)</f>
        <v>0</v>
      </c>
      <c r="AG277" s="97">
        <f>SUM(AG268:AG276)</f>
        <v>0</v>
      </c>
      <c r="AH277" s="97">
        <f t="shared" ref="AH277:AL277" si="397">SUM(AH268:AH276)</f>
        <v>0</v>
      </c>
      <c r="AI277" s="97">
        <f t="shared" si="397"/>
        <v>0</v>
      </c>
      <c r="AJ277" s="97">
        <f t="shared" si="397"/>
        <v>0</v>
      </c>
      <c r="AK277" s="97">
        <f t="shared" si="397"/>
        <v>0</v>
      </c>
      <c r="AL277" s="97">
        <f t="shared" si="397"/>
        <v>0</v>
      </c>
      <c r="AM277" s="97">
        <f>SUM(AM268:AM276)</f>
        <v>0</v>
      </c>
      <c r="AN277" s="97">
        <f>SUM(AN268:AN276)</f>
        <v>0</v>
      </c>
      <c r="AO277" s="97">
        <f>SUM(AO268:AO276)</f>
        <v>0</v>
      </c>
      <c r="AP277" s="97">
        <f>SUM(AP268:AP276)</f>
        <v>0</v>
      </c>
      <c r="AQ277" s="97">
        <f>SUM(AQ268:AQ276)</f>
        <v>0</v>
      </c>
      <c r="AR277" s="97">
        <f t="shared" ref="AR277" si="398">SUM(AR268:AR276)</f>
        <v>0</v>
      </c>
      <c r="AS277" s="97">
        <f>SUM(AS268:AS276)</f>
        <v>0</v>
      </c>
      <c r="AT277" s="97">
        <f t="shared" ref="AT277:AV277" si="399">SUM(AT268:AT276)</f>
        <v>0</v>
      </c>
      <c r="AU277" s="97">
        <f t="shared" si="399"/>
        <v>0</v>
      </c>
      <c r="AV277" s="97">
        <f t="shared" si="399"/>
        <v>0</v>
      </c>
      <c r="AW277" s="97">
        <f>SUM(AW268:AW276)</f>
        <v>0</v>
      </c>
      <c r="AX277" s="97">
        <f t="shared" ref="AX277:BF277" si="400">SUM(AX268:AX276)</f>
        <v>0</v>
      </c>
      <c r="AY277" s="97">
        <f t="shared" si="400"/>
        <v>0</v>
      </c>
      <c r="AZ277" s="97">
        <f t="shared" si="400"/>
        <v>0</v>
      </c>
      <c r="BA277" s="97">
        <f t="shared" si="400"/>
        <v>0</v>
      </c>
      <c r="BB277" s="97">
        <f t="shared" si="400"/>
        <v>0</v>
      </c>
      <c r="BC277" s="97">
        <f t="shared" si="400"/>
        <v>0</v>
      </c>
      <c r="BD277" s="97">
        <f t="shared" si="400"/>
        <v>0</v>
      </c>
      <c r="BE277" s="97">
        <f t="shared" si="400"/>
        <v>0</v>
      </c>
      <c r="BF277" s="97">
        <f t="shared" si="400"/>
        <v>0</v>
      </c>
    </row>
    <row r="278" spans="1:58" s="89" customFormat="1" ht="14.1" customHeight="1">
      <c r="A278" s="75">
        <f t="shared" si="394"/>
        <v>272</v>
      </c>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row>
    <row r="279" spans="1:58" s="89" customFormat="1" ht="14.1" customHeight="1">
      <c r="A279" s="75">
        <f t="shared" si="394"/>
        <v>273</v>
      </c>
      <c r="B279" s="81" t="s">
        <v>422</v>
      </c>
      <c r="C279" s="81"/>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87"/>
      <c r="AN279" s="87"/>
      <c r="AO279" s="87"/>
      <c r="AP279" s="87"/>
      <c r="AQ279" s="87"/>
      <c r="AR279" s="87"/>
      <c r="AS279" s="87"/>
      <c r="AT279" s="87"/>
      <c r="AU279" s="87"/>
      <c r="AV279" s="87"/>
      <c r="AW279" s="87"/>
      <c r="AX279" s="87"/>
      <c r="AY279" s="87"/>
      <c r="AZ279" s="87"/>
      <c r="BA279" s="87"/>
      <c r="BB279" s="87"/>
      <c r="BC279" s="87"/>
      <c r="BD279" s="87"/>
      <c r="BE279" s="87"/>
      <c r="BF279" s="87"/>
    </row>
    <row r="280" spans="1:58" s="89" customFormat="1" ht="14.1" customHeight="1">
      <c r="A280" s="75">
        <f t="shared" si="394"/>
        <v>274</v>
      </c>
      <c r="B280" s="76" t="s">
        <v>423</v>
      </c>
      <c r="C280" s="80">
        <f t="shared" ref="C280:C288" si="401">SUM(D280:BF280)</f>
        <v>0</v>
      </c>
      <c r="D280" s="87">
        <v>0</v>
      </c>
      <c r="E280" s="87">
        <v>0</v>
      </c>
      <c r="F280" s="87">
        <v>0</v>
      </c>
      <c r="G280" s="87">
        <v>0</v>
      </c>
      <c r="H280" s="87">
        <v>0</v>
      </c>
      <c r="I280" s="87">
        <v>0</v>
      </c>
      <c r="J280" s="87">
        <v>0</v>
      </c>
      <c r="K280" s="87">
        <v>0</v>
      </c>
      <c r="L280" s="87">
        <v>0</v>
      </c>
      <c r="M280" s="87">
        <v>0</v>
      </c>
      <c r="N280" s="87">
        <v>0</v>
      </c>
      <c r="O280" s="87">
        <v>0</v>
      </c>
      <c r="P280" s="87">
        <v>0</v>
      </c>
      <c r="Q280" s="87">
        <v>0</v>
      </c>
      <c r="R280" s="87">
        <v>0</v>
      </c>
      <c r="S280" s="87">
        <v>0</v>
      </c>
      <c r="T280" s="87">
        <v>0</v>
      </c>
      <c r="U280" s="87">
        <v>0</v>
      </c>
      <c r="V280" s="87">
        <v>0</v>
      </c>
      <c r="W280" s="87">
        <v>0</v>
      </c>
      <c r="X280" s="87">
        <v>0</v>
      </c>
      <c r="Y280" s="87">
        <v>0</v>
      </c>
      <c r="Z280" s="87">
        <v>0</v>
      </c>
      <c r="AA280" s="87">
        <v>0</v>
      </c>
      <c r="AB280" s="87">
        <v>0</v>
      </c>
      <c r="AC280" s="87">
        <v>0</v>
      </c>
      <c r="AD280" s="87">
        <v>0</v>
      </c>
      <c r="AE280" s="87">
        <v>0</v>
      </c>
      <c r="AF280" s="87">
        <v>0</v>
      </c>
      <c r="AG280" s="87">
        <v>0</v>
      </c>
      <c r="AH280" s="87">
        <v>0</v>
      </c>
      <c r="AI280" s="87">
        <v>0</v>
      </c>
      <c r="AJ280" s="87">
        <v>0</v>
      </c>
      <c r="AK280" s="87">
        <v>0</v>
      </c>
      <c r="AL280" s="87">
        <v>0</v>
      </c>
      <c r="AM280" s="87">
        <v>0</v>
      </c>
      <c r="AN280" s="87">
        <v>0</v>
      </c>
      <c r="AO280" s="87">
        <v>0</v>
      </c>
      <c r="AP280" s="87">
        <v>0</v>
      </c>
      <c r="AQ280" s="87">
        <v>0</v>
      </c>
      <c r="AR280" s="87">
        <v>0</v>
      </c>
      <c r="AS280" s="87">
        <v>0</v>
      </c>
      <c r="AT280" s="87">
        <v>0</v>
      </c>
      <c r="AU280" s="87">
        <v>0</v>
      </c>
      <c r="AV280" s="87">
        <v>0</v>
      </c>
      <c r="AW280" s="87">
        <v>0</v>
      </c>
      <c r="AX280" s="87">
        <v>0</v>
      </c>
      <c r="AY280" s="87">
        <v>0</v>
      </c>
      <c r="AZ280" s="87">
        <v>0</v>
      </c>
      <c r="BA280" s="87">
        <v>0</v>
      </c>
      <c r="BB280" s="87">
        <v>0</v>
      </c>
      <c r="BC280" s="87">
        <v>0</v>
      </c>
      <c r="BD280" s="87">
        <v>0</v>
      </c>
      <c r="BE280" s="87">
        <v>0</v>
      </c>
      <c r="BF280" s="87">
        <v>0</v>
      </c>
    </row>
    <row r="281" spans="1:58" ht="14.1" customHeight="1">
      <c r="A281" s="75">
        <f t="shared" si="394"/>
        <v>275</v>
      </c>
      <c r="B281" s="76" t="s">
        <v>425</v>
      </c>
      <c r="C281" s="80">
        <f t="shared" si="401"/>
        <v>-573589.96</v>
      </c>
      <c r="D281" s="87">
        <v>0</v>
      </c>
      <c r="E281" s="87">
        <v>0</v>
      </c>
      <c r="F281" s="87">
        <v>0</v>
      </c>
      <c r="G281" s="87">
        <v>0</v>
      </c>
      <c r="H281" s="87">
        <v>0</v>
      </c>
      <c r="I281" s="87">
        <v>0</v>
      </c>
      <c r="J281" s="87">
        <v>0</v>
      </c>
      <c r="K281" s="87">
        <v>0</v>
      </c>
      <c r="L281" s="87">
        <v>0</v>
      </c>
      <c r="M281" s="87">
        <v>0</v>
      </c>
      <c r="N281" s="87">
        <v>-573589.96</v>
      </c>
      <c r="O281" s="87">
        <v>0</v>
      </c>
      <c r="P281" s="87">
        <v>0</v>
      </c>
      <c r="Q281" s="87">
        <v>0</v>
      </c>
      <c r="R281" s="87">
        <v>0</v>
      </c>
      <c r="S281" s="87">
        <v>0</v>
      </c>
      <c r="T281" s="87">
        <v>0</v>
      </c>
      <c r="U281" s="87">
        <v>0</v>
      </c>
      <c r="V281" s="87">
        <v>0</v>
      </c>
      <c r="W281" s="87">
        <v>0</v>
      </c>
      <c r="X281" s="87">
        <v>0</v>
      </c>
      <c r="Y281" s="87">
        <v>0</v>
      </c>
      <c r="Z281" s="87">
        <v>0</v>
      </c>
      <c r="AA281" s="87">
        <v>0</v>
      </c>
      <c r="AB281" s="87">
        <v>0</v>
      </c>
      <c r="AC281" s="87">
        <v>0</v>
      </c>
      <c r="AD281" s="87">
        <v>0</v>
      </c>
      <c r="AE281" s="87">
        <v>0</v>
      </c>
      <c r="AF281" s="87">
        <v>0</v>
      </c>
      <c r="AG281" s="87">
        <v>0</v>
      </c>
      <c r="AH281" s="87">
        <v>0</v>
      </c>
      <c r="AI281" s="87">
        <v>0</v>
      </c>
      <c r="AJ281" s="87">
        <v>0</v>
      </c>
      <c r="AK281" s="87">
        <v>0</v>
      </c>
      <c r="AL281" s="87">
        <v>0</v>
      </c>
      <c r="AM281" s="87">
        <v>0</v>
      </c>
      <c r="AN281" s="87">
        <v>0</v>
      </c>
      <c r="AO281" s="87">
        <v>0</v>
      </c>
      <c r="AP281" s="87">
        <v>0</v>
      </c>
      <c r="AQ281" s="87">
        <v>0</v>
      </c>
      <c r="AR281" s="87">
        <v>0</v>
      </c>
      <c r="AS281" s="87">
        <v>0</v>
      </c>
      <c r="AT281" s="87">
        <v>0</v>
      </c>
      <c r="AU281" s="87">
        <v>0</v>
      </c>
      <c r="AV281" s="87">
        <v>0</v>
      </c>
      <c r="AW281" s="87">
        <v>0</v>
      </c>
      <c r="AX281" s="87">
        <v>0</v>
      </c>
      <c r="AY281" s="87">
        <v>0</v>
      </c>
      <c r="AZ281" s="87">
        <v>0</v>
      </c>
      <c r="BA281" s="87">
        <v>0</v>
      </c>
      <c r="BB281" s="87">
        <v>0</v>
      </c>
      <c r="BC281" s="87">
        <v>0</v>
      </c>
      <c r="BD281" s="87">
        <v>0</v>
      </c>
      <c r="BE281" s="87">
        <v>0</v>
      </c>
      <c r="BF281" s="87">
        <v>0</v>
      </c>
    </row>
    <row r="282" spans="1:58" ht="14.1" customHeight="1">
      <c r="A282" s="75">
        <f t="shared" si="394"/>
        <v>276</v>
      </c>
      <c r="B282" s="76" t="s">
        <v>426</v>
      </c>
      <c r="C282" s="80">
        <f t="shared" si="401"/>
        <v>0</v>
      </c>
      <c r="D282" s="87">
        <v>0</v>
      </c>
      <c r="E282" s="87">
        <v>0</v>
      </c>
      <c r="F282" s="87">
        <v>0</v>
      </c>
      <c r="G282" s="87">
        <v>0</v>
      </c>
      <c r="H282" s="87">
        <v>0</v>
      </c>
      <c r="I282" s="87">
        <v>0</v>
      </c>
      <c r="J282" s="87">
        <v>0</v>
      </c>
      <c r="K282" s="87">
        <v>0</v>
      </c>
      <c r="L282" s="87">
        <v>0</v>
      </c>
      <c r="M282" s="87">
        <v>0</v>
      </c>
      <c r="N282" s="87">
        <v>0</v>
      </c>
      <c r="O282" s="87">
        <v>0</v>
      </c>
      <c r="P282" s="87">
        <v>0</v>
      </c>
      <c r="Q282" s="87">
        <v>0</v>
      </c>
      <c r="R282" s="87">
        <v>0</v>
      </c>
      <c r="S282" s="87">
        <v>0</v>
      </c>
      <c r="T282" s="87">
        <v>0</v>
      </c>
      <c r="U282" s="87">
        <v>0</v>
      </c>
      <c r="V282" s="87">
        <v>0</v>
      </c>
      <c r="W282" s="87">
        <v>0</v>
      </c>
      <c r="X282" s="87">
        <v>0</v>
      </c>
      <c r="Y282" s="87">
        <v>0</v>
      </c>
      <c r="Z282" s="87">
        <v>0</v>
      </c>
      <c r="AA282" s="87">
        <v>0</v>
      </c>
      <c r="AB282" s="87">
        <v>0</v>
      </c>
      <c r="AC282" s="87">
        <v>0</v>
      </c>
      <c r="AD282" s="87">
        <v>0</v>
      </c>
      <c r="AE282" s="87">
        <v>0</v>
      </c>
      <c r="AF282" s="87">
        <v>0</v>
      </c>
      <c r="AG282" s="87">
        <v>0</v>
      </c>
      <c r="AH282" s="87">
        <v>0</v>
      </c>
      <c r="AI282" s="87">
        <v>0</v>
      </c>
      <c r="AJ282" s="87">
        <v>0</v>
      </c>
      <c r="AK282" s="87">
        <v>0</v>
      </c>
      <c r="AL282" s="87">
        <v>0</v>
      </c>
      <c r="AM282" s="87">
        <v>0</v>
      </c>
      <c r="AN282" s="87">
        <v>0</v>
      </c>
      <c r="AO282" s="87">
        <v>0</v>
      </c>
      <c r="AP282" s="87">
        <v>0</v>
      </c>
      <c r="AQ282" s="87">
        <v>0</v>
      </c>
      <c r="AR282" s="87">
        <v>0</v>
      </c>
      <c r="AS282" s="87">
        <v>0</v>
      </c>
      <c r="AT282" s="87">
        <v>0</v>
      </c>
      <c r="AU282" s="87">
        <v>0</v>
      </c>
      <c r="AV282" s="87">
        <v>0</v>
      </c>
      <c r="AW282" s="87">
        <v>0</v>
      </c>
      <c r="AX282" s="87">
        <v>0</v>
      </c>
      <c r="AY282" s="87">
        <v>0</v>
      </c>
      <c r="AZ282" s="87">
        <v>0</v>
      </c>
      <c r="BA282" s="87">
        <v>0</v>
      </c>
      <c r="BB282" s="87">
        <v>0</v>
      </c>
      <c r="BC282" s="87">
        <v>0</v>
      </c>
      <c r="BD282" s="87">
        <v>0</v>
      </c>
      <c r="BE282" s="87">
        <v>0</v>
      </c>
      <c r="BF282" s="87">
        <v>0</v>
      </c>
    </row>
    <row r="283" spans="1:58" ht="14.1" customHeight="1">
      <c r="A283" s="75">
        <f t="shared" si="394"/>
        <v>277</v>
      </c>
      <c r="B283" s="76" t="s">
        <v>427</v>
      </c>
      <c r="C283" s="80">
        <f t="shared" si="401"/>
        <v>-4256853</v>
      </c>
      <c r="D283" s="87">
        <v>0</v>
      </c>
      <c r="E283" s="87">
        <v>0</v>
      </c>
      <c r="F283" s="87">
        <v>0</v>
      </c>
      <c r="G283" s="87">
        <v>0</v>
      </c>
      <c r="H283" s="87">
        <v>0</v>
      </c>
      <c r="I283" s="87">
        <v>0</v>
      </c>
      <c r="J283" s="87">
        <v>0</v>
      </c>
      <c r="K283" s="87">
        <v>0</v>
      </c>
      <c r="L283" s="87">
        <v>0</v>
      </c>
      <c r="M283" s="87">
        <v>0</v>
      </c>
      <c r="N283" s="87">
        <v>0</v>
      </c>
      <c r="O283" s="87">
        <v>0</v>
      </c>
      <c r="P283" s="87">
        <v>0</v>
      </c>
      <c r="Q283" s="87">
        <v>0</v>
      </c>
      <c r="R283" s="87">
        <v>0</v>
      </c>
      <c r="S283" s="87">
        <f>163052-4409387-10518</f>
        <v>-4256853</v>
      </c>
      <c r="T283" s="87">
        <v>0</v>
      </c>
      <c r="U283" s="87">
        <v>0</v>
      </c>
      <c r="V283" s="87">
        <v>0</v>
      </c>
      <c r="W283" s="87">
        <v>0</v>
      </c>
      <c r="X283" s="87">
        <v>0</v>
      </c>
      <c r="Y283" s="87">
        <v>0</v>
      </c>
      <c r="Z283" s="87">
        <v>0</v>
      </c>
      <c r="AA283" s="87">
        <v>0</v>
      </c>
      <c r="AB283" s="87">
        <v>0</v>
      </c>
      <c r="AC283" s="87">
        <v>0</v>
      </c>
      <c r="AD283" s="87">
        <v>0</v>
      </c>
      <c r="AE283" s="87">
        <v>0</v>
      </c>
      <c r="AF283" s="87">
        <v>0</v>
      </c>
      <c r="AG283" s="87">
        <v>0</v>
      </c>
      <c r="AH283" s="87">
        <v>0</v>
      </c>
      <c r="AI283" s="87">
        <v>0</v>
      </c>
      <c r="AJ283" s="87">
        <v>0</v>
      </c>
      <c r="AK283" s="87">
        <v>0</v>
      </c>
      <c r="AL283" s="87">
        <v>0</v>
      </c>
      <c r="AM283" s="87">
        <v>0</v>
      </c>
      <c r="AN283" s="87">
        <v>0</v>
      </c>
      <c r="AO283" s="87">
        <v>0</v>
      </c>
      <c r="AP283" s="87">
        <v>0</v>
      </c>
      <c r="AQ283" s="87">
        <v>0</v>
      </c>
      <c r="AR283" s="87">
        <v>0</v>
      </c>
      <c r="AS283" s="87">
        <v>0</v>
      </c>
      <c r="AT283" s="87">
        <v>0</v>
      </c>
      <c r="AU283" s="87">
        <v>0</v>
      </c>
      <c r="AV283" s="87">
        <v>0</v>
      </c>
      <c r="AW283" s="87">
        <v>0</v>
      </c>
      <c r="AX283" s="87">
        <v>0</v>
      </c>
      <c r="AY283" s="87">
        <v>0</v>
      </c>
      <c r="AZ283" s="87">
        <v>0</v>
      </c>
      <c r="BA283" s="87">
        <v>0</v>
      </c>
      <c r="BB283" s="87">
        <v>0</v>
      </c>
      <c r="BC283" s="87">
        <v>0</v>
      </c>
      <c r="BD283" s="87">
        <v>0</v>
      </c>
      <c r="BE283" s="87">
        <v>0</v>
      </c>
      <c r="BF283" s="87">
        <v>0</v>
      </c>
    </row>
    <row r="284" spans="1:58" ht="14.1" customHeight="1">
      <c r="A284" s="75">
        <f t="shared" si="394"/>
        <v>278</v>
      </c>
      <c r="B284" s="76" t="s">
        <v>429</v>
      </c>
      <c r="C284" s="80">
        <f t="shared" si="401"/>
        <v>0</v>
      </c>
      <c r="D284" s="87">
        <v>0</v>
      </c>
      <c r="E284" s="87">
        <v>0</v>
      </c>
      <c r="F284" s="87">
        <v>0</v>
      </c>
      <c r="G284" s="87">
        <v>0</v>
      </c>
      <c r="H284" s="87">
        <v>0</v>
      </c>
      <c r="I284" s="87">
        <v>0</v>
      </c>
      <c r="J284" s="87">
        <v>0</v>
      </c>
      <c r="K284" s="87">
        <v>0</v>
      </c>
      <c r="L284" s="87">
        <v>0</v>
      </c>
      <c r="M284" s="87">
        <v>0</v>
      </c>
      <c r="N284" s="87">
        <v>0</v>
      </c>
      <c r="O284" s="87">
        <v>0</v>
      </c>
      <c r="P284" s="87">
        <v>0</v>
      </c>
      <c r="Q284" s="87">
        <v>0</v>
      </c>
      <c r="R284" s="87">
        <v>0</v>
      </c>
      <c r="S284" s="87">
        <v>0</v>
      </c>
      <c r="T284" s="87">
        <v>0</v>
      </c>
      <c r="U284" s="87">
        <v>0</v>
      </c>
      <c r="V284" s="87">
        <v>0</v>
      </c>
      <c r="W284" s="87">
        <v>0</v>
      </c>
      <c r="X284" s="87">
        <v>0</v>
      </c>
      <c r="Y284" s="87">
        <v>0</v>
      </c>
      <c r="Z284" s="87">
        <v>0</v>
      </c>
      <c r="AA284" s="87">
        <v>0</v>
      </c>
      <c r="AB284" s="87">
        <v>0</v>
      </c>
      <c r="AC284" s="87">
        <v>0</v>
      </c>
      <c r="AD284" s="87">
        <v>0</v>
      </c>
      <c r="AE284" s="87">
        <v>0</v>
      </c>
      <c r="AF284" s="87">
        <v>0</v>
      </c>
      <c r="AG284" s="87">
        <v>0</v>
      </c>
      <c r="AH284" s="87">
        <v>0</v>
      </c>
      <c r="AI284" s="87">
        <v>0</v>
      </c>
      <c r="AJ284" s="87">
        <v>0</v>
      </c>
      <c r="AK284" s="87">
        <v>0</v>
      </c>
      <c r="AL284" s="87">
        <v>0</v>
      </c>
      <c r="AM284" s="87">
        <v>0</v>
      </c>
      <c r="AN284" s="87">
        <v>0</v>
      </c>
      <c r="AO284" s="87">
        <v>0</v>
      </c>
      <c r="AP284" s="87">
        <v>0</v>
      </c>
      <c r="AQ284" s="87">
        <v>0</v>
      </c>
      <c r="AR284" s="87">
        <v>0</v>
      </c>
      <c r="AS284" s="87">
        <v>0</v>
      </c>
      <c r="AT284" s="87">
        <v>0</v>
      </c>
      <c r="AU284" s="87">
        <v>0</v>
      </c>
      <c r="AV284" s="87">
        <v>0</v>
      </c>
      <c r="AW284" s="87">
        <v>0</v>
      </c>
      <c r="AX284" s="87">
        <v>0</v>
      </c>
      <c r="AY284" s="87">
        <v>0</v>
      </c>
      <c r="AZ284" s="87">
        <v>0</v>
      </c>
      <c r="BA284" s="87">
        <v>0</v>
      </c>
      <c r="BB284" s="87">
        <v>0</v>
      </c>
      <c r="BC284" s="87">
        <v>0</v>
      </c>
      <c r="BD284" s="87">
        <v>0</v>
      </c>
      <c r="BE284" s="87">
        <v>0</v>
      </c>
      <c r="BF284" s="87">
        <v>0</v>
      </c>
    </row>
    <row r="285" spans="1:58" ht="14.1" customHeight="1">
      <c r="A285" s="75">
        <f t="shared" si="394"/>
        <v>279</v>
      </c>
      <c r="B285" s="76" t="s">
        <v>430</v>
      </c>
      <c r="C285" s="80">
        <f t="shared" si="401"/>
        <v>1465518.6399999708</v>
      </c>
      <c r="D285" s="87">
        <v>0</v>
      </c>
      <c r="E285" s="87">
        <v>0</v>
      </c>
      <c r="F285" s="87">
        <v>0</v>
      </c>
      <c r="G285" s="87">
        <v>0</v>
      </c>
      <c r="H285" s="87">
        <v>0</v>
      </c>
      <c r="I285" s="87">
        <v>0</v>
      </c>
      <c r="J285" s="87">
        <v>0</v>
      </c>
      <c r="K285" s="87">
        <v>0</v>
      </c>
      <c r="L285" s="87">
        <v>0</v>
      </c>
      <c r="M285" s="87">
        <v>0</v>
      </c>
      <c r="N285" s="87">
        <v>0</v>
      </c>
      <c r="O285" s="87">
        <v>0</v>
      </c>
      <c r="P285" s="87">
        <v>0</v>
      </c>
      <c r="Q285" s="87">
        <v>0</v>
      </c>
      <c r="R285" s="87">
        <v>0</v>
      </c>
      <c r="S285" s="87">
        <v>0</v>
      </c>
      <c r="T285" s="87">
        <v>0</v>
      </c>
      <c r="U285" s="87">
        <v>1465518.6399999708</v>
      </c>
      <c r="V285" s="87">
        <v>0</v>
      </c>
      <c r="W285" s="87">
        <v>0</v>
      </c>
      <c r="X285" s="87">
        <v>0</v>
      </c>
      <c r="Y285" s="87">
        <v>0</v>
      </c>
      <c r="Z285" s="87">
        <v>0</v>
      </c>
      <c r="AA285" s="87">
        <v>0</v>
      </c>
      <c r="AB285" s="87">
        <v>0</v>
      </c>
      <c r="AC285" s="87">
        <v>0</v>
      </c>
      <c r="AD285" s="87">
        <v>0</v>
      </c>
      <c r="AE285" s="87">
        <v>0</v>
      </c>
      <c r="AF285" s="87">
        <v>0</v>
      </c>
      <c r="AG285" s="87">
        <v>0</v>
      </c>
      <c r="AH285" s="87">
        <v>0</v>
      </c>
      <c r="AI285" s="87">
        <v>0</v>
      </c>
      <c r="AJ285" s="87">
        <v>0</v>
      </c>
      <c r="AK285" s="87">
        <v>0</v>
      </c>
      <c r="AL285" s="87">
        <v>0</v>
      </c>
      <c r="AM285" s="87">
        <v>0</v>
      </c>
      <c r="AN285" s="87">
        <v>0</v>
      </c>
      <c r="AO285" s="87">
        <v>0</v>
      </c>
      <c r="AP285" s="87">
        <v>0</v>
      </c>
      <c r="AQ285" s="87">
        <v>0</v>
      </c>
      <c r="AR285" s="87">
        <v>0</v>
      </c>
      <c r="AS285" s="87">
        <v>0</v>
      </c>
      <c r="AT285" s="87">
        <v>0</v>
      </c>
      <c r="AU285" s="87">
        <v>0</v>
      </c>
      <c r="AV285" s="87">
        <v>0</v>
      </c>
      <c r="AW285" s="87">
        <v>0</v>
      </c>
      <c r="AX285" s="87">
        <v>0</v>
      </c>
      <c r="AY285" s="87">
        <v>0</v>
      </c>
      <c r="AZ285" s="87">
        <v>0</v>
      </c>
      <c r="BA285" s="87">
        <v>0</v>
      </c>
      <c r="BB285" s="87">
        <v>0</v>
      </c>
      <c r="BC285" s="87">
        <v>0</v>
      </c>
      <c r="BD285" s="87">
        <v>0</v>
      </c>
      <c r="BE285" s="87">
        <v>0</v>
      </c>
      <c r="BF285" s="87">
        <v>0</v>
      </c>
    </row>
    <row r="286" spans="1:58" ht="14.1" customHeight="1">
      <c r="A286" s="75">
        <f t="shared" si="394"/>
        <v>280</v>
      </c>
      <c r="B286" s="76" t="s">
        <v>432</v>
      </c>
      <c r="C286" s="80">
        <f t="shared" si="401"/>
        <v>0</v>
      </c>
      <c r="D286" s="87">
        <v>0</v>
      </c>
      <c r="E286" s="87">
        <v>0</v>
      </c>
      <c r="F286" s="87">
        <v>0</v>
      </c>
      <c r="G286" s="87">
        <v>0</v>
      </c>
      <c r="H286" s="87">
        <v>0</v>
      </c>
      <c r="I286" s="87">
        <v>0</v>
      </c>
      <c r="J286" s="87">
        <v>0</v>
      </c>
      <c r="K286" s="87">
        <v>0</v>
      </c>
      <c r="L286" s="87">
        <v>0</v>
      </c>
      <c r="M286" s="87">
        <v>0</v>
      </c>
      <c r="N286" s="87">
        <v>0</v>
      </c>
      <c r="O286" s="87">
        <v>0</v>
      </c>
      <c r="P286" s="87">
        <v>0</v>
      </c>
      <c r="Q286" s="87">
        <v>0</v>
      </c>
      <c r="R286" s="87">
        <v>0</v>
      </c>
      <c r="S286" s="87">
        <v>0</v>
      </c>
      <c r="T286" s="87">
        <v>0</v>
      </c>
      <c r="U286" s="87">
        <v>0</v>
      </c>
      <c r="V286" s="87">
        <v>0</v>
      </c>
      <c r="W286" s="87">
        <v>0</v>
      </c>
      <c r="X286" s="87">
        <v>0</v>
      </c>
      <c r="Y286" s="87">
        <v>0</v>
      </c>
      <c r="Z286" s="87">
        <v>0</v>
      </c>
      <c r="AA286" s="87">
        <v>0</v>
      </c>
      <c r="AB286" s="87">
        <v>0</v>
      </c>
      <c r="AC286" s="87">
        <v>0</v>
      </c>
      <c r="AD286" s="87">
        <v>0</v>
      </c>
      <c r="AE286" s="87">
        <v>0</v>
      </c>
      <c r="AF286" s="87">
        <v>0</v>
      </c>
      <c r="AG286" s="87">
        <v>0</v>
      </c>
      <c r="AH286" s="87">
        <v>0</v>
      </c>
      <c r="AI286" s="87">
        <v>0</v>
      </c>
      <c r="AJ286" s="87">
        <v>0</v>
      </c>
      <c r="AK286" s="87">
        <v>0</v>
      </c>
      <c r="AL286" s="87">
        <v>0</v>
      </c>
      <c r="AM286" s="87">
        <v>0</v>
      </c>
      <c r="AN286" s="87">
        <v>0</v>
      </c>
      <c r="AO286" s="87">
        <v>0</v>
      </c>
      <c r="AP286" s="87">
        <v>0</v>
      </c>
      <c r="AQ286" s="87">
        <v>0</v>
      </c>
      <c r="AR286" s="87">
        <v>0</v>
      </c>
      <c r="AS286" s="87">
        <v>0</v>
      </c>
      <c r="AT286" s="87">
        <v>0</v>
      </c>
      <c r="AU286" s="87">
        <v>0</v>
      </c>
      <c r="AV286" s="87">
        <v>0</v>
      </c>
      <c r="AW286" s="87">
        <v>0</v>
      </c>
      <c r="AX286" s="87">
        <v>0</v>
      </c>
      <c r="AY286" s="87">
        <v>0</v>
      </c>
      <c r="AZ286" s="87">
        <v>0</v>
      </c>
      <c r="BA286" s="87">
        <v>0</v>
      </c>
      <c r="BB286" s="87">
        <v>0</v>
      </c>
      <c r="BC286" s="87">
        <v>0</v>
      </c>
      <c r="BD286" s="87">
        <v>0</v>
      </c>
      <c r="BE286" s="87">
        <v>0</v>
      </c>
      <c r="BF286" s="87">
        <v>0</v>
      </c>
    </row>
    <row r="287" spans="1:58" ht="14.1" customHeight="1">
      <c r="A287" s="75">
        <f t="shared" si="394"/>
        <v>281</v>
      </c>
      <c r="B287" s="76" t="s">
        <v>434</v>
      </c>
      <c r="C287" s="80">
        <f t="shared" si="401"/>
        <v>1670.8300000000017</v>
      </c>
      <c r="D287" s="87">
        <v>0</v>
      </c>
      <c r="E287" s="87">
        <v>0</v>
      </c>
      <c r="F287" s="87">
        <v>0</v>
      </c>
      <c r="G287" s="87">
        <v>0</v>
      </c>
      <c r="H287" s="87">
        <v>0</v>
      </c>
      <c r="I287" s="87">
        <v>0</v>
      </c>
      <c r="J287" s="87">
        <v>0</v>
      </c>
      <c r="K287" s="87">
        <v>0</v>
      </c>
      <c r="L287" s="87">
        <v>0</v>
      </c>
      <c r="M287" s="87">
        <v>0</v>
      </c>
      <c r="N287" s="87">
        <v>0</v>
      </c>
      <c r="O287" s="87">
        <v>0</v>
      </c>
      <c r="P287" s="87">
        <v>0</v>
      </c>
      <c r="Q287" s="87">
        <v>0</v>
      </c>
      <c r="R287" s="87">
        <v>0</v>
      </c>
      <c r="S287" s="87">
        <v>0</v>
      </c>
      <c r="T287" s="87">
        <v>0</v>
      </c>
      <c r="U287" s="87">
        <v>1670.8300000000017</v>
      </c>
      <c r="V287" s="87">
        <v>0</v>
      </c>
      <c r="W287" s="87">
        <v>0</v>
      </c>
      <c r="X287" s="87">
        <v>0</v>
      </c>
      <c r="Y287" s="87">
        <v>0</v>
      </c>
      <c r="Z287" s="87">
        <v>0</v>
      </c>
      <c r="AA287" s="87">
        <v>0</v>
      </c>
      <c r="AB287" s="87">
        <v>0</v>
      </c>
      <c r="AC287" s="87">
        <v>0</v>
      </c>
      <c r="AD287" s="87">
        <v>0</v>
      </c>
      <c r="AE287" s="87">
        <v>0</v>
      </c>
      <c r="AF287" s="87">
        <v>0</v>
      </c>
      <c r="AG287" s="87">
        <v>0</v>
      </c>
      <c r="AH287" s="87">
        <v>0</v>
      </c>
      <c r="AI287" s="87">
        <v>0</v>
      </c>
      <c r="AJ287" s="87">
        <v>0</v>
      </c>
      <c r="AK287" s="87">
        <v>0</v>
      </c>
      <c r="AL287" s="87">
        <v>0</v>
      </c>
      <c r="AM287" s="87">
        <v>0</v>
      </c>
      <c r="AN287" s="87">
        <v>0</v>
      </c>
      <c r="AO287" s="87">
        <v>0</v>
      </c>
      <c r="AP287" s="87">
        <v>0</v>
      </c>
      <c r="AQ287" s="87">
        <v>0</v>
      </c>
      <c r="AR287" s="87">
        <v>0</v>
      </c>
      <c r="AS287" s="87">
        <v>0</v>
      </c>
      <c r="AT287" s="87">
        <v>0</v>
      </c>
      <c r="AU287" s="87">
        <v>0</v>
      </c>
      <c r="AV287" s="87">
        <v>0</v>
      </c>
      <c r="AW287" s="87">
        <v>0</v>
      </c>
      <c r="AX287" s="87">
        <v>0</v>
      </c>
      <c r="AY287" s="87">
        <v>0</v>
      </c>
      <c r="AZ287" s="87">
        <v>0</v>
      </c>
      <c r="BA287" s="87">
        <v>0</v>
      </c>
      <c r="BB287" s="87">
        <v>0</v>
      </c>
      <c r="BC287" s="87">
        <v>0</v>
      </c>
      <c r="BD287" s="87">
        <v>0</v>
      </c>
      <c r="BE287" s="87">
        <v>0</v>
      </c>
      <c r="BF287" s="87">
        <v>0</v>
      </c>
    </row>
    <row r="288" spans="1:58" ht="14.1" customHeight="1">
      <c r="A288" s="75">
        <f t="shared" si="394"/>
        <v>282</v>
      </c>
      <c r="B288" s="90" t="s">
        <v>435</v>
      </c>
      <c r="C288" s="80">
        <f t="shared" si="401"/>
        <v>392.30999999999767</v>
      </c>
      <c r="D288" s="87">
        <v>0</v>
      </c>
      <c r="E288" s="87">
        <v>0</v>
      </c>
      <c r="F288" s="87">
        <v>0</v>
      </c>
      <c r="G288" s="87">
        <v>0</v>
      </c>
      <c r="H288" s="87">
        <v>0</v>
      </c>
      <c r="I288" s="87">
        <v>0</v>
      </c>
      <c r="J288" s="87">
        <v>0</v>
      </c>
      <c r="K288" s="87">
        <v>0</v>
      </c>
      <c r="L288" s="87">
        <v>0</v>
      </c>
      <c r="M288" s="87">
        <v>0</v>
      </c>
      <c r="N288" s="87">
        <v>0</v>
      </c>
      <c r="O288" s="87">
        <v>0</v>
      </c>
      <c r="P288" s="87">
        <v>0</v>
      </c>
      <c r="Q288" s="87">
        <v>0</v>
      </c>
      <c r="R288" s="87">
        <v>0</v>
      </c>
      <c r="S288" s="87">
        <v>0</v>
      </c>
      <c r="T288" s="87">
        <v>0</v>
      </c>
      <c r="U288" s="87">
        <v>392.30999999999767</v>
      </c>
      <c r="V288" s="87">
        <v>0</v>
      </c>
      <c r="W288" s="87">
        <v>0</v>
      </c>
      <c r="X288" s="87">
        <v>0</v>
      </c>
      <c r="Y288" s="87">
        <v>0</v>
      </c>
      <c r="Z288" s="87">
        <v>0</v>
      </c>
      <c r="AA288" s="87">
        <v>0</v>
      </c>
      <c r="AB288" s="87">
        <v>0</v>
      </c>
      <c r="AC288" s="87">
        <v>0</v>
      </c>
      <c r="AD288" s="87">
        <v>0</v>
      </c>
      <c r="AE288" s="87">
        <v>0</v>
      </c>
      <c r="AF288" s="87">
        <v>0</v>
      </c>
      <c r="AG288" s="87">
        <v>0</v>
      </c>
      <c r="AH288" s="87">
        <v>0</v>
      </c>
      <c r="AI288" s="87">
        <v>0</v>
      </c>
      <c r="AJ288" s="87">
        <v>0</v>
      </c>
      <c r="AK288" s="87">
        <v>0</v>
      </c>
      <c r="AL288" s="87">
        <v>0</v>
      </c>
      <c r="AM288" s="87">
        <v>0</v>
      </c>
      <c r="AN288" s="87">
        <v>0</v>
      </c>
      <c r="AO288" s="87">
        <v>0</v>
      </c>
      <c r="AP288" s="87">
        <v>0</v>
      </c>
      <c r="AQ288" s="87">
        <v>0</v>
      </c>
      <c r="AR288" s="87">
        <v>0</v>
      </c>
      <c r="AS288" s="87">
        <v>0</v>
      </c>
      <c r="AT288" s="87">
        <v>0</v>
      </c>
      <c r="AU288" s="87">
        <v>0</v>
      </c>
      <c r="AV288" s="87">
        <v>0</v>
      </c>
      <c r="AW288" s="87">
        <v>0</v>
      </c>
      <c r="AX288" s="87">
        <v>0</v>
      </c>
      <c r="AY288" s="87">
        <v>0</v>
      </c>
      <c r="AZ288" s="87">
        <v>0</v>
      </c>
      <c r="BA288" s="87">
        <v>0</v>
      </c>
      <c r="BB288" s="87">
        <v>0</v>
      </c>
      <c r="BC288" s="87">
        <v>0</v>
      </c>
      <c r="BD288" s="87">
        <v>0</v>
      </c>
      <c r="BE288" s="87">
        <v>0</v>
      </c>
      <c r="BF288" s="87">
        <v>0</v>
      </c>
    </row>
    <row r="289" spans="1:58" ht="14.1" customHeight="1">
      <c r="A289" s="75">
        <f t="shared" si="394"/>
        <v>283</v>
      </c>
      <c r="B289" s="108" t="s">
        <v>436</v>
      </c>
      <c r="C289" s="97">
        <f t="shared" ref="C289:V289" si="402">SUM(C280:C288)</f>
        <v>-3362861.180000029</v>
      </c>
      <c r="D289" s="97">
        <f t="shared" ref="D289:I289" si="403">SUM(D280:D288)</f>
        <v>0</v>
      </c>
      <c r="E289" s="97">
        <f t="shared" si="403"/>
        <v>0</v>
      </c>
      <c r="F289" s="97">
        <f t="shared" si="403"/>
        <v>0</v>
      </c>
      <c r="G289" s="97">
        <f t="shared" si="403"/>
        <v>0</v>
      </c>
      <c r="H289" s="97">
        <f t="shared" si="403"/>
        <v>0</v>
      </c>
      <c r="I289" s="97">
        <f t="shared" si="403"/>
        <v>0</v>
      </c>
      <c r="J289" s="97">
        <f t="shared" si="402"/>
        <v>0</v>
      </c>
      <c r="K289" s="97">
        <f t="shared" ref="K289:U289" si="404">SUM(K280:K288)</f>
        <v>0</v>
      </c>
      <c r="L289" s="97">
        <f t="shared" si="404"/>
        <v>0</v>
      </c>
      <c r="M289" s="97">
        <f t="shared" si="404"/>
        <v>0</v>
      </c>
      <c r="N289" s="97">
        <f t="shared" si="404"/>
        <v>-573589.96</v>
      </c>
      <c r="O289" s="97">
        <f t="shared" si="404"/>
        <v>0</v>
      </c>
      <c r="P289" s="97">
        <f t="shared" si="404"/>
        <v>0</v>
      </c>
      <c r="Q289" s="97">
        <f t="shared" si="404"/>
        <v>0</v>
      </c>
      <c r="R289" s="97">
        <f t="shared" si="404"/>
        <v>0</v>
      </c>
      <c r="S289" s="97">
        <f t="shared" si="404"/>
        <v>-4256853</v>
      </c>
      <c r="T289" s="97">
        <f t="shared" si="404"/>
        <v>0</v>
      </c>
      <c r="U289" s="97">
        <f t="shared" si="404"/>
        <v>1467581.7799999709</v>
      </c>
      <c r="V289" s="97">
        <f t="shared" si="402"/>
        <v>0</v>
      </c>
      <c r="W289" s="97">
        <f>SUM(W280:W288)</f>
        <v>0</v>
      </c>
      <c r="X289" s="97">
        <f t="shared" ref="X289:AD289" si="405">SUM(X280:X288)</f>
        <v>0</v>
      </c>
      <c r="Y289" s="97">
        <f>SUM(Y280:Y288)</f>
        <v>0</v>
      </c>
      <c r="Z289" s="97">
        <f t="shared" si="405"/>
        <v>0</v>
      </c>
      <c r="AA289" s="97">
        <f t="shared" si="405"/>
        <v>0</v>
      </c>
      <c r="AB289" s="97">
        <f t="shared" si="405"/>
        <v>0</v>
      </c>
      <c r="AC289" s="97">
        <f t="shared" si="405"/>
        <v>0</v>
      </c>
      <c r="AD289" s="97">
        <f t="shared" si="405"/>
        <v>0</v>
      </c>
      <c r="AE289" s="97">
        <f>SUM(AE280:AE288)</f>
        <v>0</v>
      </c>
      <c r="AF289" s="97">
        <f>SUM(AF280:AF288)</f>
        <v>0</v>
      </c>
      <c r="AG289" s="97">
        <f>SUM(AG280:AG288)</f>
        <v>0</v>
      </c>
      <c r="AH289" s="97">
        <f t="shared" ref="AH289:AL289" si="406">SUM(AH280:AH288)</f>
        <v>0</v>
      </c>
      <c r="AI289" s="97">
        <f t="shared" si="406"/>
        <v>0</v>
      </c>
      <c r="AJ289" s="97">
        <f t="shared" si="406"/>
        <v>0</v>
      </c>
      <c r="AK289" s="97">
        <f t="shared" si="406"/>
        <v>0</v>
      </c>
      <c r="AL289" s="97">
        <f t="shared" si="406"/>
        <v>0</v>
      </c>
      <c r="AM289" s="97">
        <f>SUM(AM280:AM288)</f>
        <v>0</v>
      </c>
      <c r="AN289" s="97">
        <f>SUM(AN280:AN288)</f>
        <v>0</v>
      </c>
      <c r="AO289" s="97">
        <f>SUM(AO280:AO288)</f>
        <v>0</v>
      </c>
      <c r="AP289" s="97">
        <f>SUM(AP280:AP288)</f>
        <v>0</v>
      </c>
      <c r="AQ289" s="97">
        <f>SUM(AQ280:AQ288)</f>
        <v>0</v>
      </c>
      <c r="AR289" s="97">
        <f t="shared" ref="AR289" si="407">SUM(AR280:AR288)</f>
        <v>0</v>
      </c>
      <c r="AS289" s="97">
        <f>SUM(AS280:AS288)</f>
        <v>0</v>
      </c>
      <c r="AT289" s="97">
        <f t="shared" ref="AT289:AV289" si="408">SUM(AT280:AT288)</f>
        <v>0</v>
      </c>
      <c r="AU289" s="97">
        <f t="shared" si="408"/>
        <v>0</v>
      </c>
      <c r="AV289" s="97">
        <f t="shared" si="408"/>
        <v>0</v>
      </c>
      <c r="AW289" s="97">
        <f>SUM(AW280:AW288)</f>
        <v>0</v>
      </c>
      <c r="AX289" s="97">
        <f t="shared" ref="AX289:BF289" si="409">SUM(AX280:AX288)</f>
        <v>0</v>
      </c>
      <c r="AY289" s="97">
        <f t="shared" si="409"/>
        <v>0</v>
      </c>
      <c r="AZ289" s="97">
        <f t="shared" si="409"/>
        <v>0</v>
      </c>
      <c r="BA289" s="97">
        <f t="shared" si="409"/>
        <v>0</v>
      </c>
      <c r="BB289" s="97">
        <f t="shared" si="409"/>
        <v>0</v>
      </c>
      <c r="BC289" s="97">
        <f t="shared" si="409"/>
        <v>0</v>
      </c>
      <c r="BD289" s="97">
        <f t="shared" si="409"/>
        <v>0</v>
      </c>
      <c r="BE289" s="97">
        <f t="shared" si="409"/>
        <v>0</v>
      </c>
      <c r="BF289" s="97">
        <f t="shared" si="409"/>
        <v>0</v>
      </c>
    </row>
    <row r="290" spans="1:58" ht="14.1" customHeight="1">
      <c r="A290" s="75">
        <f t="shared" si="394"/>
        <v>284</v>
      </c>
      <c r="B290" s="121"/>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5"/>
      <c r="AL290" s="115"/>
      <c r="AM290" s="115"/>
      <c r="AN290" s="115"/>
      <c r="AO290" s="115"/>
      <c r="AP290" s="115"/>
      <c r="AQ290" s="115"/>
      <c r="AR290" s="115"/>
      <c r="AS290" s="115"/>
      <c r="AT290" s="115"/>
      <c r="AU290" s="115"/>
      <c r="AV290" s="115"/>
      <c r="AW290" s="115"/>
      <c r="AX290" s="115"/>
      <c r="AY290" s="115"/>
      <c r="AZ290" s="115"/>
      <c r="BA290" s="115"/>
      <c r="BB290" s="115"/>
      <c r="BC290" s="115"/>
      <c r="BD290" s="115"/>
      <c r="BE290" s="115"/>
      <c r="BF290" s="115"/>
    </row>
    <row r="291" spans="1:58" ht="14.1" customHeight="1">
      <c r="A291" s="75">
        <f t="shared" si="394"/>
        <v>285</v>
      </c>
      <c r="B291" s="108" t="s">
        <v>438</v>
      </c>
      <c r="C291" s="94">
        <f t="shared" ref="C291:V291" si="410">SUM(C265:C266,C277,C289)</f>
        <v>-2939757.4900000286</v>
      </c>
      <c r="D291" s="94">
        <f t="shared" si="410"/>
        <v>0</v>
      </c>
      <c r="E291" s="94">
        <f t="shared" si="410"/>
        <v>0</v>
      </c>
      <c r="F291" s="94">
        <f t="shared" si="410"/>
        <v>0</v>
      </c>
      <c r="G291" s="94">
        <f t="shared" si="410"/>
        <v>0</v>
      </c>
      <c r="H291" s="94">
        <f t="shared" si="410"/>
        <v>0</v>
      </c>
      <c r="I291" s="94">
        <f t="shared" si="410"/>
        <v>643148</v>
      </c>
      <c r="J291" s="94">
        <f t="shared" si="410"/>
        <v>0</v>
      </c>
      <c r="K291" s="94">
        <f t="shared" si="410"/>
        <v>0</v>
      </c>
      <c r="L291" s="94">
        <f t="shared" si="410"/>
        <v>0</v>
      </c>
      <c r="M291" s="94">
        <f t="shared" si="410"/>
        <v>0</v>
      </c>
      <c r="N291" s="94">
        <f t="shared" si="410"/>
        <v>-573589.96</v>
      </c>
      <c r="O291" s="94">
        <f t="shared" si="410"/>
        <v>0</v>
      </c>
      <c r="P291" s="94">
        <f t="shared" si="410"/>
        <v>0</v>
      </c>
      <c r="Q291" s="94">
        <f t="shared" si="410"/>
        <v>0</v>
      </c>
      <c r="R291" s="94">
        <f t="shared" si="410"/>
        <v>0</v>
      </c>
      <c r="S291" s="94">
        <f t="shared" si="410"/>
        <v>-4256853</v>
      </c>
      <c r="T291" s="94">
        <f t="shared" si="410"/>
        <v>-271393.99</v>
      </c>
      <c r="U291" s="94">
        <f t="shared" si="410"/>
        <v>1518931.4599999713</v>
      </c>
      <c r="V291" s="94">
        <f t="shared" si="410"/>
        <v>0</v>
      </c>
      <c r="W291" s="94">
        <f>SUM(W265:W266,W277,W289)</f>
        <v>0</v>
      </c>
      <c r="X291" s="94">
        <f t="shared" ref="X291:AD291" si="411">SUM(X265:X266,X277,X289)</f>
        <v>0</v>
      </c>
      <c r="Y291" s="94">
        <f>SUM(Y265:Y266,Y277,Y289)</f>
        <v>0</v>
      </c>
      <c r="Z291" s="94">
        <f t="shared" si="411"/>
        <v>0</v>
      </c>
      <c r="AA291" s="94">
        <f t="shared" si="411"/>
        <v>0</v>
      </c>
      <c r="AB291" s="94">
        <f t="shared" si="411"/>
        <v>0</v>
      </c>
      <c r="AC291" s="94">
        <f t="shared" si="411"/>
        <v>0</v>
      </c>
      <c r="AD291" s="94">
        <f t="shared" si="411"/>
        <v>0</v>
      </c>
      <c r="AE291" s="94">
        <f>SUM(AE265:AE266,AE277,AE289)</f>
        <v>0</v>
      </c>
      <c r="AF291" s="94">
        <f>SUM(AF265:AF266,AF277,AF289)</f>
        <v>0</v>
      </c>
      <c r="AG291" s="94">
        <f>SUM(AG265:AG266,AG277,AG289)</f>
        <v>0</v>
      </c>
      <c r="AH291" s="94">
        <f t="shared" ref="AH291:AL291" si="412">SUM(AH265:AH266,AH277,AH289)</f>
        <v>0</v>
      </c>
      <c r="AI291" s="94">
        <f t="shared" si="412"/>
        <v>0</v>
      </c>
      <c r="AJ291" s="94">
        <f t="shared" si="412"/>
        <v>0</v>
      </c>
      <c r="AK291" s="94">
        <f t="shared" si="412"/>
        <v>0</v>
      </c>
      <c r="AL291" s="94">
        <f t="shared" si="412"/>
        <v>0</v>
      </c>
      <c r="AM291" s="94">
        <f>SUM(AM265:AM266,AM277,AM289)</f>
        <v>0</v>
      </c>
      <c r="AN291" s="94">
        <f>SUM(AN265:AN266,AN277,AN289)</f>
        <v>0</v>
      </c>
      <c r="AO291" s="94">
        <f>SUM(AO265:AO266,AO277,AO289)</f>
        <v>0</v>
      </c>
      <c r="AP291" s="94">
        <f>SUM(AP265:AP266,AP277,AP289)</f>
        <v>0</v>
      </c>
      <c r="AQ291" s="94">
        <f>SUM(AQ265:AQ266,AQ277,AQ289)</f>
        <v>0</v>
      </c>
      <c r="AR291" s="94">
        <f t="shared" ref="AR291" si="413">SUM(AR265:AR266,AR277,AR289)</f>
        <v>0</v>
      </c>
      <c r="AS291" s="94">
        <f>SUM(AS265:AS266,AS277,AS289)</f>
        <v>0</v>
      </c>
      <c r="AT291" s="94">
        <f t="shared" ref="AT291:AV291" si="414">SUM(AT265:AT266,AT277,AT289)</f>
        <v>0</v>
      </c>
      <c r="AU291" s="94">
        <f t="shared" si="414"/>
        <v>0</v>
      </c>
      <c r="AV291" s="94">
        <f t="shared" si="414"/>
        <v>0</v>
      </c>
      <c r="AW291" s="94">
        <f>SUM(AW265:AW266,AW277,AW289)</f>
        <v>0</v>
      </c>
      <c r="AX291" s="94">
        <f t="shared" ref="AX291:BF291" si="415">SUM(AX265:AX266,AX277,AX289)</f>
        <v>0</v>
      </c>
      <c r="AY291" s="94">
        <f t="shared" si="415"/>
        <v>0</v>
      </c>
      <c r="AZ291" s="94">
        <f t="shared" si="415"/>
        <v>0</v>
      </c>
      <c r="BA291" s="94">
        <f t="shared" si="415"/>
        <v>0</v>
      </c>
      <c r="BB291" s="94">
        <f t="shared" si="415"/>
        <v>0</v>
      </c>
      <c r="BC291" s="94">
        <f t="shared" si="415"/>
        <v>0</v>
      </c>
      <c r="BD291" s="94">
        <f t="shared" si="415"/>
        <v>0</v>
      </c>
      <c r="BE291" s="94">
        <f t="shared" si="415"/>
        <v>0</v>
      </c>
      <c r="BF291" s="94">
        <f t="shared" si="415"/>
        <v>0</v>
      </c>
    </row>
    <row r="292" spans="1:58" ht="14.1" customHeight="1">
      <c r="A292" s="75">
        <f t="shared" si="394"/>
        <v>286</v>
      </c>
      <c r="B292" s="121"/>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5"/>
      <c r="AL292" s="115"/>
      <c r="AM292" s="115"/>
      <c r="AN292" s="115"/>
      <c r="AO292" s="115"/>
      <c r="AP292" s="115"/>
      <c r="AQ292" s="115"/>
      <c r="AR292" s="115"/>
      <c r="AS292" s="115"/>
      <c r="AT292" s="115"/>
      <c r="AU292" s="115"/>
      <c r="AV292" s="115"/>
      <c r="AW292" s="115"/>
      <c r="AX292" s="115"/>
      <c r="AY292" s="115"/>
      <c r="AZ292" s="115"/>
      <c r="BA292" s="115"/>
      <c r="BB292" s="115"/>
      <c r="BC292" s="115"/>
      <c r="BD292" s="115"/>
      <c r="BE292" s="115"/>
      <c r="BF292" s="115"/>
    </row>
    <row r="293" spans="1:58" ht="14.1" customHeight="1">
      <c r="A293" s="75">
        <f t="shared" si="394"/>
        <v>287</v>
      </c>
      <c r="B293" s="108" t="s">
        <v>439</v>
      </c>
      <c r="C293" s="94">
        <f t="shared" ref="C293:V293" si="416">+C254+C255+C256+C262+C291</f>
        <v>-56520547.41717764</v>
      </c>
      <c r="D293" s="94">
        <f t="shared" si="416"/>
        <v>2449583</v>
      </c>
      <c r="E293" s="94">
        <f t="shared" si="416"/>
        <v>-515361.63697997667</v>
      </c>
      <c r="F293" s="94">
        <f t="shared" si="416"/>
        <v>145034</v>
      </c>
      <c r="G293" s="94">
        <f t="shared" si="416"/>
        <v>2712449.39</v>
      </c>
      <c r="H293" s="94">
        <f t="shared" si="416"/>
        <v>33001096.547184512</v>
      </c>
      <c r="I293" s="94">
        <f t="shared" si="416"/>
        <v>643148</v>
      </c>
      <c r="J293" s="94">
        <f t="shared" si="416"/>
        <v>-5276.19</v>
      </c>
      <c r="K293" s="94">
        <f t="shared" si="416"/>
        <v>-19703413</v>
      </c>
      <c r="L293" s="94">
        <f t="shared" si="416"/>
        <v>-49418888</v>
      </c>
      <c r="M293" s="94">
        <f t="shared" si="416"/>
        <v>-16771447</v>
      </c>
      <c r="N293" s="94">
        <f t="shared" si="416"/>
        <v>-573589.96</v>
      </c>
      <c r="O293" s="94">
        <f t="shared" si="416"/>
        <v>-628079.1</v>
      </c>
      <c r="P293" s="94">
        <f t="shared" si="416"/>
        <v>-373893.79</v>
      </c>
      <c r="Q293" s="94">
        <f t="shared" si="416"/>
        <v>-3776111.9253208702</v>
      </c>
      <c r="R293" s="94">
        <f t="shared" si="416"/>
        <v>-1012931.5356612798</v>
      </c>
      <c r="S293" s="94">
        <f t="shared" si="416"/>
        <v>-4256853</v>
      </c>
      <c r="T293" s="94">
        <f t="shared" si="416"/>
        <v>-271393.99</v>
      </c>
      <c r="U293" s="94">
        <f t="shared" si="416"/>
        <v>1835380.7735999713</v>
      </c>
      <c r="V293" s="94">
        <f t="shared" si="416"/>
        <v>0</v>
      </c>
      <c r="W293" s="94">
        <f>+W254+W255+W256+W262+W291</f>
        <v>0</v>
      </c>
      <c r="X293" s="122">
        <f t="shared" ref="X293:AD293" si="417">+X254+X255+X256+X262+X291</f>
        <v>0</v>
      </c>
      <c r="Y293" s="94">
        <f>+Y254+Y255+Y256+Y262+Y291</f>
        <v>0</v>
      </c>
      <c r="Z293" s="122">
        <f t="shared" si="417"/>
        <v>0</v>
      </c>
      <c r="AA293" s="122">
        <f t="shared" si="417"/>
        <v>0</v>
      </c>
      <c r="AB293" s="122">
        <f t="shared" si="417"/>
        <v>0</v>
      </c>
      <c r="AC293" s="94">
        <f t="shared" si="417"/>
        <v>0</v>
      </c>
      <c r="AD293" s="94">
        <f t="shared" si="417"/>
        <v>0</v>
      </c>
      <c r="AE293" s="94">
        <f>+AE254+AE255+AE256+AE262+AE291</f>
        <v>0</v>
      </c>
      <c r="AF293" s="94">
        <f>+AF254+AF255+AF256+AF262+AF291</f>
        <v>0</v>
      </c>
      <c r="AG293" s="94">
        <f>+AG254+AG255+AG256+AG262+AG291</f>
        <v>0</v>
      </c>
      <c r="AH293" s="94">
        <f t="shared" ref="AH293:AL293" si="418">+AH254+AH255+AH256+AH262+AH291</f>
        <v>0</v>
      </c>
      <c r="AI293" s="94">
        <f t="shared" si="418"/>
        <v>0</v>
      </c>
      <c r="AJ293" s="94">
        <f t="shared" si="418"/>
        <v>0</v>
      </c>
      <c r="AK293" s="94">
        <f t="shared" si="418"/>
        <v>0</v>
      </c>
      <c r="AL293" s="94">
        <f t="shared" si="418"/>
        <v>0</v>
      </c>
      <c r="AM293" s="94">
        <f>+AM254+AM255+AM256+AM262+AM291</f>
        <v>0</v>
      </c>
      <c r="AN293" s="94">
        <f>+AN254+AN255+AN256+AN262+AN291</f>
        <v>0</v>
      </c>
      <c r="AO293" s="94">
        <f>+AO254+AO255+AO256+AO262+AO291</f>
        <v>0</v>
      </c>
      <c r="AP293" s="94">
        <f>+AP254+AP255+AP256+AP262+AP291</f>
        <v>0</v>
      </c>
      <c r="AQ293" s="94">
        <f>+AQ254+AQ255+AQ256+AQ262+AQ291</f>
        <v>0</v>
      </c>
      <c r="AR293" s="94">
        <f t="shared" ref="AR293" si="419">+AR254+AR255+AR256+AR262+AR291</f>
        <v>0</v>
      </c>
      <c r="AS293" s="94">
        <f>+AS254+AS255+AS256+AS262+AS291</f>
        <v>0</v>
      </c>
      <c r="AT293" s="94">
        <f t="shared" ref="AT293:AV293" si="420">+AT254+AT255+AT256+AT262+AT291</f>
        <v>0</v>
      </c>
      <c r="AU293" s="94">
        <f t="shared" si="420"/>
        <v>0</v>
      </c>
      <c r="AV293" s="94">
        <f t="shared" si="420"/>
        <v>0</v>
      </c>
      <c r="AW293" s="94">
        <f>+AW254+AW255+AW256+AW262+AW291</f>
        <v>0</v>
      </c>
      <c r="AX293" s="94">
        <f t="shared" ref="AX293:BF293" si="421">+AX254+AX255+AX256+AX262+AX291</f>
        <v>0</v>
      </c>
      <c r="AY293" s="94">
        <f t="shared" si="421"/>
        <v>0</v>
      </c>
      <c r="AZ293" s="94">
        <f t="shared" si="421"/>
        <v>0</v>
      </c>
      <c r="BA293" s="94">
        <f t="shared" si="421"/>
        <v>0</v>
      </c>
      <c r="BB293" s="94">
        <f t="shared" si="421"/>
        <v>0</v>
      </c>
      <c r="BC293" s="94">
        <f t="shared" si="421"/>
        <v>0</v>
      </c>
      <c r="BD293" s="94">
        <f t="shared" si="421"/>
        <v>0</v>
      </c>
      <c r="BE293" s="94">
        <f t="shared" si="421"/>
        <v>0</v>
      </c>
      <c r="BF293" s="94">
        <f t="shared" si="421"/>
        <v>0</v>
      </c>
    </row>
    <row r="294" spans="1:58" ht="14.1" customHeight="1">
      <c r="A294" s="75">
        <f t="shared" si="394"/>
        <v>288</v>
      </c>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87"/>
      <c r="AH294" s="87"/>
      <c r="AI294" s="87"/>
      <c r="AJ294" s="87"/>
      <c r="AK294" s="87"/>
      <c r="AL294" s="87"/>
      <c r="AM294" s="87"/>
      <c r="AN294" s="87"/>
      <c r="AO294" s="87"/>
      <c r="AP294" s="87"/>
      <c r="AQ294" s="87"/>
      <c r="AR294" s="87"/>
      <c r="AS294" s="87"/>
      <c r="AT294" s="87"/>
      <c r="AU294" s="87"/>
      <c r="AV294" s="87"/>
      <c r="AW294" s="87"/>
      <c r="AX294" s="87"/>
      <c r="AY294" s="87"/>
      <c r="AZ294" s="87"/>
      <c r="BA294" s="87"/>
      <c r="BB294" s="87"/>
      <c r="BC294" s="87"/>
      <c r="BD294" s="87"/>
      <c r="BE294" s="87"/>
      <c r="BF294" s="87"/>
    </row>
    <row r="295" spans="1:58" ht="14.1" customHeight="1">
      <c r="A295" s="75">
        <f t="shared" si="394"/>
        <v>289</v>
      </c>
      <c r="B295" s="123" t="s">
        <v>440</v>
      </c>
      <c r="C295" s="123"/>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87"/>
      <c r="AH295" s="87"/>
      <c r="AI295" s="87"/>
      <c r="AJ295" s="87"/>
      <c r="AK295" s="87"/>
      <c r="AL295" s="87"/>
      <c r="AM295" s="87"/>
      <c r="AN295" s="87"/>
      <c r="AO295" s="87"/>
      <c r="AP295" s="87"/>
      <c r="AQ295" s="87"/>
      <c r="AR295" s="87"/>
      <c r="AS295" s="87"/>
      <c r="AT295" s="87"/>
      <c r="AU295" s="87"/>
      <c r="AV295" s="87"/>
      <c r="AW295" s="87"/>
      <c r="AX295" s="87"/>
      <c r="AY295" s="87"/>
      <c r="AZ295" s="87"/>
      <c r="BA295" s="87"/>
      <c r="BB295" s="87"/>
      <c r="BC295" s="87"/>
      <c r="BD295" s="87"/>
      <c r="BE295" s="87"/>
      <c r="BF295" s="87"/>
    </row>
    <row r="296" spans="1:58" ht="14.1" customHeight="1">
      <c r="A296" s="75">
        <f t="shared" si="394"/>
        <v>290</v>
      </c>
      <c r="B296" s="81" t="s">
        <v>441</v>
      </c>
      <c r="C296" s="81"/>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c r="AE296" s="87"/>
      <c r="AF296" s="87"/>
      <c r="AG296" s="87"/>
      <c r="AH296" s="87"/>
      <c r="AI296" s="87"/>
      <c r="AJ296" s="87"/>
      <c r="AK296" s="87"/>
      <c r="AL296" s="87"/>
      <c r="AM296" s="87"/>
      <c r="AN296" s="87"/>
      <c r="AO296" s="87"/>
      <c r="AP296" s="87"/>
      <c r="AQ296" s="87"/>
      <c r="AR296" s="87"/>
      <c r="AS296" s="87"/>
      <c r="AT296" s="87"/>
      <c r="AU296" s="87"/>
      <c r="AV296" s="87"/>
      <c r="AW296" s="87"/>
      <c r="AX296" s="87"/>
      <c r="AY296" s="87"/>
      <c r="AZ296" s="87"/>
      <c r="BA296" s="87"/>
      <c r="BB296" s="87"/>
      <c r="BC296" s="87"/>
      <c r="BD296" s="87"/>
      <c r="BE296" s="87"/>
      <c r="BF296" s="87"/>
    </row>
    <row r="297" spans="1:58" ht="14.1" customHeight="1">
      <c r="A297" s="75">
        <f t="shared" si="394"/>
        <v>291</v>
      </c>
      <c r="B297" s="76" t="s">
        <v>442</v>
      </c>
      <c r="C297" s="80">
        <f t="shared" ref="C297:C309" si="422">SUM(D297:BF297)</f>
        <v>230517.02000000016</v>
      </c>
      <c r="D297" s="87">
        <v>0</v>
      </c>
      <c r="E297" s="87">
        <v>0</v>
      </c>
      <c r="F297" s="87">
        <v>0</v>
      </c>
      <c r="G297" s="87">
        <v>0</v>
      </c>
      <c r="H297" s="87">
        <v>0</v>
      </c>
      <c r="I297" s="87">
        <v>0</v>
      </c>
      <c r="J297" s="87">
        <v>0</v>
      </c>
      <c r="K297" s="87">
        <v>0</v>
      </c>
      <c r="L297" s="87">
        <v>0</v>
      </c>
      <c r="M297" s="87">
        <v>0</v>
      </c>
      <c r="N297" s="87">
        <v>0</v>
      </c>
      <c r="O297" s="87">
        <v>0</v>
      </c>
      <c r="P297" s="87">
        <v>0</v>
      </c>
      <c r="Q297" s="87">
        <v>0</v>
      </c>
      <c r="R297" s="87">
        <v>0</v>
      </c>
      <c r="S297" s="87">
        <v>0</v>
      </c>
      <c r="T297" s="87">
        <v>0</v>
      </c>
      <c r="U297" s="87">
        <v>61128.410000000149</v>
      </c>
      <c r="V297" s="87">
        <v>0</v>
      </c>
      <c r="W297" s="87">
        <v>0</v>
      </c>
      <c r="X297" s="87">
        <v>0</v>
      </c>
      <c r="Y297" s="87">
        <v>0</v>
      </c>
      <c r="Z297" s="87">
        <v>0</v>
      </c>
      <c r="AA297" s="87">
        <v>0</v>
      </c>
      <c r="AB297" s="87">
        <v>2923.0099999999993</v>
      </c>
      <c r="AC297" s="87">
        <v>0</v>
      </c>
      <c r="AD297" s="87">
        <v>0</v>
      </c>
      <c r="AE297" s="87">
        <v>0</v>
      </c>
      <c r="AF297" s="87">
        <v>0</v>
      </c>
      <c r="AG297" s="87">
        <v>166465.60000000001</v>
      </c>
      <c r="AH297" s="87">
        <v>0</v>
      </c>
      <c r="AI297" s="87">
        <v>0</v>
      </c>
      <c r="AJ297" s="87">
        <v>0</v>
      </c>
      <c r="AK297" s="87">
        <v>0</v>
      </c>
      <c r="AL297" s="87">
        <v>0</v>
      </c>
      <c r="AM297" s="87">
        <v>0</v>
      </c>
      <c r="AN297" s="87">
        <v>0</v>
      </c>
      <c r="AO297" s="87">
        <v>0</v>
      </c>
      <c r="AP297" s="87">
        <v>0</v>
      </c>
      <c r="AQ297" s="87">
        <v>0</v>
      </c>
      <c r="AR297" s="87">
        <v>0</v>
      </c>
      <c r="AS297" s="87">
        <v>0</v>
      </c>
      <c r="AT297" s="87">
        <v>0</v>
      </c>
      <c r="AU297" s="87">
        <v>0</v>
      </c>
      <c r="AV297" s="87">
        <v>0</v>
      </c>
      <c r="AW297" s="87">
        <v>0</v>
      </c>
      <c r="AX297" s="87">
        <v>0</v>
      </c>
      <c r="AY297" s="87">
        <v>0</v>
      </c>
      <c r="AZ297" s="87">
        <v>0</v>
      </c>
      <c r="BA297" s="87">
        <v>0</v>
      </c>
      <c r="BB297" s="87">
        <v>0</v>
      </c>
      <c r="BC297" s="87">
        <v>0</v>
      </c>
      <c r="BD297" s="87">
        <v>0</v>
      </c>
      <c r="BE297" s="87">
        <v>0</v>
      </c>
      <c r="BF297" s="87">
        <v>0</v>
      </c>
    </row>
    <row r="298" spans="1:58" ht="14.1" customHeight="1">
      <c r="A298" s="75">
        <f t="shared" si="394"/>
        <v>292</v>
      </c>
      <c r="B298" s="76" t="s">
        <v>444</v>
      </c>
      <c r="C298" s="80">
        <f t="shared" si="422"/>
        <v>3225138.010000011</v>
      </c>
      <c r="D298" s="87">
        <v>0</v>
      </c>
      <c r="E298" s="87">
        <v>0</v>
      </c>
      <c r="F298" s="87">
        <v>0</v>
      </c>
      <c r="G298" s="87">
        <v>0</v>
      </c>
      <c r="H298" s="87">
        <v>0</v>
      </c>
      <c r="I298" s="87">
        <v>0</v>
      </c>
      <c r="J298" s="87">
        <v>-7671.09</v>
      </c>
      <c r="K298" s="87">
        <v>0</v>
      </c>
      <c r="L298" s="87">
        <v>0</v>
      </c>
      <c r="M298" s="87">
        <v>0</v>
      </c>
      <c r="N298" s="87">
        <v>0</v>
      </c>
      <c r="O298" s="87">
        <v>0</v>
      </c>
      <c r="P298" s="87">
        <v>0</v>
      </c>
      <c r="Q298" s="87">
        <v>0</v>
      </c>
      <c r="R298" s="87">
        <v>0</v>
      </c>
      <c r="S298" s="87">
        <v>0</v>
      </c>
      <c r="T298" s="87">
        <v>0</v>
      </c>
      <c r="U298" s="87">
        <v>1679181.1600000113</v>
      </c>
      <c r="V298" s="87">
        <v>0</v>
      </c>
      <c r="W298" s="87">
        <v>0</v>
      </c>
      <c r="X298" s="87">
        <v>0</v>
      </c>
      <c r="Y298" s="87">
        <v>0</v>
      </c>
      <c r="Z298" s="87">
        <v>0</v>
      </c>
      <c r="AA298" s="87">
        <v>0</v>
      </c>
      <c r="AB298" s="87">
        <v>0</v>
      </c>
      <c r="AC298" s="87">
        <v>0</v>
      </c>
      <c r="AD298" s="87">
        <v>0</v>
      </c>
      <c r="AE298" s="87">
        <v>0</v>
      </c>
      <c r="AF298" s="87">
        <v>0</v>
      </c>
      <c r="AG298" s="87">
        <v>341430.29000000004</v>
      </c>
      <c r="AH298" s="87">
        <v>0</v>
      </c>
      <c r="AI298" s="87">
        <v>0</v>
      </c>
      <c r="AJ298" s="87">
        <v>0</v>
      </c>
      <c r="AK298" s="87">
        <v>0</v>
      </c>
      <c r="AL298" s="87">
        <v>0</v>
      </c>
      <c r="AM298" s="87">
        <v>0</v>
      </c>
      <c r="AN298" s="87">
        <v>0</v>
      </c>
      <c r="AO298" s="87">
        <v>0</v>
      </c>
      <c r="AP298" s="87">
        <v>0</v>
      </c>
      <c r="AQ298" s="87">
        <v>1212197.6499999999</v>
      </c>
      <c r="AR298" s="87">
        <v>0</v>
      </c>
      <c r="AS298" s="87">
        <v>0</v>
      </c>
      <c r="AT298" s="87">
        <v>0</v>
      </c>
      <c r="AU298" s="87">
        <v>0</v>
      </c>
      <c r="AV298" s="87">
        <v>0</v>
      </c>
      <c r="AW298" s="87">
        <v>0</v>
      </c>
      <c r="AX298" s="87">
        <v>0</v>
      </c>
      <c r="AY298" s="87">
        <v>0</v>
      </c>
      <c r="AZ298" s="87">
        <v>0</v>
      </c>
      <c r="BA298" s="87">
        <v>0</v>
      </c>
      <c r="BB298" s="87">
        <v>0</v>
      </c>
      <c r="BC298" s="87">
        <v>0</v>
      </c>
      <c r="BD298" s="87">
        <v>0</v>
      </c>
      <c r="BE298" s="87">
        <v>0</v>
      </c>
      <c r="BF298" s="87">
        <v>0</v>
      </c>
    </row>
    <row r="299" spans="1:58" ht="14.1" customHeight="1">
      <c r="A299" s="75">
        <f t="shared" si="394"/>
        <v>293</v>
      </c>
      <c r="B299" s="76" t="s">
        <v>446</v>
      </c>
      <c r="C299" s="80">
        <f t="shared" si="422"/>
        <v>121623.54000000004</v>
      </c>
      <c r="D299" s="87">
        <v>0</v>
      </c>
      <c r="E299" s="87">
        <v>0</v>
      </c>
      <c r="F299" s="87">
        <v>0</v>
      </c>
      <c r="G299" s="87">
        <v>0</v>
      </c>
      <c r="H299" s="87">
        <v>0</v>
      </c>
      <c r="I299" s="87">
        <v>0</v>
      </c>
      <c r="J299" s="87">
        <v>0</v>
      </c>
      <c r="K299" s="87">
        <v>0</v>
      </c>
      <c r="L299" s="87">
        <v>0</v>
      </c>
      <c r="M299" s="87">
        <v>0</v>
      </c>
      <c r="N299" s="87">
        <v>0</v>
      </c>
      <c r="O299" s="87">
        <v>0</v>
      </c>
      <c r="P299" s="87">
        <v>0</v>
      </c>
      <c r="Q299" s="87">
        <v>0</v>
      </c>
      <c r="R299" s="87">
        <v>0</v>
      </c>
      <c r="S299" s="87">
        <v>0</v>
      </c>
      <c r="T299" s="87">
        <v>0</v>
      </c>
      <c r="U299" s="87">
        <v>121623.54000000004</v>
      </c>
      <c r="V299" s="87">
        <v>0</v>
      </c>
      <c r="W299" s="87">
        <v>0</v>
      </c>
      <c r="X299" s="87">
        <v>0</v>
      </c>
      <c r="Y299" s="87">
        <v>0</v>
      </c>
      <c r="Z299" s="87">
        <v>0</v>
      </c>
      <c r="AA299" s="87">
        <v>0</v>
      </c>
      <c r="AB299" s="87">
        <v>0</v>
      </c>
      <c r="AC299" s="87">
        <v>0</v>
      </c>
      <c r="AD299" s="87">
        <v>0</v>
      </c>
      <c r="AE299" s="87">
        <v>0</v>
      </c>
      <c r="AF299" s="87">
        <v>0</v>
      </c>
      <c r="AG299" s="87">
        <v>0</v>
      </c>
      <c r="AH299" s="87">
        <v>0</v>
      </c>
      <c r="AI299" s="87">
        <v>0</v>
      </c>
      <c r="AJ299" s="87">
        <v>0</v>
      </c>
      <c r="AK299" s="87">
        <v>0</v>
      </c>
      <c r="AL299" s="87">
        <v>0</v>
      </c>
      <c r="AM299" s="87">
        <v>0</v>
      </c>
      <c r="AN299" s="87">
        <v>0</v>
      </c>
      <c r="AO299" s="87">
        <v>0</v>
      </c>
      <c r="AP299" s="87">
        <v>0</v>
      </c>
      <c r="AQ299" s="87">
        <v>0</v>
      </c>
      <c r="AR299" s="87">
        <v>0</v>
      </c>
      <c r="AS299" s="87">
        <v>0</v>
      </c>
      <c r="AT299" s="87">
        <v>0</v>
      </c>
      <c r="AU299" s="87">
        <v>0</v>
      </c>
      <c r="AV299" s="87">
        <v>0</v>
      </c>
      <c r="AW299" s="87">
        <v>0</v>
      </c>
      <c r="AX299" s="87">
        <v>0</v>
      </c>
      <c r="AY299" s="87">
        <v>0</v>
      </c>
      <c r="AZ299" s="87">
        <v>0</v>
      </c>
      <c r="BA299" s="87">
        <v>0</v>
      </c>
      <c r="BB299" s="87">
        <v>0</v>
      </c>
      <c r="BC299" s="87">
        <v>0</v>
      </c>
      <c r="BD299" s="87">
        <v>0</v>
      </c>
      <c r="BE299" s="87">
        <v>0</v>
      </c>
      <c r="BF299" s="87">
        <v>0</v>
      </c>
    </row>
    <row r="300" spans="1:58" ht="14.1" customHeight="1">
      <c r="A300" s="75">
        <f t="shared" si="394"/>
        <v>294</v>
      </c>
      <c r="B300" s="76" t="s">
        <v>448</v>
      </c>
      <c r="C300" s="80">
        <f t="shared" si="422"/>
        <v>122617.91000000015</v>
      </c>
      <c r="D300" s="87">
        <v>0</v>
      </c>
      <c r="E300" s="87">
        <v>0</v>
      </c>
      <c r="F300" s="87">
        <v>0</v>
      </c>
      <c r="G300" s="87">
        <v>0</v>
      </c>
      <c r="H300" s="87">
        <v>0</v>
      </c>
      <c r="I300" s="87">
        <v>0</v>
      </c>
      <c r="J300" s="87">
        <v>0</v>
      </c>
      <c r="K300" s="87">
        <v>0</v>
      </c>
      <c r="L300" s="87">
        <v>0</v>
      </c>
      <c r="M300" s="87">
        <v>0</v>
      </c>
      <c r="N300" s="87">
        <v>0</v>
      </c>
      <c r="O300" s="87">
        <v>0</v>
      </c>
      <c r="P300" s="87">
        <v>0</v>
      </c>
      <c r="Q300" s="87">
        <v>0</v>
      </c>
      <c r="R300" s="87">
        <v>0</v>
      </c>
      <c r="S300" s="87">
        <v>0</v>
      </c>
      <c r="T300" s="87">
        <v>0</v>
      </c>
      <c r="U300" s="87">
        <v>55937.910000000149</v>
      </c>
      <c r="V300" s="87">
        <v>66680</v>
      </c>
      <c r="W300" s="87">
        <v>0</v>
      </c>
      <c r="X300" s="87">
        <v>0</v>
      </c>
      <c r="Y300" s="87">
        <v>0</v>
      </c>
      <c r="Z300" s="87">
        <v>0</v>
      </c>
      <c r="AA300" s="87">
        <v>0</v>
      </c>
      <c r="AB300" s="87">
        <v>0</v>
      </c>
      <c r="AC300" s="87">
        <v>0</v>
      </c>
      <c r="AD300" s="87">
        <v>0</v>
      </c>
      <c r="AE300" s="87">
        <v>0</v>
      </c>
      <c r="AF300" s="87">
        <v>0</v>
      </c>
      <c r="AG300" s="87">
        <v>0</v>
      </c>
      <c r="AH300" s="87">
        <v>0</v>
      </c>
      <c r="AI300" s="87">
        <v>0</v>
      </c>
      <c r="AJ300" s="87">
        <v>0</v>
      </c>
      <c r="AK300" s="87">
        <v>0</v>
      </c>
      <c r="AL300" s="87">
        <v>0</v>
      </c>
      <c r="AM300" s="87">
        <v>0</v>
      </c>
      <c r="AN300" s="87">
        <v>0</v>
      </c>
      <c r="AO300" s="87">
        <v>0</v>
      </c>
      <c r="AP300" s="87">
        <v>0</v>
      </c>
      <c r="AQ300" s="87">
        <v>0</v>
      </c>
      <c r="AR300" s="87">
        <v>0</v>
      </c>
      <c r="AS300" s="87">
        <v>0</v>
      </c>
      <c r="AT300" s="87">
        <v>0</v>
      </c>
      <c r="AU300" s="87">
        <v>0</v>
      </c>
      <c r="AV300" s="87">
        <v>0</v>
      </c>
      <c r="AW300" s="87">
        <v>0</v>
      </c>
      <c r="AX300" s="87">
        <v>0</v>
      </c>
      <c r="AY300" s="87">
        <v>0</v>
      </c>
      <c r="AZ300" s="87">
        <v>0</v>
      </c>
      <c r="BA300" s="87">
        <v>0</v>
      </c>
      <c r="BB300" s="87">
        <v>0</v>
      </c>
      <c r="BC300" s="87">
        <v>0</v>
      </c>
      <c r="BD300" s="87">
        <v>0</v>
      </c>
      <c r="BE300" s="87">
        <v>0</v>
      </c>
      <c r="BF300" s="87">
        <v>0</v>
      </c>
    </row>
    <row r="301" spans="1:58" s="89" customFormat="1" ht="14.1" customHeight="1">
      <c r="A301" s="75">
        <f t="shared" si="394"/>
        <v>295</v>
      </c>
      <c r="B301" s="76" t="s">
        <v>450</v>
      </c>
      <c r="C301" s="80">
        <f t="shared" si="422"/>
        <v>-42632032.020000003</v>
      </c>
      <c r="D301" s="87">
        <v>0</v>
      </c>
      <c r="E301" s="87">
        <v>0</v>
      </c>
      <c r="F301" s="87">
        <v>0</v>
      </c>
      <c r="G301" s="87">
        <v>0</v>
      </c>
      <c r="H301" s="87">
        <v>0</v>
      </c>
      <c r="I301" s="87">
        <v>0</v>
      </c>
      <c r="J301" s="87">
        <v>0</v>
      </c>
      <c r="K301" s="87">
        <v>0</v>
      </c>
      <c r="L301" s="87">
        <f>-49418888+6786856</f>
        <v>-42632032</v>
      </c>
      <c r="M301" s="87">
        <v>0</v>
      </c>
      <c r="N301" s="87">
        <v>0</v>
      </c>
      <c r="O301" s="87">
        <v>0</v>
      </c>
      <c r="P301" s="87">
        <v>0</v>
      </c>
      <c r="Q301" s="87">
        <v>0</v>
      </c>
      <c r="R301" s="87">
        <v>0</v>
      </c>
      <c r="S301" s="87">
        <v>0</v>
      </c>
      <c r="T301" s="87">
        <v>0</v>
      </c>
      <c r="U301" s="87">
        <v>-2.0000000484287739E-2</v>
      </c>
      <c r="V301" s="87">
        <v>0</v>
      </c>
      <c r="W301" s="87">
        <v>0</v>
      </c>
      <c r="X301" s="87">
        <v>0</v>
      </c>
      <c r="Y301" s="87">
        <v>0</v>
      </c>
      <c r="Z301" s="87">
        <v>0</v>
      </c>
      <c r="AA301" s="87">
        <v>0</v>
      </c>
      <c r="AB301" s="87">
        <v>0</v>
      </c>
      <c r="AC301" s="87">
        <v>0</v>
      </c>
      <c r="AD301" s="87">
        <v>0</v>
      </c>
      <c r="AE301" s="87">
        <v>0</v>
      </c>
      <c r="AF301" s="87">
        <v>0</v>
      </c>
      <c r="AG301" s="87">
        <v>0</v>
      </c>
      <c r="AH301" s="87">
        <v>0</v>
      </c>
      <c r="AI301" s="87">
        <v>0</v>
      </c>
      <c r="AJ301" s="87">
        <v>0</v>
      </c>
      <c r="AK301" s="87">
        <v>0</v>
      </c>
      <c r="AL301" s="87">
        <v>0</v>
      </c>
      <c r="AM301" s="87">
        <v>0</v>
      </c>
      <c r="AN301" s="87">
        <v>0</v>
      </c>
      <c r="AO301" s="87">
        <v>0</v>
      </c>
      <c r="AP301" s="87">
        <v>0</v>
      </c>
      <c r="AQ301" s="87">
        <v>0</v>
      </c>
      <c r="AR301" s="87">
        <v>0</v>
      </c>
      <c r="AS301" s="87">
        <v>0</v>
      </c>
      <c r="AT301" s="87">
        <v>0</v>
      </c>
      <c r="AU301" s="87">
        <v>0</v>
      </c>
      <c r="AV301" s="87">
        <v>0</v>
      </c>
      <c r="AW301" s="87">
        <v>0</v>
      </c>
      <c r="AX301" s="87">
        <v>0</v>
      </c>
      <c r="AY301" s="87">
        <v>0</v>
      </c>
      <c r="AZ301" s="87">
        <v>0</v>
      </c>
      <c r="BA301" s="87">
        <v>0</v>
      </c>
      <c r="BB301" s="87">
        <v>0</v>
      </c>
      <c r="BC301" s="87">
        <v>0</v>
      </c>
      <c r="BD301" s="87">
        <v>0</v>
      </c>
      <c r="BE301" s="87">
        <v>0</v>
      </c>
      <c r="BF301" s="87">
        <v>0</v>
      </c>
    </row>
    <row r="302" spans="1:58" ht="14.1" customHeight="1">
      <c r="A302" s="75">
        <f t="shared" si="394"/>
        <v>296</v>
      </c>
      <c r="B302" s="76" t="s">
        <v>451</v>
      </c>
      <c r="C302" s="80">
        <f t="shared" si="422"/>
        <v>-2006996.53</v>
      </c>
      <c r="D302" s="87">
        <v>0</v>
      </c>
      <c r="E302" s="87">
        <v>0</v>
      </c>
      <c r="F302" s="87">
        <v>0</v>
      </c>
      <c r="G302" s="87">
        <v>0</v>
      </c>
      <c r="H302" s="87">
        <v>0</v>
      </c>
      <c r="I302" s="87">
        <v>0</v>
      </c>
      <c r="J302" s="87">
        <v>0</v>
      </c>
      <c r="K302" s="87">
        <v>0</v>
      </c>
      <c r="L302" s="87">
        <v>0</v>
      </c>
      <c r="M302" s="87">
        <v>0</v>
      </c>
      <c r="N302" s="87">
        <v>0</v>
      </c>
      <c r="O302" s="87">
        <v>0</v>
      </c>
      <c r="P302" s="87">
        <v>0</v>
      </c>
      <c r="Q302" s="87">
        <v>0</v>
      </c>
      <c r="R302" s="87">
        <v>0</v>
      </c>
      <c r="S302" s="87">
        <v>0</v>
      </c>
      <c r="T302" s="87">
        <v>0</v>
      </c>
      <c r="U302" s="87">
        <v>73537.169999999925</v>
      </c>
      <c r="V302" s="87">
        <v>-2274682</v>
      </c>
      <c r="W302" s="87">
        <v>0</v>
      </c>
      <c r="X302" s="87">
        <v>0</v>
      </c>
      <c r="Y302" s="87">
        <v>0</v>
      </c>
      <c r="Z302" s="87">
        <v>0</v>
      </c>
      <c r="AA302" s="87">
        <v>0</v>
      </c>
      <c r="AB302" s="87">
        <v>0</v>
      </c>
      <c r="AC302" s="87">
        <v>0</v>
      </c>
      <c r="AD302" s="87">
        <v>0</v>
      </c>
      <c r="AE302" s="87">
        <v>0</v>
      </c>
      <c r="AF302" s="87">
        <v>0</v>
      </c>
      <c r="AG302" s="87">
        <v>194148.3</v>
      </c>
      <c r="AH302" s="87">
        <v>0</v>
      </c>
      <c r="AI302" s="87">
        <v>0</v>
      </c>
      <c r="AJ302" s="87">
        <v>0</v>
      </c>
      <c r="AK302" s="87">
        <v>0</v>
      </c>
      <c r="AL302" s="87">
        <v>0</v>
      </c>
      <c r="AM302" s="87">
        <v>0</v>
      </c>
      <c r="AN302" s="87">
        <v>0</v>
      </c>
      <c r="AO302" s="87">
        <v>0</v>
      </c>
      <c r="AP302" s="87">
        <v>0</v>
      </c>
      <c r="AQ302" s="87">
        <v>0</v>
      </c>
      <c r="AR302" s="87">
        <v>0</v>
      </c>
      <c r="AS302" s="87">
        <v>0</v>
      </c>
      <c r="AT302" s="87">
        <v>0</v>
      </c>
      <c r="AU302" s="87">
        <v>0</v>
      </c>
      <c r="AV302" s="87">
        <v>0</v>
      </c>
      <c r="AW302" s="87">
        <v>0</v>
      </c>
      <c r="AX302" s="87">
        <v>0</v>
      </c>
      <c r="AY302" s="87">
        <v>0</v>
      </c>
      <c r="AZ302" s="87">
        <v>0</v>
      </c>
      <c r="BA302" s="87">
        <v>0</v>
      </c>
      <c r="BB302" s="87">
        <v>0</v>
      </c>
      <c r="BC302" s="87">
        <v>0</v>
      </c>
      <c r="BD302" s="87">
        <v>0</v>
      </c>
      <c r="BE302" s="87">
        <v>0</v>
      </c>
      <c r="BF302" s="87">
        <v>0</v>
      </c>
    </row>
    <row r="303" spans="1:58" ht="14.1" customHeight="1">
      <c r="A303" s="75">
        <f t="shared" si="394"/>
        <v>297</v>
      </c>
      <c r="B303" s="76" t="s">
        <v>454</v>
      </c>
      <c r="C303" s="80">
        <f t="shared" si="422"/>
        <v>0</v>
      </c>
      <c r="D303" s="87">
        <v>0</v>
      </c>
      <c r="E303" s="87">
        <v>0</v>
      </c>
      <c r="F303" s="87">
        <v>0</v>
      </c>
      <c r="G303" s="87">
        <v>0</v>
      </c>
      <c r="H303" s="87">
        <v>0</v>
      </c>
      <c r="I303" s="87">
        <v>0</v>
      </c>
      <c r="J303" s="87">
        <v>0</v>
      </c>
      <c r="K303" s="87">
        <v>0</v>
      </c>
      <c r="L303" s="87">
        <v>0</v>
      </c>
      <c r="M303" s="87">
        <v>0</v>
      </c>
      <c r="N303" s="87">
        <v>0</v>
      </c>
      <c r="O303" s="87">
        <v>0</v>
      </c>
      <c r="P303" s="87">
        <v>0</v>
      </c>
      <c r="Q303" s="87">
        <v>0</v>
      </c>
      <c r="R303" s="87">
        <v>0</v>
      </c>
      <c r="S303" s="87">
        <v>0</v>
      </c>
      <c r="T303" s="87">
        <v>0</v>
      </c>
      <c r="U303" s="87">
        <v>0</v>
      </c>
      <c r="V303" s="87">
        <v>0</v>
      </c>
      <c r="W303" s="87">
        <v>0</v>
      </c>
      <c r="X303" s="87">
        <v>0</v>
      </c>
      <c r="Y303" s="87">
        <v>0</v>
      </c>
      <c r="Z303" s="87">
        <v>0</v>
      </c>
      <c r="AA303" s="87">
        <v>0</v>
      </c>
      <c r="AB303" s="87">
        <v>0</v>
      </c>
      <c r="AC303" s="87">
        <v>0</v>
      </c>
      <c r="AD303" s="87">
        <v>0</v>
      </c>
      <c r="AE303" s="87">
        <v>0</v>
      </c>
      <c r="AF303" s="87">
        <v>0</v>
      </c>
      <c r="AG303" s="87">
        <v>0</v>
      </c>
      <c r="AH303" s="87">
        <v>0</v>
      </c>
      <c r="AI303" s="87">
        <v>0</v>
      </c>
      <c r="AJ303" s="87">
        <v>0</v>
      </c>
      <c r="AK303" s="87">
        <v>0</v>
      </c>
      <c r="AL303" s="87">
        <v>0</v>
      </c>
      <c r="AM303" s="87">
        <v>0</v>
      </c>
      <c r="AN303" s="87">
        <v>0</v>
      </c>
      <c r="AO303" s="87">
        <v>0</v>
      </c>
      <c r="AP303" s="87">
        <v>0</v>
      </c>
      <c r="AQ303" s="87">
        <v>0</v>
      </c>
      <c r="AR303" s="87">
        <v>0</v>
      </c>
      <c r="AS303" s="87">
        <v>0</v>
      </c>
      <c r="AT303" s="87">
        <v>0</v>
      </c>
      <c r="AU303" s="87">
        <v>0</v>
      </c>
      <c r="AV303" s="87">
        <v>0</v>
      </c>
      <c r="AW303" s="87">
        <v>0</v>
      </c>
      <c r="AX303" s="87">
        <v>0</v>
      </c>
      <c r="AY303" s="87">
        <v>0</v>
      </c>
      <c r="AZ303" s="87">
        <v>0</v>
      </c>
      <c r="BA303" s="87">
        <v>0</v>
      </c>
      <c r="BB303" s="87">
        <v>0</v>
      </c>
      <c r="BC303" s="87">
        <v>0</v>
      </c>
      <c r="BD303" s="87">
        <v>0</v>
      </c>
      <c r="BE303" s="87">
        <v>0</v>
      </c>
      <c r="BF303" s="87">
        <v>0</v>
      </c>
    </row>
    <row r="304" spans="1:58" ht="14.1" customHeight="1">
      <c r="A304" s="75">
        <f t="shared" si="394"/>
        <v>298</v>
      </c>
      <c r="B304" s="76" t="s">
        <v>455</v>
      </c>
      <c r="C304" s="80">
        <f t="shared" si="422"/>
        <v>0</v>
      </c>
      <c r="D304" s="87">
        <v>0</v>
      </c>
      <c r="E304" s="87">
        <v>0</v>
      </c>
      <c r="F304" s="87">
        <v>0</v>
      </c>
      <c r="G304" s="87">
        <v>0</v>
      </c>
      <c r="H304" s="87">
        <v>0</v>
      </c>
      <c r="I304" s="87">
        <v>0</v>
      </c>
      <c r="J304" s="87">
        <v>0</v>
      </c>
      <c r="K304" s="87">
        <v>0</v>
      </c>
      <c r="L304" s="87">
        <v>0</v>
      </c>
      <c r="M304" s="87">
        <v>0</v>
      </c>
      <c r="N304" s="87">
        <v>0</v>
      </c>
      <c r="O304" s="87">
        <v>0</v>
      </c>
      <c r="P304" s="87">
        <v>0</v>
      </c>
      <c r="Q304" s="87">
        <v>0</v>
      </c>
      <c r="R304" s="87">
        <v>0</v>
      </c>
      <c r="S304" s="87">
        <v>0</v>
      </c>
      <c r="T304" s="87">
        <v>0</v>
      </c>
      <c r="U304" s="87">
        <v>0</v>
      </c>
      <c r="V304" s="87">
        <v>0</v>
      </c>
      <c r="W304" s="87">
        <v>0</v>
      </c>
      <c r="X304" s="87">
        <v>0</v>
      </c>
      <c r="Y304" s="87">
        <v>0</v>
      </c>
      <c r="Z304" s="87">
        <v>0</v>
      </c>
      <c r="AA304" s="87">
        <v>0</v>
      </c>
      <c r="AB304" s="87">
        <v>0</v>
      </c>
      <c r="AC304" s="87">
        <v>0</v>
      </c>
      <c r="AD304" s="87">
        <v>0</v>
      </c>
      <c r="AE304" s="87">
        <v>0</v>
      </c>
      <c r="AF304" s="87">
        <v>0</v>
      </c>
      <c r="AG304" s="87">
        <v>0</v>
      </c>
      <c r="AH304" s="87">
        <v>0</v>
      </c>
      <c r="AI304" s="87">
        <v>0</v>
      </c>
      <c r="AJ304" s="87">
        <v>0</v>
      </c>
      <c r="AK304" s="87">
        <v>0</v>
      </c>
      <c r="AL304" s="87">
        <v>0</v>
      </c>
      <c r="AM304" s="87">
        <v>0</v>
      </c>
      <c r="AN304" s="87">
        <v>0</v>
      </c>
      <c r="AO304" s="87">
        <v>0</v>
      </c>
      <c r="AP304" s="87">
        <v>0</v>
      </c>
      <c r="AQ304" s="87">
        <v>0</v>
      </c>
      <c r="AR304" s="87">
        <v>0</v>
      </c>
      <c r="AS304" s="87">
        <v>0</v>
      </c>
      <c r="AT304" s="87">
        <v>0</v>
      </c>
      <c r="AU304" s="87">
        <v>0</v>
      </c>
      <c r="AV304" s="87">
        <v>0</v>
      </c>
      <c r="AW304" s="87">
        <v>0</v>
      </c>
      <c r="AX304" s="87">
        <v>0</v>
      </c>
      <c r="AY304" s="87">
        <v>0</v>
      </c>
      <c r="AZ304" s="87">
        <v>0</v>
      </c>
      <c r="BA304" s="87">
        <v>0</v>
      </c>
      <c r="BB304" s="87">
        <v>0</v>
      </c>
      <c r="BC304" s="87">
        <v>0</v>
      </c>
      <c r="BD304" s="87">
        <v>0</v>
      </c>
      <c r="BE304" s="87">
        <v>0</v>
      </c>
      <c r="BF304" s="87">
        <v>0</v>
      </c>
    </row>
    <row r="305" spans="1:58" ht="14.1" customHeight="1">
      <c r="A305" s="75">
        <f t="shared" si="394"/>
        <v>299</v>
      </c>
      <c r="B305" s="76" t="s">
        <v>456</v>
      </c>
      <c r="C305" s="80">
        <f t="shared" si="422"/>
        <v>7562.4300000000012</v>
      </c>
      <c r="D305" s="87">
        <v>0</v>
      </c>
      <c r="E305" s="87">
        <v>0</v>
      </c>
      <c r="F305" s="87">
        <v>0</v>
      </c>
      <c r="G305" s="87">
        <v>0</v>
      </c>
      <c r="H305" s="87">
        <v>0</v>
      </c>
      <c r="I305" s="87">
        <v>0</v>
      </c>
      <c r="J305" s="87">
        <v>0</v>
      </c>
      <c r="K305" s="87">
        <v>0</v>
      </c>
      <c r="L305" s="87">
        <v>0</v>
      </c>
      <c r="M305" s="87">
        <v>0</v>
      </c>
      <c r="N305" s="87">
        <v>0</v>
      </c>
      <c r="O305" s="87">
        <v>0</v>
      </c>
      <c r="P305" s="87">
        <v>0</v>
      </c>
      <c r="Q305" s="87">
        <v>0</v>
      </c>
      <c r="R305" s="87">
        <v>0</v>
      </c>
      <c r="S305" s="87">
        <v>0</v>
      </c>
      <c r="T305" s="87">
        <v>0</v>
      </c>
      <c r="U305" s="87">
        <v>833.22000000000116</v>
      </c>
      <c r="V305" s="87">
        <v>0</v>
      </c>
      <c r="W305" s="87">
        <v>0</v>
      </c>
      <c r="X305" s="87">
        <v>0</v>
      </c>
      <c r="Y305" s="87">
        <v>0</v>
      </c>
      <c r="Z305" s="87">
        <v>0</v>
      </c>
      <c r="AA305" s="87">
        <v>0</v>
      </c>
      <c r="AB305" s="87">
        <v>0</v>
      </c>
      <c r="AC305" s="87">
        <v>0</v>
      </c>
      <c r="AD305" s="87">
        <v>0</v>
      </c>
      <c r="AE305" s="87">
        <v>0</v>
      </c>
      <c r="AF305" s="87">
        <v>0</v>
      </c>
      <c r="AG305" s="87">
        <v>6729.21</v>
      </c>
      <c r="AH305" s="87">
        <v>0</v>
      </c>
      <c r="AI305" s="87">
        <v>0</v>
      </c>
      <c r="AJ305" s="87">
        <v>0</v>
      </c>
      <c r="AK305" s="87">
        <v>0</v>
      </c>
      <c r="AL305" s="87">
        <v>0</v>
      </c>
      <c r="AM305" s="87">
        <v>0</v>
      </c>
      <c r="AN305" s="87">
        <v>0</v>
      </c>
      <c r="AO305" s="87">
        <v>0</v>
      </c>
      <c r="AP305" s="87">
        <v>0</v>
      </c>
      <c r="AQ305" s="87">
        <v>0</v>
      </c>
      <c r="AR305" s="87">
        <v>0</v>
      </c>
      <c r="AS305" s="87">
        <v>0</v>
      </c>
      <c r="AT305" s="87">
        <v>0</v>
      </c>
      <c r="AU305" s="87">
        <v>0</v>
      </c>
      <c r="AV305" s="87">
        <v>0</v>
      </c>
      <c r="AW305" s="87">
        <v>0</v>
      </c>
      <c r="AX305" s="87">
        <v>0</v>
      </c>
      <c r="AY305" s="87">
        <v>0</v>
      </c>
      <c r="AZ305" s="87">
        <v>0</v>
      </c>
      <c r="BA305" s="87">
        <v>0</v>
      </c>
      <c r="BB305" s="87">
        <v>0</v>
      </c>
      <c r="BC305" s="87">
        <v>0</v>
      </c>
      <c r="BD305" s="87">
        <v>0</v>
      </c>
      <c r="BE305" s="87">
        <v>0</v>
      </c>
      <c r="BF305" s="87">
        <v>0</v>
      </c>
    </row>
    <row r="306" spans="1:58" s="89" customFormat="1" ht="14.1" customHeight="1">
      <c r="A306" s="75">
        <f t="shared" si="394"/>
        <v>300</v>
      </c>
      <c r="B306" s="76" t="s">
        <v>457</v>
      </c>
      <c r="C306" s="80">
        <f t="shared" si="422"/>
        <v>-452844.98999999976</v>
      </c>
      <c r="D306" s="87">
        <v>0</v>
      </c>
      <c r="E306" s="87">
        <v>0</v>
      </c>
      <c r="F306" s="87">
        <v>0</v>
      </c>
      <c r="G306" s="87">
        <v>0</v>
      </c>
      <c r="H306" s="87">
        <v>0</v>
      </c>
      <c r="I306" s="87">
        <v>0</v>
      </c>
      <c r="J306" s="87">
        <v>0</v>
      </c>
      <c r="K306" s="87">
        <v>0</v>
      </c>
      <c r="L306" s="87">
        <v>0</v>
      </c>
      <c r="M306" s="87">
        <v>0</v>
      </c>
      <c r="N306" s="87">
        <v>0</v>
      </c>
      <c r="O306" s="87">
        <v>0</v>
      </c>
      <c r="P306" s="87">
        <v>0</v>
      </c>
      <c r="Q306" s="87">
        <v>0</v>
      </c>
      <c r="R306" s="87">
        <v>0</v>
      </c>
      <c r="S306" s="87">
        <v>0</v>
      </c>
      <c r="T306" s="87">
        <v>0</v>
      </c>
      <c r="U306" s="87">
        <v>91164.740000000224</v>
      </c>
      <c r="V306" s="87">
        <v>0</v>
      </c>
      <c r="W306" s="87">
        <v>0</v>
      </c>
      <c r="X306" s="87">
        <v>0</v>
      </c>
      <c r="Y306" s="87">
        <v>0</v>
      </c>
      <c r="Z306" s="87">
        <v>0</v>
      </c>
      <c r="AA306" s="87">
        <v>0</v>
      </c>
      <c r="AB306" s="87">
        <v>4370.91</v>
      </c>
      <c r="AC306" s="87">
        <v>0</v>
      </c>
      <c r="AD306" s="87">
        <v>0</v>
      </c>
      <c r="AE306" s="87">
        <v>0</v>
      </c>
      <c r="AF306" s="87">
        <v>-741761</v>
      </c>
      <c r="AG306" s="87">
        <v>193380.36000000002</v>
      </c>
      <c r="AH306" s="87">
        <v>0</v>
      </c>
      <c r="AI306" s="87">
        <v>0</v>
      </c>
      <c r="AJ306" s="87">
        <v>0</v>
      </c>
      <c r="AK306" s="87">
        <v>0</v>
      </c>
      <c r="AL306" s="87">
        <v>0</v>
      </c>
      <c r="AM306" s="87">
        <v>0</v>
      </c>
      <c r="AN306" s="87">
        <v>0</v>
      </c>
      <c r="AO306" s="87">
        <v>0</v>
      </c>
      <c r="AP306" s="87">
        <v>0</v>
      </c>
      <c r="AQ306" s="87">
        <v>0</v>
      </c>
      <c r="AR306" s="87">
        <v>0</v>
      </c>
      <c r="AS306" s="87">
        <v>0</v>
      </c>
      <c r="AT306" s="87">
        <v>0</v>
      </c>
      <c r="AU306" s="87">
        <v>0</v>
      </c>
      <c r="AV306" s="87">
        <v>0</v>
      </c>
      <c r="AW306" s="87">
        <v>0</v>
      </c>
      <c r="AX306" s="87">
        <v>0</v>
      </c>
      <c r="AY306" s="87">
        <v>0</v>
      </c>
      <c r="AZ306" s="87">
        <v>0</v>
      </c>
      <c r="BA306" s="87">
        <v>0</v>
      </c>
      <c r="BB306" s="87">
        <v>0</v>
      </c>
      <c r="BC306" s="87">
        <v>0</v>
      </c>
      <c r="BD306" s="87">
        <v>0</v>
      </c>
      <c r="BE306" s="87">
        <v>0</v>
      </c>
      <c r="BF306" s="87">
        <v>0</v>
      </c>
    </row>
    <row r="307" spans="1:58" s="89" customFormat="1" ht="14.1" customHeight="1">
      <c r="A307" s="75">
        <f t="shared" si="394"/>
        <v>301</v>
      </c>
      <c r="B307" s="76" t="s">
        <v>459</v>
      </c>
      <c r="C307" s="80">
        <f t="shared" si="422"/>
        <v>14.850000000000023</v>
      </c>
      <c r="D307" s="87">
        <v>0</v>
      </c>
      <c r="E307" s="87">
        <v>0</v>
      </c>
      <c r="F307" s="87">
        <v>0</v>
      </c>
      <c r="G307" s="87">
        <v>0</v>
      </c>
      <c r="H307" s="87">
        <v>0</v>
      </c>
      <c r="I307" s="87">
        <v>0</v>
      </c>
      <c r="J307" s="87">
        <v>0</v>
      </c>
      <c r="K307" s="87">
        <v>0</v>
      </c>
      <c r="L307" s="87">
        <v>0</v>
      </c>
      <c r="M307" s="87">
        <v>0</v>
      </c>
      <c r="N307" s="87">
        <v>0</v>
      </c>
      <c r="O307" s="87">
        <v>0</v>
      </c>
      <c r="P307" s="87">
        <v>0</v>
      </c>
      <c r="Q307" s="87">
        <v>0</v>
      </c>
      <c r="R307" s="87">
        <v>0</v>
      </c>
      <c r="S307" s="87">
        <v>0</v>
      </c>
      <c r="T307" s="87">
        <v>0</v>
      </c>
      <c r="U307" s="87">
        <v>14.850000000000023</v>
      </c>
      <c r="V307" s="87">
        <v>0</v>
      </c>
      <c r="W307" s="87">
        <v>0</v>
      </c>
      <c r="X307" s="87">
        <v>0</v>
      </c>
      <c r="Y307" s="87">
        <v>0</v>
      </c>
      <c r="Z307" s="87">
        <v>0</v>
      </c>
      <c r="AA307" s="87">
        <v>0</v>
      </c>
      <c r="AB307" s="87">
        <v>0</v>
      </c>
      <c r="AC307" s="87">
        <v>0</v>
      </c>
      <c r="AD307" s="87">
        <v>0</v>
      </c>
      <c r="AE307" s="87">
        <v>0</v>
      </c>
      <c r="AF307" s="87">
        <v>0</v>
      </c>
      <c r="AG307" s="87">
        <v>0</v>
      </c>
      <c r="AH307" s="87">
        <v>0</v>
      </c>
      <c r="AI307" s="87">
        <v>0</v>
      </c>
      <c r="AJ307" s="87">
        <v>0</v>
      </c>
      <c r="AK307" s="87">
        <v>0</v>
      </c>
      <c r="AL307" s="87">
        <v>0</v>
      </c>
      <c r="AM307" s="87">
        <v>0</v>
      </c>
      <c r="AN307" s="87">
        <v>0</v>
      </c>
      <c r="AO307" s="87">
        <v>0</v>
      </c>
      <c r="AP307" s="87">
        <v>0</v>
      </c>
      <c r="AQ307" s="87">
        <v>0</v>
      </c>
      <c r="AR307" s="87">
        <v>0</v>
      </c>
      <c r="AS307" s="87">
        <v>0</v>
      </c>
      <c r="AT307" s="87">
        <v>0</v>
      </c>
      <c r="AU307" s="87">
        <v>0</v>
      </c>
      <c r="AV307" s="87">
        <v>0</v>
      </c>
      <c r="AW307" s="87">
        <v>0</v>
      </c>
      <c r="AX307" s="87">
        <v>0</v>
      </c>
      <c r="AY307" s="87">
        <v>0</v>
      </c>
      <c r="AZ307" s="87">
        <v>0</v>
      </c>
      <c r="BA307" s="87">
        <v>0</v>
      </c>
      <c r="BB307" s="87">
        <v>0</v>
      </c>
      <c r="BC307" s="87">
        <v>0</v>
      </c>
      <c r="BD307" s="87">
        <v>0</v>
      </c>
      <c r="BE307" s="87">
        <v>0</v>
      </c>
      <c r="BF307" s="87">
        <v>0</v>
      </c>
    </row>
    <row r="308" spans="1:58" ht="14.1" customHeight="1">
      <c r="A308" s="75">
        <f t="shared" si="394"/>
        <v>302</v>
      </c>
      <c r="B308" s="76" t="s">
        <v>460</v>
      </c>
      <c r="C308" s="80">
        <f t="shared" si="422"/>
        <v>0</v>
      </c>
      <c r="D308" s="87">
        <v>0</v>
      </c>
      <c r="E308" s="87">
        <v>0</v>
      </c>
      <c r="F308" s="87">
        <v>0</v>
      </c>
      <c r="G308" s="87">
        <v>0</v>
      </c>
      <c r="H308" s="87">
        <v>0</v>
      </c>
      <c r="I308" s="87">
        <v>0</v>
      </c>
      <c r="J308" s="87">
        <v>0</v>
      </c>
      <c r="K308" s="87">
        <v>0</v>
      </c>
      <c r="L308" s="87">
        <v>0</v>
      </c>
      <c r="M308" s="87">
        <v>0</v>
      </c>
      <c r="N308" s="87">
        <v>0</v>
      </c>
      <c r="O308" s="87">
        <v>0</v>
      </c>
      <c r="P308" s="87">
        <v>0</v>
      </c>
      <c r="Q308" s="87">
        <v>0</v>
      </c>
      <c r="R308" s="87">
        <v>0</v>
      </c>
      <c r="S308" s="87">
        <v>0</v>
      </c>
      <c r="T308" s="87">
        <v>0</v>
      </c>
      <c r="U308" s="87">
        <v>0</v>
      </c>
      <c r="V308" s="87">
        <v>0</v>
      </c>
      <c r="W308" s="87">
        <v>0</v>
      </c>
      <c r="X308" s="87">
        <v>0</v>
      </c>
      <c r="Y308" s="87">
        <v>0</v>
      </c>
      <c r="Z308" s="87">
        <v>0</v>
      </c>
      <c r="AA308" s="87">
        <v>0</v>
      </c>
      <c r="AB308" s="87">
        <v>0</v>
      </c>
      <c r="AC308" s="87">
        <v>0</v>
      </c>
      <c r="AD308" s="87">
        <v>0</v>
      </c>
      <c r="AE308" s="87">
        <v>0</v>
      </c>
      <c r="AF308" s="87">
        <v>0</v>
      </c>
      <c r="AG308" s="87">
        <v>0</v>
      </c>
      <c r="AH308" s="87">
        <v>0</v>
      </c>
      <c r="AI308" s="87">
        <v>0</v>
      </c>
      <c r="AJ308" s="87">
        <v>0</v>
      </c>
      <c r="AK308" s="87">
        <v>0</v>
      </c>
      <c r="AL308" s="87">
        <v>0</v>
      </c>
      <c r="AM308" s="87">
        <v>0</v>
      </c>
      <c r="AN308" s="87">
        <v>0</v>
      </c>
      <c r="AO308" s="87">
        <v>0</v>
      </c>
      <c r="AP308" s="87">
        <v>0</v>
      </c>
      <c r="AQ308" s="87">
        <v>0</v>
      </c>
      <c r="AR308" s="87">
        <v>0</v>
      </c>
      <c r="AS308" s="87">
        <v>0</v>
      </c>
      <c r="AT308" s="87">
        <v>0</v>
      </c>
      <c r="AU308" s="87">
        <v>0</v>
      </c>
      <c r="AV308" s="87">
        <v>0</v>
      </c>
      <c r="AW308" s="87">
        <v>0</v>
      </c>
      <c r="AX308" s="87">
        <v>0</v>
      </c>
      <c r="AY308" s="87">
        <v>0</v>
      </c>
      <c r="AZ308" s="87">
        <v>0</v>
      </c>
      <c r="BA308" s="87">
        <v>0</v>
      </c>
      <c r="BB308" s="87">
        <v>0</v>
      </c>
      <c r="BC308" s="87">
        <v>0</v>
      </c>
      <c r="BD308" s="87">
        <v>0</v>
      </c>
      <c r="BE308" s="87">
        <v>0</v>
      </c>
      <c r="BF308" s="87">
        <v>0</v>
      </c>
    </row>
    <row r="309" spans="1:58" ht="14.1" customHeight="1">
      <c r="A309" s="75">
        <f t="shared" si="394"/>
        <v>303</v>
      </c>
      <c r="B309" s="90" t="s">
        <v>461</v>
      </c>
      <c r="C309" s="80">
        <f t="shared" si="422"/>
        <v>1117.0100000000093</v>
      </c>
      <c r="D309" s="87">
        <v>0</v>
      </c>
      <c r="E309" s="87">
        <v>0</v>
      </c>
      <c r="F309" s="87">
        <v>0</v>
      </c>
      <c r="G309" s="87">
        <v>0</v>
      </c>
      <c r="H309" s="87">
        <v>0</v>
      </c>
      <c r="I309" s="87">
        <v>0</v>
      </c>
      <c r="J309" s="87">
        <v>0</v>
      </c>
      <c r="K309" s="87">
        <v>0</v>
      </c>
      <c r="L309" s="87">
        <v>0</v>
      </c>
      <c r="M309" s="87">
        <v>0</v>
      </c>
      <c r="N309" s="87">
        <v>0</v>
      </c>
      <c r="O309" s="87">
        <v>0</v>
      </c>
      <c r="P309" s="87">
        <v>0</v>
      </c>
      <c r="Q309" s="87">
        <v>0</v>
      </c>
      <c r="R309" s="87">
        <v>0</v>
      </c>
      <c r="S309" s="87">
        <v>0</v>
      </c>
      <c r="T309" s="87">
        <v>0</v>
      </c>
      <c r="U309" s="87">
        <v>1117.0100000000093</v>
      </c>
      <c r="V309" s="87">
        <v>0</v>
      </c>
      <c r="W309" s="87">
        <v>0</v>
      </c>
      <c r="X309" s="87">
        <v>0</v>
      </c>
      <c r="Y309" s="87">
        <v>0</v>
      </c>
      <c r="Z309" s="87">
        <v>0</v>
      </c>
      <c r="AA309" s="87">
        <v>0</v>
      </c>
      <c r="AB309" s="87">
        <v>0</v>
      </c>
      <c r="AC309" s="87">
        <v>0</v>
      </c>
      <c r="AD309" s="87">
        <v>0</v>
      </c>
      <c r="AE309" s="87">
        <v>0</v>
      </c>
      <c r="AF309" s="87">
        <v>0</v>
      </c>
      <c r="AG309" s="87">
        <v>0</v>
      </c>
      <c r="AH309" s="87">
        <v>0</v>
      </c>
      <c r="AI309" s="87">
        <v>0</v>
      </c>
      <c r="AJ309" s="87">
        <v>0</v>
      </c>
      <c r="AK309" s="87">
        <v>0</v>
      </c>
      <c r="AL309" s="87">
        <v>0</v>
      </c>
      <c r="AM309" s="87">
        <v>0</v>
      </c>
      <c r="AN309" s="87">
        <v>0</v>
      </c>
      <c r="AO309" s="87">
        <v>0</v>
      </c>
      <c r="AP309" s="87">
        <v>0</v>
      </c>
      <c r="AQ309" s="87">
        <v>0</v>
      </c>
      <c r="AR309" s="87">
        <v>0</v>
      </c>
      <c r="AS309" s="87">
        <v>0</v>
      </c>
      <c r="AT309" s="87">
        <v>0</v>
      </c>
      <c r="AU309" s="87">
        <v>0</v>
      </c>
      <c r="AV309" s="87">
        <v>0</v>
      </c>
      <c r="AW309" s="87">
        <v>0</v>
      </c>
      <c r="AX309" s="87">
        <v>0</v>
      </c>
      <c r="AY309" s="87">
        <v>0</v>
      </c>
      <c r="AZ309" s="87">
        <v>0</v>
      </c>
      <c r="BA309" s="87">
        <v>0</v>
      </c>
      <c r="BB309" s="87">
        <v>0</v>
      </c>
      <c r="BC309" s="87">
        <v>0</v>
      </c>
      <c r="BD309" s="87">
        <v>0</v>
      </c>
      <c r="BE309" s="87">
        <v>0</v>
      </c>
      <c r="BF309" s="87">
        <v>0</v>
      </c>
    </row>
    <row r="310" spans="1:58" ht="14.1" customHeight="1">
      <c r="A310" s="75">
        <f t="shared" si="394"/>
        <v>304</v>
      </c>
      <c r="B310" s="108" t="s">
        <v>463</v>
      </c>
      <c r="C310" s="97">
        <f t="shared" ref="C310:J310" si="423">SUM(C297:C309)</f>
        <v>-41383282.769999996</v>
      </c>
      <c r="D310" s="97">
        <f t="shared" ref="D310:I310" si="424">SUM(D297:D309)</f>
        <v>0</v>
      </c>
      <c r="E310" s="97">
        <f t="shared" si="424"/>
        <v>0</v>
      </c>
      <c r="F310" s="97">
        <f t="shared" si="424"/>
        <v>0</v>
      </c>
      <c r="G310" s="97">
        <f t="shared" si="424"/>
        <v>0</v>
      </c>
      <c r="H310" s="97">
        <f t="shared" si="424"/>
        <v>0</v>
      </c>
      <c r="I310" s="97">
        <f t="shared" si="424"/>
        <v>0</v>
      </c>
      <c r="J310" s="97">
        <f t="shared" si="423"/>
        <v>-7671.09</v>
      </c>
      <c r="K310" s="97">
        <f t="shared" ref="K310:AD310" si="425">SUM(K297:K309)</f>
        <v>0</v>
      </c>
      <c r="L310" s="97">
        <f t="shared" si="425"/>
        <v>-42632032</v>
      </c>
      <c r="M310" s="97">
        <f t="shared" si="425"/>
        <v>0</v>
      </c>
      <c r="N310" s="97">
        <f t="shared" si="425"/>
        <v>0</v>
      </c>
      <c r="O310" s="97">
        <f t="shared" si="425"/>
        <v>0</v>
      </c>
      <c r="P310" s="97">
        <f t="shared" si="425"/>
        <v>0</v>
      </c>
      <c r="Q310" s="97">
        <f t="shared" si="425"/>
        <v>0</v>
      </c>
      <c r="R310" s="97">
        <f t="shared" si="425"/>
        <v>0</v>
      </c>
      <c r="S310" s="97">
        <f t="shared" si="425"/>
        <v>0</v>
      </c>
      <c r="T310" s="97">
        <f t="shared" si="425"/>
        <v>0</v>
      </c>
      <c r="U310" s="97">
        <f t="shared" si="425"/>
        <v>2084537.9900000114</v>
      </c>
      <c r="V310" s="97">
        <f t="shared" si="425"/>
        <v>-2208002</v>
      </c>
      <c r="W310" s="97">
        <f t="shared" si="425"/>
        <v>0</v>
      </c>
      <c r="X310" s="97">
        <f t="shared" si="425"/>
        <v>0</v>
      </c>
      <c r="Y310" s="97">
        <f>SUM(Y297:Y309)</f>
        <v>0</v>
      </c>
      <c r="Z310" s="97">
        <f t="shared" si="425"/>
        <v>0</v>
      </c>
      <c r="AA310" s="97">
        <f t="shared" si="425"/>
        <v>0</v>
      </c>
      <c r="AB310" s="97">
        <f>SUM(AB297:AB309)</f>
        <v>7293.9199999999992</v>
      </c>
      <c r="AC310" s="97">
        <f t="shared" si="425"/>
        <v>0</v>
      </c>
      <c r="AD310" s="97">
        <f t="shared" si="425"/>
        <v>0</v>
      </c>
      <c r="AE310" s="97">
        <f>SUM(AE297:AE309)</f>
        <v>0</v>
      </c>
      <c r="AF310" s="97">
        <f>SUM(AF297:AF309)</f>
        <v>-741761</v>
      </c>
      <c r="AG310" s="97">
        <f>SUM(AG297:AG309)</f>
        <v>902153.75999999989</v>
      </c>
      <c r="AH310" s="97">
        <f t="shared" ref="AH310:AL310" si="426">SUM(AH297:AH309)</f>
        <v>0</v>
      </c>
      <c r="AI310" s="97">
        <f t="shared" si="426"/>
        <v>0</v>
      </c>
      <c r="AJ310" s="97">
        <f t="shared" si="426"/>
        <v>0</v>
      </c>
      <c r="AK310" s="97">
        <f t="shared" si="426"/>
        <v>0</v>
      </c>
      <c r="AL310" s="97">
        <f t="shared" si="426"/>
        <v>0</v>
      </c>
      <c r="AM310" s="97">
        <f>SUM(AM297:AM309)</f>
        <v>0</v>
      </c>
      <c r="AN310" s="97">
        <f>SUM(AN297:AN309)</f>
        <v>0</v>
      </c>
      <c r="AO310" s="97">
        <f>SUM(AO297:AO309)</f>
        <v>0</v>
      </c>
      <c r="AP310" s="97">
        <f>SUM(AP297:AP309)</f>
        <v>0</v>
      </c>
      <c r="AQ310" s="97">
        <f>SUM(AQ297:AQ309)</f>
        <v>1212197.6499999999</v>
      </c>
      <c r="AR310" s="97">
        <f t="shared" ref="AR310" si="427">SUM(AR297:AR309)</f>
        <v>0</v>
      </c>
      <c r="AS310" s="97">
        <f>SUM(AS297:AS309)</f>
        <v>0</v>
      </c>
      <c r="AT310" s="97">
        <f t="shared" ref="AT310:AV310" si="428">SUM(AT297:AT309)</f>
        <v>0</v>
      </c>
      <c r="AU310" s="97">
        <f t="shared" si="428"/>
        <v>0</v>
      </c>
      <c r="AV310" s="97">
        <f t="shared" si="428"/>
        <v>0</v>
      </c>
      <c r="AW310" s="97">
        <f>SUM(AW297:AW309)</f>
        <v>0</v>
      </c>
      <c r="AX310" s="97">
        <f t="shared" ref="AX310:BF310" si="429">SUM(AX297:AX309)</f>
        <v>0</v>
      </c>
      <c r="AY310" s="97">
        <f t="shared" si="429"/>
        <v>0</v>
      </c>
      <c r="AZ310" s="97">
        <f t="shared" si="429"/>
        <v>0</v>
      </c>
      <c r="BA310" s="97">
        <f t="shared" si="429"/>
        <v>0</v>
      </c>
      <c r="BB310" s="97">
        <f t="shared" si="429"/>
        <v>0</v>
      </c>
      <c r="BC310" s="97">
        <f t="shared" si="429"/>
        <v>0</v>
      </c>
      <c r="BD310" s="97">
        <f t="shared" si="429"/>
        <v>0</v>
      </c>
      <c r="BE310" s="97">
        <f t="shared" si="429"/>
        <v>0</v>
      </c>
      <c r="BF310" s="97">
        <f t="shared" si="429"/>
        <v>0</v>
      </c>
    </row>
    <row r="311" spans="1:58" ht="14.1" customHeight="1">
      <c r="A311" s="75">
        <f t="shared" si="394"/>
        <v>305</v>
      </c>
      <c r="B311" s="124"/>
      <c r="C311" s="12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row>
    <row r="312" spans="1:58" ht="14.1" customHeight="1">
      <c r="A312" s="75">
        <f t="shared" si="394"/>
        <v>306</v>
      </c>
      <c r="B312" s="76" t="s">
        <v>464</v>
      </c>
      <c r="C312" s="80">
        <f>SUM(D312:BF312)</f>
        <v>167438.47999999992</v>
      </c>
      <c r="D312" s="87">
        <v>0</v>
      </c>
      <c r="E312" s="87">
        <v>0</v>
      </c>
      <c r="F312" s="87">
        <v>0</v>
      </c>
      <c r="G312" s="87">
        <v>0</v>
      </c>
      <c r="H312" s="87">
        <v>0</v>
      </c>
      <c r="I312" s="87">
        <v>0</v>
      </c>
      <c r="J312" s="87">
        <v>0</v>
      </c>
      <c r="K312" s="87">
        <v>0</v>
      </c>
      <c r="L312" s="87">
        <v>0</v>
      </c>
      <c r="M312" s="87">
        <v>0</v>
      </c>
      <c r="N312" s="87">
        <v>0</v>
      </c>
      <c r="O312" s="87">
        <v>0</v>
      </c>
      <c r="P312" s="87">
        <v>0</v>
      </c>
      <c r="Q312" s="87">
        <v>0</v>
      </c>
      <c r="R312" s="87">
        <v>0</v>
      </c>
      <c r="S312" s="87">
        <v>0</v>
      </c>
      <c r="T312" s="87">
        <v>0</v>
      </c>
      <c r="U312" s="87">
        <v>20293.189999999944</v>
      </c>
      <c r="V312" s="87">
        <v>0</v>
      </c>
      <c r="W312" s="87">
        <v>0</v>
      </c>
      <c r="X312" s="87">
        <v>0</v>
      </c>
      <c r="Y312" s="87">
        <v>0</v>
      </c>
      <c r="Z312" s="87">
        <v>0</v>
      </c>
      <c r="AA312" s="87">
        <v>0</v>
      </c>
      <c r="AB312" s="87">
        <v>1363.3600000000001</v>
      </c>
      <c r="AC312" s="87">
        <v>0</v>
      </c>
      <c r="AD312" s="87">
        <v>0</v>
      </c>
      <c r="AE312" s="87">
        <v>0</v>
      </c>
      <c r="AF312" s="87">
        <v>0</v>
      </c>
      <c r="AG312" s="87">
        <v>145781.93</v>
      </c>
      <c r="AH312" s="87">
        <v>0</v>
      </c>
      <c r="AI312" s="87">
        <v>0</v>
      </c>
      <c r="AJ312" s="87">
        <v>0</v>
      </c>
      <c r="AK312" s="87">
        <v>0</v>
      </c>
      <c r="AL312" s="87">
        <v>0</v>
      </c>
      <c r="AM312" s="87">
        <v>0</v>
      </c>
      <c r="AN312" s="87">
        <v>0</v>
      </c>
      <c r="AO312" s="87">
        <v>0</v>
      </c>
      <c r="AP312" s="87">
        <v>0</v>
      </c>
      <c r="AQ312" s="87">
        <v>0</v>
      </c>
      <c r="AR312" s="87">
        <v>0</v>
      </c>
      <c r="AS312" s="87">
        <v>0</v>
      </c>
      <c r="AT312" s="87">
        <v>0</v>
      </c>
      <c r="AU312" s="87">
        <v>0</v>
      </c>
      <c r="AV312" s="87">
        <v>0</v>
      </c>
      <c r="AW312" s="87">
        <v>0</v>
      </c>
      <c r="AX312" s="87">
        <v>0</v>
      </c>
      <c r="AY312" s="87">
        <v>0</v>
      </c>
      <c r="AZ312" s="87">
        <v>0</v>
      </c>
      <c r="BA312" s="87">
        <v>0</v>
      </c>
      <c r="BB312" s="87">
        <v>0</v>
      </c>
      <c r="BC312" s="87">
        <v>0</v>
      </c>
      <c r="BD312" s="87">
        <v>0</v>
      </c>
      <c r="BE312" s="87">
        <v>0</v>
      </c>
      <c r="BF312" s="87">
        <v>0</v>
      </c>
    </row>
    <row r="313" spans="1:58" ht="14.1" customHeight="1">
      <c r="A313" s="75">
        <f t="shared" si="394"/>
        <v>307</v>
      </c>
      <c r="B313" s="76" t="s">
        <v>466</v>
      </c>
      <c r="C313" s="80">
        <f>SUM(D313:BF313)</f>
        <v>46567.040000000154</v>
      </c>
      <c r="D313" s="87">
        <v>0</v>
      </c>
      <c r="E313" s="87">
        <v>0</v>
      </c>
      <c r="F313" s="87">
        <v>0</v>
      </c>
      <c r="G313" s="87">
        <v>0</v>
      </c>
      <c r="H313" s="87">
        <v>0</v>
      </c>
      <c r="I313" s="87">
        <v>0</v>
      </c>
      <c r="J313" s="87">
        <v>0</v>
      </c>
      <c r="K313" s="87">
        <v>0</v>
      </c>
      <c r="L313" s="87">
        <v>0</v>
      </c>
      <c r="M313" s="87">
        <v>0</v>
      </c>
      <c r="N313" s="87">
        <v>0</v>
      </c>
      <c r="O313" s="87">
        <v>0</v>
      </c>
      <c r="P313" s="87">
        <v>0</v>
      </c>
      <c r="Q313" s="87">
        <v>0</v>
      </c>
      <c r="R313" s="87">
        <v>0</v>
      </c>
      <c r="S313" s="87">
        <v>0</v>
      </c>
      <c r="T313" s="87">
        <v>0</v>
      </c>
      <c r="U313" s="87">
        <v>29840.410000000149</v>
      </c>
      <c r="V313" s="87">
        <v>0</v>
      </c>
      <c r="W313" s="87">
        <v>0</v>
      </c>
      <c r="X313" s="87">
        <v>0</v>
      </c>
      <c r="Y313" s="87">
        <v>0</v>
      </c>
      <c r="Z313" s="87">
        <v>0</v>
      </c>
      <c r="AA313" s="87">
        <v>0</v>
      </c>
      <c r="AB313" s="87">
        <v>43.819999999999993</v>
      </c>
      <c r="AC313" s="87">
        <v>0</v>
      </c>
      <c r="AD313" s="87">
        <v>0</v>
      </c>
      <c r="AE313" s="87">
        <v>0</v>
      </c>
      <c r="AF313" s="87">
        <v>0</v>
      </c>
      <c r="AG313" s="87">
        <v>16682.810000000001</v>
      </c>
      <c r="AH313" s="87">
        <v>0</v>
      </c>
      <c r="AI313" s="87">
        <v>0</v>
      </c>
      <c r="AJ313" s="87">
        <v>0</v>
      </c>
      <c r="AK313" s="87">
        <v>0</v>
      </c>
      <c r="AL313" s="87">
        <v>0</v>
      </c>
      <c r="AM313" s="87">
        <v>0</v>
      </c>
      <c r="AN313" s="87">
        <v>0</v>
      </c>
      <c r="AO313" s="87">
        <v>0</v>
      </c>
      <c r="AP313" s="87">
        <v>0</v>
      </c>
      <c r="AQ313" s="87">
        <v>0</v>
      </c>
      <c r="AR313" s="87">
        <v>0</v>
      </c>
      <c r="AS313" s="87">
        <v>0</v>
      </c>
      <c r="AT313" s="87">
        <v>0</v>
      </c>
      <c r="AU313" s="87">
        <v>0</v>
      </c>
      <c r="AV313" s="87">
        <v>0</v>
      </c>
      <c r="AW313" s="87">
        <v>0</v>
      </c>
      <c r="AX313" s="87">
        <v>0</v>
      </c>
      <c r="AY313" s="87">
        <v>0</v>
      </c>
      <c r="AZ313" s="87">
        <v>0</v>
      </c>
      <c r="BA313" s="87">
        <v>0</v>
      </c>
      <c r="BB313" s="87">
        <v>0</v>
      </c>
      <c r="BC313" s="87">
        <v>0</v>
      </c>
      <c r="BD313" s="87">
        <v>0</v>
      </c>
      <c r="BE313" s="87">
        <v>0</v>
      </c>
      <c r="BF313" s="87">
        <v>0</v>
      </c>
    </row>
    <row r="314" spans="1:58" ht="13.5" customHeight="1">
      <c r="A314" s="75">
        <f t="shared" si="394"/>
        <v>308</v>
      </c>
      <c r="B314" s="76" t="s">
        <v>467</v>
      </c>
      <c r="C314" s="80">
        <f>SUM(D314:BF314)</f>
        <v>-896434.07999999961</v>
      </c>
      <c r="D314" s="87">
        <v>0</v>
      </c>
      <c r="E314" s="87">
        <v>0</v>
      </c>
      <c r="F314" s="87">
        <v>0</v>
      </c>
      <c r="G314" s="87">
        <v>0</v>
      </c>
      <c r="H314" s="87">
        <v>0</v>
      </c>
      <c r="I314" s="87">
        <v>0</v>
      </c>
      <c r="J314" s="87">
        <v>7671.09</v>
      </c>
      <c r="K314" s="87">
        <v>0</v>
      </c>
      <c r="L314" s="87">
        <v>0</v>
      </c>
      <c r="M314" s="87">
        <v>0</v>
      </c>
      <c r="N314" s="87">
        <v>0</v>
      </c>
      <c r="O314" s="87">
        <v>0</v>
      </c>
      <c r="P314" s="87">
        <v>0</v>
      </c>
      <c r="Q314" s="87">
        <v>0</v>
      </c>
      <c r="R314" s="87">
        <v>0</v>
      </c>
      <c r="S314" s="87">
        <v>0</v>
      </c>
      <c r="T314" s="87">
        <v>0</v>
      </c>
      <c r="U314" s="87">
        <v>213192.0700000003</v>
      </c>
      <c r="V314" s="87">
        <v>-1333347</v>
      </c>
      <c r="W314" s="87">
        <v>0</v>
      </c>
      <c r="X314" s="87">
        <v>0</v>
      </c>
      <c r="Y314" s="87">
        <v>0</v>
      </c>
      <c r="Z314" s="87">
        <v>0</v>
      </c>
      <c r="AA314" s="87">
        <v>0</v>
      </c>
      <c r="AB314" s="87">
        <v>-49.509999999999991</v>
      </c>
      <c r="AC314" s="87">
        <v>0</v>
      </c>
      <c r="AD314" s="87">
        <v>0</v>
      </c>
      <c r="AE314" s="87">
        <v>0</v>
      </c>
      <c r="AF314" s="87">
        <v>0</v>
      </c>
      <c r="AG314" s="87">
        <v>216099.27</v>
      </c>
      <c r="AH314" s="87">
        <v>0</v>
      </c>
      <c r="AI314" s="87">
        <v>0</v>
      </c>
      <c r="AJ314" s="87">
        <v>0</v>
      </c>
      <c r="AK314" s="87">
        <v>0</v>
      </c>
      <c r="AL314" s="87">
        <v>0</v>
      </c>
      <c r="AM314" s="87">
        <v>0</v>
      </c>
      <c r="AN314" s="87">
        <v>0</v>
      </c>
      <c r="AO314" s="87">
        <v>0</v>
      </c>
      <c r="AP314" s="87">
        <v>0</v>
      </c>
      <c r="AQ314" s="87">
        <v>0</v>
      </c>
      <c r="AR314" s="87">
        <v>0</v>
      </c>
      <c r="AS314" s="87">
        <v>0</v>
      </c>
      <c r="AT314" s="87">
        <v>0</v>
      </c>
      <c r="AU314" s="87">
        <v>0</v>
      </c>
      <c r="AV314" s="87">
        <v>0</v>
      </c>
      <c r="AW314" s="87">
        <v>0</v>
      </c>
      <c r="AX314" s="87">
        <v>0</v>
      </c>
      <c r="AY314" s="87">
        <v>0</v>
      </c>
      <c r="AZ314" s="87">
        <v>0</v>
      </c>
      <c r="BA314" s="87">
        <v>0</v>
      </c>
      <c r="BB314" s="87">
        <v>0</v>
      </c>
      <c r="BC314" s="87">
        <v>0</v>
      </c>
      <c r="BD314" s="87">
        <v>0</v>
      </c>
      <c r="BE314" s="87">
        <v>0</v>
      </c>
      <c r="BF314" s="87">
        <v>0</v>
      </c>
    </row>
    <row r="315" spans="1:58" ht="14.1" customHeight="1">
      <c r="A315" s="75">
        <f t="shared" si="394"/>
        <v>309</v>
      </c>
      <c r="B315" s="76" t="s">
        <v>469</v>
      </c>
      <c r="C315" s="80">
        <f>SUM(D315:BF315)</f>
        <v>155546.83000000022</v>
      </c>
      <c r="D315" s="87">
        <v>0</v>
      </c>
      <c r="E315" s="87">
        <v>0</v>
      </c>
      <c r="F315" s="87">
        <v>0</v>
      </c>
      <c r="G315" s="87">
        <v>0</v>
      </c>
      <c r="H315" s="87">
        <v>0</v>
      </c>
      <c r="I315" s="87">
        <v>0</v>
      </c>
      <c r="J315" s="87">
        <v>0</v>
      </c>
      <c r="K315" s="87">
        <v>0</v>
      </c>
      <c r="L315" s="87">
        <v>0</v>
      </c>
      <c r="M315" s="87">
        <v>0</v>
      </c>
      <c r="N315" s="87">
        <v>0</v>
      </c>
      <c r="O315" s="87">
        <v>0</v>
      </c>
      <c r="P315" s="87">
        <v>0</v>
      </c>
      <c r="Q315" s="87">
        <v>0</v>
      </c>
      <c r="R315" s="87">
        <v>0</v>
      </c>
      <c r="S315" s="87">
        <v>0</v>
      </c>
      <c r="T315" s="87">
        <v>0</v>
      </c>
      <c r="U315" s="87">
        <v>65713.990000000224</v>
      </c>
      <c r="V315" s="87">
        <v>0</v>
      </c>
      <c r="W315" s="87">
        <v>0</v>
      </c>
      <c r="X315" s="87">
        <v>0</v>
      </c>
      <c r="Y315" s="87">
        <v>0</v>
      </c>
      <c r="Z315" s="87">
        <v>0</v>
      </c>
      <c r="AA315" s="87">
        <v>0</v>
      </c>
      <c r="AB315" s="87">
        <v>-4.4399999999999977</v>
      </c>
      <c r="AC315" s="87">
        <v>0</v>
      </c>
      <c r="AD315" s="87">
        <v>0</v>
      </c>
      <c r="AE315" s="87">
        <v>0</v>
      </c>
      <c r="AF315" s="87">
        <v>0</v>
      </c>
      <c r="AG315" s="87">
        <v>89837.28</v>
      </c>
      <c r="AH315" s="87">
        <v>0</v>
      </c>
      <c r="AI315" s="87">
        <v>0</v>
      </c>
      <c r="AJ315" s="87">
        <v>0</v>
      </c>
      <c r="AK315" s="87">
        <v>0</v>
      </c>
      <c r="AL315" s="87">
        <v>0</v>
      </c>
      <c r="AM315" s="87">
        <v>0</v>
      </c>
      <c r="AN315" s="87">
        <v>0</v>
      </c>
      <c r="AO315" s="87">
        <v>0</v>
      </c>
      <c r="AP315" s="87">
        <v>0</v>
      </c>
      <c r="AQ315" s="87">
        <v>0</v>
      </c>
      <c r="AR315" s="87">
        <v>0</v>
      </c>
      <c r="AS315" s="87">
        <v>0</v>
      </c>
      <c r="AT315" s="87">
        <v>0</v>
      </c>
      <c r="AU315" s="87">
        <v>0</v>
      </c>
      <c r="AV315" s="87">
        <v>0</v>
      </c>
      <c r="AW315" s="87">
        <v>0</v>
      </c>
      <c r="AX315" s="87">
        <v>0</v>
      </c>
      <c r="AY315" s="87">
        <v>0</v>
      </c>
      <c r="AZ315" s="87">
        <v>0</v>
      </c>
      <c r="BA315" s="87">
        <v>0</v>
      </c>
      <c r="BB315" s="87">
        <v>0</v>
      </c>
      <c r="BC315" s="87">
        <v>0</v>
      </c>
      <c r="BD315" s="87">
        <v>0</v>
      </c>
      <c r="BE315" s="87">
        <v>0</v>
      </c>
      <c r="BF315" s="87">
        <v>0</v>
      </c>
    </row>
    <row r="316" spans="1:58" ht="14.1" customHeight="1">
      <c r="A316" s="75">
        <f t="shared" si="394"/>
        <v>310</v>
      </c>
      <c r="B316" s="90" t="s">
        <v>471</v>
      </c>
      <c r="C316" s="80">
        <f>SUM(D316:BF316)</f>
        <v>39187.069999999978</v>
      </c>
      <c r="D316" s="87">
        <v>0</v>
      </c>
      <c r="E316" s="87">
        <v>0</v>
      </c>
      <c r="F316" s="87">
        <v>0</v>
      </c>
      <c r="G316" s="87">
        <v>0</v>
      </c>
      <c r="H316" s="87">
        <v>0</v>
      </c>
      <c r="I316" s="87">
        <v>0</v>
      </c>
      <c r="J316" s="87">
        <v>0</v>
      </c>
      <c r="K316" s="87">
        <v>0</v>
      </c>
      <c r="L316" s="87">
        <v>0</v>
      </c>
      <c r="M316" s="87">
        <v>0</v>
      </c>
      <c r="N316" s="87">
        <v>0</v>
      </c>
      <c r="O316" s="87">
        <v>0</v>
      </c>
      <c r="P316" s="87">
        <v>0</v>
      </c>
      <c r="Q316" s="87">
        <v>0</v>
      </c>
      <c r="R316" s="87">
        <v>0</v>
      </c>
      <c r="S316" s="87">
        <v>0</v>
      </c>
      <c r="T316" s="87">
        <v>0</v>
      </c>
      <c r="U316" s="87">
        <v>21104.229999999981</v>
      </c>
      <c r="V316" s="87">
        <v>0</v>
      </c>
      <c r="W316" s="87">
        <v>0</v>
      </c>
      <c r="X316" s="87">
        <v>0</v>
      </c>
      <c r="Y316" s="87">
        <v>0</v>
      </c>
      <c r="Z316" s="87">
        <v>0</v>
      </c>
      <c r="AA316" s="87">
        <v>0</v>
      </c>
      <c r="AB316" s="87">
        <v>53.879999999999995</v>
      </c>
      <c r="AC316" s="87">
        <v>0</v>
      </c>
      <c r="AD316" s="87">
        <v>0</v>
      </c>
      <c r="AE316" s="87">
        <v>0</v>
      </c>
      <c r="AF316" s="87">
        <v>0</v>
      </c>
      <c r="AG316" s="87">
        <v>18028.96</v>
      </c>
      <c r="AH316" s="87">
        <v>0</v>
      </c>
      <c r="AI316" s="87">
        <v>0</v>
      </c>
      <c r="AJ316" s="87">
        <v>0</v>
      </c>
      <c r="AK316" s="87">
        <v>0</v>
      </c>
      <c r="AL316" s="87">
        <v>0</v>
      </c>
      <c r="AM316" s="87">
        <v>0</v>
      </c>
      <c r="AN316" s="87">
        <v>0</v>
      </c>
      <c r="AO316" s="87">
        <v>0</v>
      </c>
      <c r="AP316" s="87">
        <v>0</v>
      </c>
      <c r="AQ316" s="87">
        <v>0</v>
      </c>
      <c r="AR316" s="87">
        <v>0</v>
      </c>
      <c r="AS316" s="87">
        <v>0</v>
      </c>
      <c r="AT316" s="87">
        <v>0</v>
      </c>
      <c r="AU316" s="87">
        <v>0</v>
      </c>
      <c r="AV316" s="87">
        <v>0</v>
      </c>
      <c r="AW316" s="87">
        <v>0</v>
      </c>
      <c r="AX316" s="87">
        <v>0</v>
      </c>
      <c r="AY316" s="87">
        <v>0</v>
      </c>
      <c r="AZ316" s="87">
        <v>0</v>
      </c>
      <c r="BA316" s="87">
        <v>0</v>
      </c>
      <c r="BB316" s="87">
        <v>0</v>
      </c>
      <c r="BC316" s="87">
        <v>0</v>
      </c>
      <c r="BD316" s="87">
        <v>0</v>
      </c>
      <c r="BE316" s="87">
        <v>0</v>
      </c>
      <c r="BF316" s="87">
        <v>0</v>
      </c>
    </row>
    <row r="317" spans="1:58" ht="14.1" customHeight="1">
      <c r="A317" s="75">
        <f t="shared" si="394"/>
        <v>311</v>
      </c>
      <c r="B317" s="108" t="s">
        <v>473</v>
      </c>
      <c r="C317" s="97">
        <f t="shared" ref="C317:V317" si="430">SUM(C312:C316)</f>
        <v>-487694.65999999945</v>
      </c>
      <c r="D317" s="97">
        <f t="shared" si="430"/>
        <v>0</v>
      </c>
      <c r="E317" s="97">
        <f t="shared" si="430"/>
        <v>0</v>
      </c>
      <c r="F317" s="97">
        <f t="shared" si="430"/>
        <v>0</v>
      </c>
      <c r="G317" s="97">
        <f t="shared" si="430"/>
        <v>0</v>
      </c>
      <c r="H317" s="97">
        <f t="shared" si="430"/>
        <v>0</v>
      </c>
      <c r="I317" s="97">
        <f t="shared" si="430"/>
        <v>0</v>
      </c>
      <c r="J317" s="97">
        <f t="shared" si="430"/>
        <v>7671.09</v>
      </c>
      <c r="K317" s="97">
        <f t="shared" si="430"/>
        <v>0</v>
      </c>
      <c r="L317" s="97">
        <f t="shared" si="430"/>
        <v>0</v>
      </c>
      <c r="M317" s="97">
        <f t="shared" si="430"/>
        <v>0</v>
      </c>
      <c r="N317" s="97">
        <f t="shared" si="430"/>
        <v>0</v>
      </c>
      <c r="O317" s="97">
        <f t="shared" si="430"/>
        <v>0</v>
      </c>
      <c r="P317" s="97">
        <f t="shared" si="430"/>
        <v>0</v>
      </c>
      <c r="Q317" s="97">
        <f t="shared" si="430"/>
        <v>0</v>
      </c>
      <c r="R317" s="97">
        <f t="shared" si="430"/>
        <v>0</v>
      </c>
      <c r="S317" s="97">
        <f t="shared" si="430"/>
        <v>0</v>
      </c>
      <c r="T317" s="97">
        <f t="shared" si="430"/>
        <v>0</v>
      </c>
      <c r="U317" s="97">
        <f t="shared" si="430"/>
        <v>350143.8900000006</v>
      </c>
      <c r="V317" s="97">
        <f t="shared" si="430"/>
        <v>-1333347</v>
      </c>
      <c r="W317" s="97">
        <f>SUM(W312:W316)</f>
        <v>0</v>
      </c>
      <c r="X317" s="97">
        <f t="shared" ref="X317:AD317" si="431">SUM(X312:X316)</f>
        <v>0</v>
      </c>
      <c r="Y317" s="97">
        <f>SUM(Y312:Y316)</f>
        <v>0</v>
      </c>
      <c r="Z317" s="97">
        <f t="shared" si="431"/>
        <v>0</v>
      </c>
      <c r="AA317" s="97">
        <f t="shared" si="431"/>
        <v>0</v>
      </c>
      <c r="AB317" s="97">
        <f>SUM(AB312:AB316)</f>
        <v>1407.1100000000001</v>
      </c>
      <c r="AC317" s="97">
        <f t="shared" si="431"/>
        <v>0</v>
      </c>
      <c r="AD317" s="97">
        <f t="shared" si="431"/>
        <v>0</v>
      </c>
      <c r="AE317" s="97">
        <f>SUM(AE312:AE316)</f>
        <v>0</v>
      </c>
      <c r="AF317" s="97">
        <f>SUM(AF312:AF316)</f>
        <v>0</v>
      </c>
      <c r="AG317" s="97">
        <f>SUM(AG312:AG316)</f>
        <v>486430.25000000006</v>
      </c>
      <c r="AH317" s="97">
        <f t="shared" ref="AH317:AL317" si="432">SUM(AH312:AH316)</f>
        <v>0</v>
      </c>
      <c r="AI317" s="97">
        <f t="shared" si="432"/>
        <v>0</v>
      </c>
      <c r="AJ317" s="97">
        <f t="shared" si="432"/>
        <v>0</v>
      </c>
      <c r="AK317" s="97">
        <f t="shared" si="432"/>
        <v>0</v>
      </c>
      <c r="AL317" s="97">
        <f t="shared" si="432"/>
        <v>0</v>
      </c>
      <c r="AM317" s="97">
        <f>SUM(AM312:AM316)</f>
        <v>0</v>
      </c>
      <c r="AN317" s="97">
        <f>SUM(AN312:AN316)</f>
        <v>0</v>
      </c>
      <c r="AO317" s="97">
        <f>SUM(AO312:AO316)</f>
        <v>0</v>
      </c>
      <c r="AP317" s="97">
        <f>SUM(AP312:AP316)</f>
        <v>0</v>
      </c>
      <c r="AQ317" s="97">
        <f>SUM(AQ312:AQ316)</f>
        <v>0</v>
      </c>
      <c r="AR317" s="97">
        <f t="shared" ref="AR317" si="433">SUM(AR312:AR316)</f>
        <v>0</v>
      </c>
      <c r="AS317" s="97">
        <f>SUM(AS312:AS316)</f>
        <v>0</v>
      </c>
      <c r="AT317" s="97">
        <f t="shared" ref="AT317:AV317" si="434">SUM(AT312:AT316)</f>
        <v>0</v>
      </c>
      <c r="AU317" s="97">
        <f t="shared" si="434"/>
        <v>0</v>
      </c>
      <c r="AV317" s="97">
        <f t="shared" si="434"/>
        <v>0</v>
      </c>
      <c r="AW317" s="97">
        <f>SUM(AW312:AW316)</f>
        <v>0</v>
      </c>
      <c r="AX317" s="97">
        <f t="shared" ref="AX317:BF317" si="435">SUM(AX312:AX316)</f>
        <v>0</v>
      </c>
      <c r="AY317" s="97">
        <f t="shared" si="435"/>
        <v>0</v>
      </c>
      <c r="AZ317" s="97">
        <f t="shared" si="435"/>
        <v>0</v>
      </c>
      <c r="BA317" s="97">
        <f t="shared" si="435"/>
        <v>0</v>
      </c>
      <c r="BB317" s="97">
        <f t="shared" si="435"/>
        <v>0</v>
      </c>
      <c r="BC317" s="97">
        <f t="shared" si="435"/>
        <v>0</v>
      </c>
      <c r="BD317" s="97">
        <f t="shared" si="435"/>
        <v>0</v>
      </c>
      <c r="BE317" s="97">
        <f t="shared" si="435"/>
        <v>0</v>
      </c>
      <c r="BF317" s="97">
        <f t="shared" si="435"/>
        <v>0</v>
      </c>
    </row>
    <row r="318" spans="1:58" ht="14.1" customHeight="1">
      <c r="A318" s="75">
        <f t="shared" si="394"/>
        <v>312</v>
      </c>
      <c r="B318" s="121"/>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5"/>
      <c r="AL318" s="115"/>
      <c r="AM318" s="115"/>
      <c r="AN318" s="115"/>
      <c r="AO318" s="115"/>
      <c r="AP318" s="115"/>
      <c r="AQ318" s="115"/>
      <c r="AR318" s="115"/>
      <c r="AS318" s="115"/>
      <c r="AT318" s="115"/>
      <c r="AU318" s="115"/>
      <c r="AV318" s="115"/>
      <c r="AW318" s="115"/>
      <c r="AX318" s="115"/>
      <c r="AY318" s="115"/>
      <c r="AZ318" s="115"/>
      <c r="BA318" s="115"/>
      <c r="BB318" s="115"/>
      <c r="BC318" s="115"/>
      <c r="BD318" s="115"/>
      <c r="BE318" s="115"/>
      <c r="BF318" s="115"/>
    </row>
    <row r="319" spans="1:58" ht="14.1" customHeight="1">
      <c r="A319" s="75">
        <f t="shared" si="394"/>
        <v>313</v>
      </c>
      <c r="B319" s="108" t="s">
        <v>474</v>
      </c>
      <c r="C319" s="94">
        <f t="shared" ref="C319:V319" si="436">+C317+C310</f>
        <v>-41870977.429999992</v>
      </c>
      <c r="D319" s="94">
        <f t="shared" si="436"/>
        <v>0</v>
      </c>
      <c r="E319" s="94">
        <f t="shared" si="436"/>
        <v>0</v>
      </c>
      <c r="F319" s="94">
        <f t="shared" si="436"/>
        <v>0</v>
      </c>
      <c r="G319" s="94">
        <f t="shared" si="436"/>
        <v>0</v>
      </c>
      <c r="H319" s="94">
        <f t="shared" si="436"/>
        <v>0</v>
      </c>
      <c r="I319" s="94">
        <f t="shared" si="436"/>
        <v>0</v>
      </c>
      <c r="J319" s="94">
        <f t="shared" si="436"/>
        <v>0</v>
      </c>
      <c r="K319" s="94">
        <f t="shared" si="436"/>
        <v>0</v>
      </c>
      <c r="L319" s="94">
        <f t="shared" si="436"/>
        <v>-42632032</v>
      </c>
      <c r="M319" s="94">
        <f t="shared" si="436"/>
        <v>0</v>
      </c>
      <c r="N319" s="94">
        <f t="shared" si="436"/>
        <v>0</v>
      </c>
      <c r="O319" s="94">
        <f t="shared" si="436"/>
        <v>0</v>
      </c>
      <c r="P319" s="94">
        <f t="shared" si="436"/>
        <v>0</v>
      </c>
      <c r="Q319" s="94">
        <f t="shared" si="436"/>
        <v>0</v>
      </c>
      <c r="R319" s="94">
        <f t="shared" si="436"/>
        <v>0</v>
      </c>
      <c r="S319" s="94">
        <f t="shared" si="436"/>
        <v>0</v>
      </c>
      <c r="T319" s="94">
        <f t="shared" si="436"/>
        <v>0</v>
      </c>
      <c r="U319" s="94">
        <f t="shared" si="436"/>
        <v>2434681.880000012</v>
      </c>
      <c r="V319" s="94">
        <f t="shared" si="436"/>
        <v>-3541349</v>
      </c>
      <c r="W319" s="94">
        <f>+W317+W310</f>
        <v>0</v>
      </c>
      <c r="X319" s="94">
        <f t="shared" ref="X319:AD319" si="437">+X317+X310</f>
        <v>0</v>
      </c>
      <c r="Y319" s="94">
        <f>+Y317+Y310</f>
        <v>0</v>
      </c>
      <c r="Z319" s="94">
        <f t="shared" si="437"/>
        <v>0</v>
      </c>
      <c r="AA319" s="94">
        <f t="shared" si="437"/>
        <v>0</v>
      </c>
      <c r="AB319" s="94">
        <f>+AB317+AB310</f>
        <v>8701.0299999999988</v>
      </c>
      <c r="AC319" s="94">
        <f t="shared" si="437"/>
        <v>0</v>
      </c>
      <c r="AD319" s="94">
        <f t="shared" si="437"/>
        <v>0</v>
      </c>
      <c r="AE319" s="94">
        <f>+AE317+AE310</f>
        <v>0</v>
      </c>
      <c r="AF319" s="94">
        <f>+AF317+AF310</f>
        <v>-741761</v>
      </c>
      <c r="AG319" s="94">
        <f>+AG317+AG310</f>
        <v>1388584.01</v>
      </c>
      <c r="AH319" s="94">
        <f t="shared" ref="AH319:AL319" si="438">+AH317+AH310</f>
        <v>0</v>
      </c>
      <c r="AI319" s="94">
        <f t="shared" si="438"/>
        <v>0</v>
      </c>
      <c r="AJ319" s="94">
        <f t="shared" si="438"/>
        <v>0</v>
      </c>
      <c r="AK319" s="94">
        <f t="shared" si="438"/>
        <v>0</v>
      </c>
      <c r="AL319" s="94">
        <f t="shared" si="438"/>
        <v>0</v>
      </c>
      <c r="AM319" s="94">
        <f>+AM317+AM310</f>
        <v>0</v>
      </c>
      <c r="AN319" s="94">
        <f>+AN317+AN310</f>
        <v>0</v>
      </c>
      <c r="AO319" s="94">
        <f>+AO317+AO310</f>
        <v>0</v>
      </c>
      <c r="AP319" s="94">
        <f>+AP317+AP310</f>
        <v>0</v>
      </c>
      <c r="AQ319" s="94">
        <f>+AQ317+AQ310</f>
        <v>1212197.6499999999</v>
      </c>
      <c r="AR319" s="94">
        <f t="shared" ref="AR319" si="439">+AR317+AR310</f>
        <v>0</v>
      </c>
      <c r="AS319" s="94">
        <f>+AS317+AS310</f>
        <v>0</v>
      </c>
      <c r="AT319" s="94">
        <f t="shared" ref="AT319:AV319" si="440">+AT317+AT310</f>
        <v>0</v>
      </c>
      <c r="AU319" s="94">
        <f t="shared" si="440"/>
        <v>0</v>
      </c>
      <c r="AV319" s="94">
        <f t="shared" si="440"/>
        <v>0</v>
      </c>
      <c r="AW319" s="94">
        <f>+AW317+AW310</f>
        <v>0</v>
      </c>
      <c r="AX319" s="94">
        <f t="shared" ref="AX319:BF319" si="441">+AX317+AX310</f>
        <v>0</v>
      </c>
      <c r="AY319" s="94">
        <f t="shared" si="441"/>
        <v>0</v>
      </c>
      <c r="AZ319" s="94">
        <f t="shared" si="441"/>
        <v>0</v>
      </c>
      <c r="BA319" s="94">
        <f t="shared" si="441"/>
        <v>0</v>
      </c>
      <c r="BB319" s="94">
        <f t="shared" si="441"/>
        <v>0</v>
      </c>
      <c r="BC319" s="94">
        <f t="shared" si="441"/>
        <v>0</v>
      </c>
      <c r="BD319" s="94">
        <f t="shared" si="441"/>
        <v>0</v>
      </c>
      <c r="BE319" s="94">
        <f t="shared" si="441"/>
        <v>0</v>
      </c>
      <c r="BF319" s="94">
        <f t="shared" si="441"/>
        <v>0</v>
      </c>
    </row>
    <row r="320" spans="1:58" ht="14.1" customHeight="1">
      <c r="A320" s="75">
        <f t="shared" si="394"/>
        <v>314</v>
      </c>
      <c r="B320" s="89"/>
      <c r="C320" s="89"/>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row>
    <row r="321" spans="1:58" ht="14.1" customHeight="1">
      <c r="A321" s="75">
        <f t="shared" si="394"/>
        <v>315</v>
      </c>
      <c r="B321" s="81" t="s">
        <v>475</v>
      </c>
      <c r="C321" s="81"/>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c r="AB321" s="87"/>
      <c r="AC321" s="87"/>
      <c r="AD321" s="87"/>
      <c r="AE321" s="87"/>
      <c r="AF321" s="87"/>
      <c r="AG321" s="87"/>
      <c r="AH321" s="87"/>
      <c r="AI321" s="87"/>
      <c r="AJ321" s="87"/>
      <c r="AK321" s="87"/>
      <c r="AL321" s="87"/>
      <c r="AM321" s="87"/>
      <c r="AN321" s="87"/>
      <c r="AO321" s="87"/>
      <c r="AP321" s="87"/>
      <c r="AQ321" s="87"/>
      <c r="AR321" s="87"/>
      <c r="AS321" s="87"/>
      <c r="AT321" s="87"/>
      <c r="AU321" s="87"/>
      <c r="AV321" s="87"/>
      <c r="AW321" s="87"/>
      <c r="AX321" s="87"/>
      <c r="AY321" s="87"/>
      <c r="AZ321" s="87"/>
      <c r="BA321" s="87"/>
      <c r="BB321" s="87"/>
      <c r="BC321" s="87"/>
      <c r="BD321" s="87"/>
      <c r="BE321" s="87"/>
      <c r="BF321" s="87"/>
    </row>
    <row r="322" spans="1:58" ht="14.1" customHeight="1">
      <c r="A322" s="75">
        <f t="shared" si="394"/>
        <v>316</v>
      </c>
      <c r="B322" s="76" t="s">
        <v>476</v>
      </c>
      <c r="C322" s="80">
        <f>SUM(D322:BF322)</f>
        <v>0</v>
      </c>
      <c r="D322" s="87"/>
      <c r="E322" s="87"/>
      <c r="F322" s="87"/>
      <c r="G322" s="87"/>
      <c r="H322" s="87"/>
      <c r="I322" s="87"/>
      <c r="J322" s="87"/>
      <c r="K322" s="87"/>
      <c r="L322" s="87"/>
      <c r="M322" s="87"/>
      <c r="N322" s="87"/>
      <c r="O322" s="87"/>
      <c r="P322" s="87"/>
      <c r="Q322" s="87"/>
      <c r="R322" s="87"/>
      <c r="S322" s="87"/>
      <c r="T322" s="87"/>
      <c r="U322" s="87">
        <v>0</v>
      </c>
      <c r="V322" s="87"/>
      <c r="W322" s="87"/>
      <c r="X322" s="87"/>
      <c r="Y322" s="87"/>
      <c r="Z322" s="87"/>
      <c r="AA322" s="87"/>
      <c r="AB322" s="87"/>
      <c r="AC322" s="87"/>
      <c r="AD322" s="87"/>
      <c r="AE322" s="87"/>
      <c r="AF322" s="87"/>
      <c r="AG322" s="87"/>
      <c r="AH322" s="87"/>
      <c r="AI322" s="87"/>
      <c r="AJ322" s="87"/>
      <c r="AK322" s="87"/>
      <c r="AL322" s="87"/>
      <c r="AM322" s="87"/>
      <c r="AN322" s="87"/>
      <c r="AO322" s="87"/>
      <c r="AP322" s="87"/>
      <c r="AQ322" s="87"/>
      <c r="AR322" s="87"/>
      <c r="AS322" s="87"/>
      <c r="AT322" s="87"/>
      <c r="AU322" s="87"/>
      <c r="AV322" s="87"/>
      <c r="AW322" s="87"/>
      <c r="AX322" s="87"/>
      <c r="AY322" s="87"/>
      <c r="AZ322" s="87"/>
      <c r="BA322" s="87"/>
      <c r="BB322" s="87"/>
      <c r="BC322" s="87"/>
      <c r="BD322" s="87"/>
      <c r="BE322" s="87"/>
      <c r="BF322" s="87"/>
    </row>
    <row r="323" spans="1:58" ht="14.1" customHeight="1">
      <c r="A323" s="75">
        <f t="shared" si="394"/>
        <v>317</v>
      </c>
      <c r="B323" s="76" t="s">
        <v>477</v>
      </c>
      <c r="C323" s="80">
        <f>SUM(D323:BF323)</f>
        <v>-1919782.4796493505</v>
      </c>
      <c r="D323" s="87">
        <v>0</v>
      </c>
      <c r="E323" s="87">
        <v>0</v>
      </c>
      <c r="F323" s="87">
        <v>0</v>
      </c>
      <c r="G323" s="87">
        <v>0</v>
      </c>
      <c r="H323" s="87">
        <v>0</v>
      </c>
      <c r="I323" s="87">
        <v>0</v>
      </c>
      <c r="J323" s="87">
        <v>0</v>
      </c>
      <c r="K323" s="87">
        <v>0</v>
      </c>
      <c r="L323" s="87">
        <v>0</v>
      </c>
      <c r="M323" s="87">
        <v>0</v>
      </c>
      <c r="N323" s="87">
        <v>0</v>
      </c>
      <c r="O323" s="87">
        <v>0</v>
      </c>
      <c r="P323" s="87">
        <v>0</v>
      </c>
      <c r="Q323" s="125">
        <v>-1596917.7332181961</v>
      </c>
      <c r="R323" s="87">
        <v>-428368.74643115525</v>
      </c>
      <c r="S323" s="87">
        <v>0</v>
      </c>
      <c r="T323" s="87">
        <v>0</v>
      </c>
      <c r="U323" s="87">
        <v>105504.00000000093</v>
      </c>
      <c r="V323" s="87">
        <v>0</v>
      </c>
      <c r="W323" s="87">
        <v>0</v>
      </c>
      <c r="X323" s="87">
        <v>0</v>
      </c>
      <c r="Y323" s="87">
        <v>0</v>
      </c>
      <c r="Z323" s="87">
        <v>0</v>
      </c>
      <c r="AA323" s="87">
        <v>0</v>
      </c>
      <c r="AB323" s="87">
        <v>0</v>
      </c>
      <c r="AC323" s="87">
        <v>0</v>
      </c>
      <c r="AD323" s="87">
        <v>0</v>
      </c>
      <c r="AE323" s="87">
        <v>0</v>
      </c>
      <c r="AF323" s="87">
        <v>0</v>
      </c>
      <c r="AG323" s="87">
        <v>0</v>
      </c>
      <c r="AH323" s="87">
        <v>0</v>
      </c>
      <c r="AI323" s="87">
        <v>0</v>
      </c>
      <c r="AJ323" s="87">
        <v>0</v>
      </c>
      <c r="AK323" s="87">
        <v>0</v>
      </c>
      <c r="AL323" s="87">
        <v>0</v>
      </c>
      <c r="AM323" s="87">
        <v>0</v>
      </c>
      <c r="AN323" s="87">
        <v>0</v>
      </c>
      <c r="AO323" s="87">
        <v>0</v>
      </c>
      <c r="AP323" s="87">
        <v>0</v>
      </c>
      <c r="AQ323" s="87">
        <v>0</v>
      </c>
      <c r="AR323" s="87">
        <v>0</v>
      </c>
      <c r="AS323" s="87">
        <v>0</v>
      </c>
      <c r="AT323" s="87">
        <v>0</v>
      </c>
      <c r="AU323" s="87">
        <v>0</v>
      </c>
      <c r="AV323" s="87">
        <v>0</v>
      </c>
      <c r="AW323" s="87">
        <v>0</v>
      </c>
      <c r="AX323" s="87">
        <v>0</v>
      </c>
      <c r="AY323" s="87">
        <v>0</v>
      </c>
      <c r="AZ323" s="87">
        <v>0</v>
      </c>
      <c r="BA323" s="87">
        <v>0</v>
      </c>
      <c r="BB323" s="87">
        <v>0</v>
      </c>
      <c r="BC323" s="87">
        <v>0</v>
      </c>
      <c r="BD323" s="87">
        <v>0</v>
      </c>
      <c r="BE323" s="87">
        <v>0</v>
      </c>
      <c r="BF323" s="87">
        <v>0</v>
      </c>
    </row>
    <row r="324" spans="1:58" ht="14.1" customHeight="1">
      <c r="A324" s="75">
        <f t="shared" si="394"/>
        <v>318</v>
      </c>
      <c r="B324" s="76" t="s">
        <v>479</v>
      </c>
      <c r="C324" s="80">
        <f>SUM(D324:BF324)</f>
        <v>2368029.9899999946</v>
      </c>
      <c r="D324" s="87">
        <v>0</v>
      </c>
      <c r="E324" s="87">
        <v>0</v>
      </c>
      <c r="F324" s="87">
        <v>0</v>
      </c>
      <c r="G324" s="87">
        <v>0</v>
      </c>
      <c r="H324" s="87">
        <v>0</v>
      </c>
      <c r="I324" s="87">
        <v>0</v>
      </c>
      <c r="J324" s="87">
        <v>0</v>
      </c>
      <c r="K324" s="87">
        <v>0</v>
      </c>
      <c r="L324" s="87">
        <v>0</v>
      </c>
      <c r="M324" s="87">
        <f>3880379-3268780</f>
        <v>611599</v>
      </c>
      <c r="N324" s="87">
        <v>0</v>
      </c>
      <c r="O324" s="87">
        <v>0</v>
      </c>
      <c r="P324" s="87">
        <v>0</v>
      </c>
      <c r="Q324" s="87">
        <v>0</v>
      </c>
      <c r="R324" s="87">
        <v>0</v>
      </c>
      <c r="S324" s="87">
        <v>0</v>
      </c>
      <c r="T324" s="87">
        <v>0</v>
      </c>
      <c r="U324" s="87">
        <v>1756430.9899999946</v>
      </c>
      <c r="V324" s="87">
        <v>0</v>
      </c>
      <c r="W324" s="87">
        <v>0</v>
      </c>
      <c r="X324" s="87">
        <v>0</v>
      </c>
      <c r="Y324" s="87">
        <v>0</v>
      </c>
      <c r="Z324" s="87">
        <v>0</v>
      </c>
      <c r="AA324" s="87">
        <v>0</v>
      </c>
      <c r="AB324" s="87">
        <v>0</v>
      </c>
      <c r="AC324" s="87">
        <v>0</v>
      </c>
      <c r="AD324" s="87">
        <v>0</v>
      </c>
      <c r="AE324" s="87">
        <v>0</v>
      </c>
      <c r="AF324" s="87">
        <v>0</v>
      </c>
      <c r="AG324" s="87">
        <v>0</v>
      </c>
      <c r="AH324" s="87">
        <v>0</v>
      </c>
      <c r="AI324" s="87">
        <v>0</v>
      </c>
      <c r="AJ324" s="87">
        <v>0</v>
      </c>
      <c r="AK324" s="87">
        <v>0</v>
      </c>
      <c r="AL324" s="87">
        <v>0</v>
      </c>
      <c r="AM324" s="87">
        <v>0</v>
      </c>
      <c r="AN324" s="87">
        <v>0</v>
      </c>
      <c r="AO324" s="87">
        <v>0</v>
      </c>
      <c r="AP324" s="87">
        <v>0</v>
      </c>
      <c r="AQ324" s="87">
        <v>0</v>
      </c>
      <c r="AR324" s="87">
        <v>0</v>
      </c>
      <c r="AS324" s="87">
        <v>0</v>
      </c>
      <c r="AT324" s="87">
        <v>0</v>
      </c>
      <c r="AU324" s="87">
        <v>0</v>
      </c>
      <c r="AV324" s="87">
        <v>0</v>
      </c>
      <c r="AW324" s="87">
        <v>0</v>
      </c>
      <c r="AX324" s="87">
        <v>0</v>
      </c>
      <c r="AY324" s="87">
        <v>0</v>
      </c>
      <c r="AZ324" s="87">
        <v>0</v>
      </c>
      <c r="BA324" s="87">
        <v>0</v>
      </c>
      <c r="BB324" s="87">
        <v>0</v>
      </c>
      <c r="BC324" s="87">
        <v>0</v>
      </c>
      <c r="BD324" s="87">
        <v>0</v>
      </c>
      <c r="BE324" s="87">
        <v>0</v>
      </c>
      <c r="BF324" s="87">
        <v>0</v>
      </c>
    </row>
    <row r="325" spans="1:58" ht="14.1" customHeight="1">
      <c r="A325" s="75">
        <f t="shared" si="394"/>
        <v>319</v>
      </c>
      <c r="B325" s="76" t="s">
        <v>482</v>
      </c>
      <c r="C325" s="80">
        <f>SUM(D325:BF325)</f>
        <v>949.10000000000582</v>
      </c>
      <c r="D325" s="87">
        <v>0</v>
      </c>
      <c r="E325" s="87">
        <v>0</v>
      </c>
      <c r="F325" s="87">
        <v>0</v>
      </c>
      <c r="G325" s="87">
        <v>0</v>
      </c>
      <c r="H325" s="87">
        <v>0</v>
      </c>
      <c r="I325" s="87">
        <v>0</v>
      </c>
      <c r="J325" s="87">
        <v>0</v>
      </c>
      <c r="K325" s="87">
        <v>0</v>
      </c>
      <c r="L325" s="87">
        <v>0</v>
      </c>
      <c r="M325" s="87">
        <v>0</v>
      </c>
      <c r="N325" s="87">
        <v>0</v>
      </c>
      <c r="O325" s="87">
        <v>0</v>
      </c>
      <c r="P325" s="87">
        <v>0</v>
      </c>
      <c r="Q325" s="87">
        <v>0</v>
      </c>
      <c r="R325" s="87">
        <v>0</v>
      </c>
      <c r="S325" s="87">
        <v>0</v>
      </c>
      <c r="T325" s="87">
        <v>0</v>
      </c>
      <c r="U325" s="87">
        <v>949.10000000000582</v>
      </c>
      <c r="V325" s="87">
        <v>0</v>
      </c>
      <c r="W325" s="87">
        <v>0</v>
      </c>
      <c r="X325" s="87">
        <v>0</v>
      </c>
      <c r="Y325" s="87">
        <v>0</v>
      </c>
      <c r="Z325" s="87">
        <v>0</v>
      </c>
      <c r="AA325" s="87">
        <v>0</v>
      </c>
      <c r="AB325" s="87">
        <v>0</v>
      </c>
      <c r="AC325" s="87">
        <v>0</v>
      </c>
      <c r="AD325" s="87">
        <v>0</v>
      </c>
      <c r="AE325" s="87">
        <v>0</v>
      </c>
      <c r="AF325" s="87">
        <v>0</v>
      </c>
      <c r="AG325" s="87">
        <v>0</v>
      </c>
      <c r="AH325" s="87">
        <v>0</v>
      </c>
      <c r="AI325" s="87">
        <v>0</v>
      </c>
      <c r="AJ325" s="87">
        <v>0</v>
      </c>
      <c r="AK325" s="87">
        <v>0</v>
      </c>
      <c r="AL325" s="87">
        <v>0</v>
      </c>
      <c r="AM325" s="87">
        <v>0</v>
      </c>
      <c r="AN325" s="87">
        <v>0</v>
      </c>
      <c r="AO325" s="87">
        <v>0</v>
      </c>
      <c r="AP325" s="87">
        <v>0</v>
      </c>
      <c r="AQ325" s="87">
        <v>0</v>
      </c>
      <c r="AR325" s="87">
        <v>0</v>
      </c>
      <c r="AS325" s="87">
        <v>0</v>
      </c>
      <c r="AT325" s="87">
        <v>0</v>
      </c>
      <c r="AU325" s="87">
        <v>0</v>
      </c>
      <c r="AV325" s="87">
        <v>0</v>
      </c>
      <c r="AW325" s="87">
        <v>0</v>
      </c>
      <c r="AX325" s="87">
        <v>0</v>
      </c>
      <c r="AY325" s="87">
        <v>0</v>
      </c>
      <c r="AZ325" s="87">
        <v>0</v>
      </c>
      <c r="BA325" s="87">
        <v>0</v>
      </c>
      <c r="BB325" s="87">
        <v>0</v>
      </c>
      <c r="BC325" s="87">
        <v>0</v>
      </c>
      <c r="BD325" s="87">
        <v>0</v>
      </c>
      <c r="BE325" s="87">
        <v>0</v>
      </c>
      <c r="BF325" s="87">
        <v>0</v>
      </c>
    </row>
    <row r="326" spans="1:58" ht="14.1" customHeight="1">
      <c r="A326" s="75">
        <f t="shared" si="394"/>
        <v>320</v>
      </c>
      <c r="B326" s="90" t="s">
        <v>483</v>
      </c>
      <c r="C326" s="80">
        <f>SUM(D326:BF326)</f>
        <v>11903.860000000102</v>
      </c>
      <c r="D326" s="87">
        <v>0</v>
      </c>
      <c r="E326" s="87">
        <v>0</v>
      </c>
      <c r="F326" s="87">
        <v>0</v>
      </c>
      <c r="G326" s="87">
        <v>0</v>
      </c>
      <c r="H326" s="87">
        <v>0</v>
      </c>
      <c r="I326" s="87">
        <v>0</v>
      </c>
      <c r="J326" s="87">
        <v>0</v>
      </c>
      <c r="K326" s="87">
        <v>0</v>
      </c>
      <c r="L326" s="87">
        <v>0</v>
      </c>
      <c r="M326" s="87">
        <v>0</v>
      </c>
      <c r="N326" s="87">
        <v>0</v>
      </c>
      <c r="O326" s="87">
        <v>0</v>
      </c>
      <c r="P326" s="87">
        <v>0</v>
      </c>
      <c r="Q326" s="87">
        <v>0</v>
      </c>
      <c r="R326" s="87">
        <v>0</v>
      </c>
      <c r="S326" s="87">
        <v>0</v>
      </c>
      <c r="T326" s="87">
        <v>0</v>
      </c>
      <c r="U326" s="87">
        <v>11903.860000000102</v>
      </c>
      <c r="V326" s="87">
        <v>0</v>
      </c>
      <c r="W326" s="87">
        <v>0</v>
      </c>
      <c r="X326" s="87">
        <v>0</v>
      </c>
      <c r="Y326" s="87">
        <v>0</v>
      </c>
      <c r="Z326" s="87">
        <v>0</v>
      </c>
      <c r="AA326" s="87">
        <v>0</v>
      </c>
      <c r="AB326" s="87">
        <v>0</v>
      </c>
      <c r="AC326" s="87">
        <v>0</v>
      </c>
      <c r="AD326" s="87">
        <v>0</v>
      </c>
      <c r="AE326" s="87">
        <v>0</v>
      </c>
      <c r="AF326" s="87">
        <v>0</v>
      </c>
      <c r="AG326" s="87">
        <v>0</v>
      </c>
      <c r="AH326" s="87">
        <v>0</v>
      </c>
      <c r="AI326" s="87">
        <v>0</v>
      </c>
      <c r="AJ326" s="87">
        <v>0</v>
      </c>
      <c r="AK326" s="87">
        <v>0</v>
      </c>
      <c r="AL326" s="87">
        <v>0</v>
      </c>
      <c r="AM326" s="87">
        <v>0</v>
      </c>
      <c r="AN326" s="87">
        <v>0</v>
      </c>
      <c r="AO326" s="87">
        <v>0</v>
      </c>
      <c r="AP326" s="87">
        <v>0</v>
      </c>
      <c r="AQ326" s="87">
        <v>0</v>
      </c>
      <c r="AR326" s="87">
        <v>0</v>
      </c>
      <c r="AS326" s="87">
        <v>0</v>
      </c>
      <c r="AT326" s="87">
        <v>0</v>
      </c>
      <c r="AU326" s="87">
        <v>0</v>
      </c>
      <c r="AV326" s="87">
        <v>0</v>
      </c>
      <c r="AW326" s="87">
        <v>0</v>
      </c>
      <c r="AX326" s="87">
        <v>0</v>
      </c>
      <c r="AY326" s="87">
        <v>0</v>
      </c>
      <c r="AZ326" s="87">
        <v>0</v>
      </c>
      <c r="BA326" s="87">
        <v>0</v>
      </c>
      <c r="BB326" s="87">
        <v>0</v>
      </c>
      <c r="BC326" s="87">
        <v>0</v>
      </c>
      <c r="BD326" s="87">
        <v>0</v>
      </c>
      <c r="BE326" s="87">
        <v>0</v>
      </c>
      <c r="BF326" s="87">
        <v>0</v>
      </c>
    </row>
    <row r="327" spans="1:58" s="89" customFormat="1" ht="14.1" customHeight="1">
      <c r="A327" s="75">
        <f t="shared" si="394"/>
        <v>321</v>
      </c>
      <c r="B327" s="108" t="s">
        <v>773</v>
      </c>
      <c r="C327" s="97">
        <f t="shared" ref="C327:AU327" si="442">SUM(C322:C326)</f>
        <v>461100.4703506442</v>
      </c>
      <c r="D327" s="97">
        <f t="shared" si="442"/>
        <v>0</v>
      </c>
      <c r="E327" s="97">
        <f t="shared" si="442"/>
        <v>0</v>
      </c>
      <c r="F327" s="97">
        <f t="shared" si="442"/>
        <v>0</v>
      </c>
      <c r="G327" s="97">
        <f t="shared" si="442"/>
        <v>0</v>
      </c>
      <c r="H327" s="97">
        <f t="shared" si="442"/>
        <v>0</v>
      </c>
      <c r="I327" s="97">
        <f t="shared" si="442"/>
        <v>0</v>
      </c>
      <c r="J327" s="97">
        <f t="shared" si="442"/>
        <v>0</v>
      </c>
      <c r="K327" s="97">
        <f t="shared" si="442"/>
        <v>0</v>
      </c>
      <c r="L327" s="97">
        <f t="shared" si="442"/>
        <v>0</v>
      </c>
      <c r="M327" s="97">
        <f t="shared" si="442"/>
        <v>611599</v>
      </c>
      <c r="N327" s="97">
        <f t="shared" si="442"/>
        <v>0</v>
      </c>
      <c r="O327" s="97">
        <f t="shared" si="442"/>
        <v>0</v>
      </c>
      <c r="P327" s="97">
        <f t="shared" si="442"/>
        <v>0</v>
      </c>
      <c r="Q327" s="97">
        <f t="shared" si="442"/>
        <v>-1596917.7332181961</v>
      </c>
      <c r="R327" s="97">
        <f t="shared" si="442"/>
        <v>-428368.74643115525</v>
      </c>
      <c r="S327" s="97">
        <f t="shared" si="442"/>
        <v>0</v>
      </c>
      <c r="T327" s="97">
        <f t="shared" si="442"/>
        <v>0</v>
      </c>
      <c r="U327" s="97">
        <f t="shared" si="442"/>
        <v>1874787.9499999958</v>
      </c>
      <c r="V327" s="97">
        <f t="shared" si="442"/>
        <v>0</v>
      </c>
      <c r="W327" s="97">
        <f t="shared" si="442"/>
        <v>0</v>
      </c>
      <c r="X327" s="97">
        <f t="shared" si="442"/>
        <v>0</v>
      </c>
      <c r="Y327" s="97">
        <f t="shared" si="442"/>
        <v>0</v>
      </c>
      <c r="Z327" s="97">
        <f t="shared" si="442"/>
        <v>0</v>
      </c>
      <c r="AA327" s="97">
        <f t="shared" si="442"/>
        <v>0</v>
      </c>
      <c r="AB327" s="97">
        <f t="shared" si="442"/>
        <v>0</v>
      </c>
      <c r="AC327" s="97">
        <f t="shared" si="442"/>
        <v>0</v>
      </c>
      <c r="AD327" s="97">
        <f t="shared" si="442"/>
        <v>0</v>
      </c>
      <c r="AE327" s="97">
        <f t="shared" si="442"/>
        <v>0</v>
      </c>
      <c r="AF327" s="97">
        <f t="shared" si="442"/>
        <v>0</v>
      </c>
      <c r="AG327" s="97">
        <f t="shared" si="442"/>
        <v>0</v>
      </c>
      <c r="AH327" s="97">
        <f t="shared" si="442"/>
        <v>0</v>
      </c>
      <c r="AI327" s="97">
        <f t="shared" si="442"/>
        <v>0</v>
      </c>
      <c r="AJ327" s="97">
        <f t="shared" si="442"/>
        <v>0</v>
      </c>
      <c r="AK327" s="97">
        <f t="shared" si="442"/>
        <v>0</v>
      </c>
      <c r="AL327" s="97">
        <f t="shared" si="442"/>
        <v>0</v>
      </c>
      <c r="AM327" s="97">
        <f t="shared" si="442"/>
        <v>0</v>
      </c>
      <c r="AN327" s="97">
        <f t="shared" si="442"/>
        <v>0</v>
      </c>
      <c r="AO327" s="97">
        <f t="shared" si="442"/>
        <v>0</v>
      </c>
      <c r="AP327" s="97">
        <f t="shared" si="442"/>
        <v>0</v>
      </c>
      <c r="AQ327" s="97">
        <f t="shared" si="442"/>
        <v>0</v>
      </c>
      <c r="AR327" s="97">
        <f t="shared" si="442"/>
        <v>0</v>
      </c>
      <c r="AS327" s="97">
        <f t="shared" si="442"/>
        <v>0</v>
      </c>
      <c r="AT327" s="97">
        <f t="shared" si="442"/>
        <v>0</v>
      </c>
      <c r="AU327" s="97">
        <f t="shared" si="442"/>
        <v>0</v>
      </c>
      <c r="AV327" s="97">
        <f>SUM(AV322:AV326)</f>
        <v>0</v>
      </c>
      <c r="AW327" s="97">
        <f>SUM(AW322:AW326)</f>
        <v>0</v>
      </c>
      <c r="AX327" s="97">
        <f t="shared" ref="AX327:BF327" si="443">SUM(AX322:AX326)</f>
        <v>0</v>
      </c>
      <c r="AY327" s="97">
        <f t="shared" si="443"/>
        <v>0</v>
      </c>
      <c r="AZ327" s="97">
        <f t="shared" si="443"/>
        <v>0</v>
      </c>
      <c r="BA327" s="97">
        <f t="shared" si="443"/>
        <v>0</v>
      </c>
      <c r="BB327" s="97">
        <f t="shared" si="443"/>
        <v>0</v>
      </c>
      <c r="BC327" s="97">
        <f t="shared" si="443"/>
        <v>0</v>
      </c>
      <c r="BD327" s="97">
        <f t="shared" si="443"/>
        <v>0</v>
      </c>
      <c r="BE327" s="97">
        <f t="shared" si="443"/>
        <v>0</v>
      </c>
      <c r="BF327" s="97">
        <f t="shared" si="443"/>
        <v>0</v>
      </c>
    </row>
    <row r="328" spans="1:58" s="89" customFormat="1" ht="14.1" customHeight="1">
      <c r="A328" s="75">
        <f t="shared" si="394"/>
        <v>322</v>
      </c>
      <c r="B328" s="108"/>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row>
    <row r="329" spans="1:58" ht="14.1" customHeight="1">
      <c r="A329" s="75">
        <f t="shared" si="394"/>
        <v>323</v>
      </c>
      <c r="B329" s="90" t="s">
        <v>486</v>
      </c>
      <c r="C329" s="80">
        <f>SUM(D329:BF329)</f>
        <v>43.700000000000273</v>
      </c>
      <c r="D329" s="87">
        <v>0</v>
      </c>
      <c r="E329" s="87">
        <v>0</v>
      </c>
      <c r="F329" s="87">
        <v>0</v>
      </c>
      <c r="G329" s="87">
        <v>0</v>
      </c>
      <c r="H329" s="87">
        <v>0</v>
      </c>
      <c r="I329" s="87">
        <v>0</v>
      </c>
      <c r="J329" s="87">
        <v>0</v>
      </c>
      <c r="K329" s="87">
        <v>0</v>
      </c>
      <c r="L329" s="87">
        <v>0</v>
      </c>
      <c r="M329" s="87">
        <v>0</v>
      </c>
      <c r="N329" s="87">
        <v>0</v>
      </c>
      <c r="O329" s="87">
        <v>0</v>
      </c>
      <c r="P329" s="87">
        <v>0</v>
      </c>
      <c r="Q329" s="87">
        <v>0</v>
      </c>
      <c r="R329" s="87">
        <v>0</v>
      </c>
      <c r="S329" s="87">
        <v>0</v>
      </c>
      <c r="T329" s="87">
        <v>0</v>
      </c>
      <c r="U329" s="87">
        <v>43.700000000000273</v>
      </c>
      <c r="V329" s="87">
        <v>0</v>
      </c>
      <c r="W329" s="87">
        <v>0</v>
      </c>
      <c r="X329" s="87">
        <v>0</v>
      </c>
      <c r="Y329" s="87">
        <v>0</v>
      </c>
      <c r="Z329" s="87">
        <v>0</v>
      </c>
      <c r="AA329" s="87">
        <v>0</v>
      </c>
      <c r="AB329" s="87">
        <v>0</v>
      </c>
      <c r="AC329" s="87">
        <v>0</v>
      </c>
      <c r="AD329" s="87">
        <v>0</v>
      </c>
      <c r="AE329" s="87">
        <v>0</v>
      </c>
      <c r="AF329" s="87">
        <v>0</v>
      </c>
      <c r="AG329" s="87">
        <v>0</v>
      </c>
      <c r="AH329" s="87">
        <v>0</v>
      </c>
      <c r="AI329" s="87">
        <v>0</v>
      </c>
      <c r="AJ329" s="87">
        <v>0</v>
      </c>
      <c r="AK329" s="87">
        <v>0</v>
      </c>
      <c r="AL329" s="87">
        <v>0</v>
      </c>
      <c r="AM329" s="87">
        <v>0</v>
      </c>
      <c r="AN329" s="87">
        <v>0</v>
      </c>
      <c r="AO329" s="87">
        <v>0</v>
      </c>
      <c r="AP329" s="87">
        <v>0</v>
      </c>
      <c r="AQ329" s="87">
        <v>0</v>
      </c>
      <c r="AR329" s="87">
        <v>0</v>
      </c>
      <c r="AS329" s="87">
        <v>0</v>
      </c>
      <c r="AT329" s="87">
        <v>0</v>
      </c>
      <c r="AU329" s="87">
        <v>0</v>
      </c>
      <c r="AV329" s="87">
        <v>0</v>
      </c>
      <c r="AW329" s="87">
        <v>0</v>
      </c>
      <c r="AX329" s="87">
        <v>0</v>
      </c>
      <c r="AY329" s="87">
        <v>0</v>
      </c>
      <c r="AZ329" s="87">
        <v>0</v>
      </c>
      <c r="BA329" s="87">
        <v>0</v>
      </c>
      <c r="BB329" s="87">
        <v>0</v>
      </c>
      <c r="BC329" s="87">
        <v>0</v>
      </c>
      <c r="BD329" s="87">
        <v>0</v>
      </c>
      <c r="BE329" s="87">
        <v>0</v>
      </c>
      <c r="BF329" s="87">
        <v>0</v>
      </c>
    </row>
    <row r="330" spans="1:58" s="89" customFormat="1" ht="14.1" customHeight="1">
      <c r="A330" s="75">
        <f t="shared" si="394"/>
        <v>324</v>
      </c>
      <c r="B330" s="108" t="s">
        <v>488</v>
      </c>
      <c r="C330" s="97">
        <f t="shared" ref="C330:I330" si="444">SUM(C329)</f>
        <v>43.700000000000273</v>
      </c>
      <c r="D330" s="97">
        <f t="shared" si="444"/>
        <v>0</v>
      </c>
      <c r="E330" s="97">
        <f t="shared" si="444"/>
        <v>0</v>
      </c>
      <c r="F330" s="97">
        <f t="shared" si="444"/>
        <v>0</v>
      </c>
      <c r="G330" s="97">
        <f t="shared" si="444"/>
        <v>0</v>
      </c>
      <c r="H330" s="97">
        <f t="shared" si="444"/>
        <v>0</v>
      </c>
      <c r="I330" s="97">
        <f t="shared" si="444"/>
        <v>0</v>
      </c>
      <c r="J330" s="97">
        <f t="shared" ref="J330:AU330" si="445">SUM(J329)</f>
        <v>0</v>
      </c>
      <c r="K330" s="97">
        <f t="shared" si="445"/>
        <v>0</v>
      </c>
      <c r="L330" s="97">
        <f t="shared" si="445"/>
        <v>0</v>
      </c>
      <c r="M330" s="97">
        <f t="shared" si="445"/>
        <v>0</v>
      </c>
      <c r="N330" s="97">
        <f t="shared" si="445"/>
        <v>0</v>
      </c>
      <c r="O330" s="97">
        <f t="shared" si="445"/>
        <v>0</v>
      </c>
      <c r="P330" s="97">
        <f t="shared" si="445"/>
        <v>0</v>
      </c>
      <c r="Q330" s="97">
        <f t="shared" si="445"/>
        <v>0</v>
      </c>
      <c r="R330" s="97">
        <f t="shared" si="445"/>
        <v>0</v>
      </c>
      <c r="S330" s="97">
        <f t="shared" si="445"/>
        <v>0</v>
      </c>
      <c r="T330" s="97">
        <f t="shared" si="445"/>
        <v>0</v>
      </c>
      <c r="U330" s="97">
        <f t="shared" si="445"/>
        <v>43.700000000000273</v>
      </c>
      <c r="V330" s="97">
        <f t="shared" si="445"/>
        <v>0</v>
      </c>
      <c r="W330" s="97">
        <f t="shared" si="445"/>
        <v>0</v>
      </c>
      <c r="X330" s="97">
        <f t="shared" si="445"/>
        <v>0</v>
      </c>
      <c r="Y330" s="97">
        <f t="shared" si="445"/>
        <v>0</v>
      </c>
      <c r="Z330" s="97">
        <f t="shared" si="445"/>
        <v>0</v>
      </c>
      <c r="AA330" s="97">
        <f t="shared" si="445"/>
        <v>0</v>
      </c>
      <c r="AB330" s="97">
        <f t="shared" si="445"/>
        <v>0</v>
      </c>
      <c r="AC330" s="97">
        <f t="shared" si="445"/>
        <v>0</v>
      </c>
      <c r="AD330" s="97">
        <f t="shared" si="445"/>
        <v>0</v>
      </c>
      <c r="AE330" s="97">
        <f t="shared" si="445"/>
        <v>0</v>
      </c>
      <c r="AF330" s="97">
        <f t="shared" si="445"/>
        <v>0</v>
      </c>
      <c r="AG330" s="97">
        <f t="shared" si="445"/>
        <v>0</v>
      </c>
      <c r="AH330" s="97">
        <f t="shared" si="445"/>
        <v>0</v>
      </c>
      <c r="AI330" s="97">
        <f t="shared" si="445"/>
        <v>0</v>
      </c>
      <c r="AJ330" s="97">
        <f t="shared" si="445"/>
        <v>0</v>
      </c>
      <c r="AK330" s="97">
        <f t="shared" si="445"/>
        <v>0</v>
      </c>
      <c r="AL330" s="97">
        <f t="shared" si="445"/>
        <v>0</v>
      </c>
      <c r="AM330" s="97">
        <f t="shared" si="445"/>
        <v>0</v>
      </c>
      <c r="AN330" s="97">
        <f t="shared" si="445"/>
        <v>0</v>
      </c>
      <c r="AO330" s="97">
        <f t="shared" si="445"/>
        <v>0</v>
      </c>
      <c r="AP330" s="97">
        <f t="shared" si="445"/>
        <v>0</v>
      </c>
      <c r="AQ330" s="97">
        <f t="shared" si="445"/>
        <v>0</v>
      </c>
      <c r="AR330" s="97">
        <f t="shared" si="445"/>
        <v>0</v>
      </c>
      <c r="AS330" s="97">
        <f t="shared" si="445"/>
        <v>0</v>
      </c>
      <c r="AT330" s="97">
        <f t="shared" si="445"/>
        <v>0</v>
      </c>
      <c r="AU330" s="97">
        <f t="shared" si="445"/>
        <v>0</v>
      </c>
      <c r="AV330" s="97">
        <f>SUM(AV329)</f>
        <v>0</v>
      </c>
      <c r="AW330" s="97">
        <f>SUM(AW329)</f>
        <v>0</v>
      </c>
      <c r="AX330" s="97">
        <f t="shared" ref="AX330:BE330" si="446">SUM(AX329)</f>
        <v>0</v>
      </c>
      <c r="AY330" s="97">
        <f t="shared" si="446"/>
        <v>0</v>
      </c>
      <c r="AZ330" s="97">
        <f t="shared" si="446"/>
        <v>0</v>
      </c>
      <c r="BA330" s="97">
        <f t="shared" si="446"/>
        <v>0</v>
      </c>
      <c r="BB330" s="97">
        <f t="shared" si="446"/>
        <v>0</v>
      </c>
      <c r="BC330" s="97">
        <f t="shared" si="446"/>
        <v>0</v>
      </c>
      <c r="BD330" s="97">
        <f t="shared" si="446"/>
        <v>0</v>
      </c>
      <c r="BE330" s="97">
        <f t="shared" si="446"/>
        <v>0</v>
      </c>
      <c r="BF330" s="97">
        <f>SUM(BF329)</f>
        <v>0</v>
      </c>
    </row>
    <row r="331" spans="1:58" s="89" customFormat="1" ht="14.1" customHeight="1">
      <c r="A331" s="75">
        <f t="shared" ref="A331:A394" si="447">+A330+1</f>
        <v>325</v>
      </c>
      <c r="B331" s="121"/>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5"/>
      <c r="AL331" s="115"/>
      <c r="AM331" s="115"/>
      <c r="AN331" s="115"/>
      <c r="AO331" s="115"/>
      <c r="AP331" s="115"/>
      <c r="AQ331" s="115"/>
      <c r="AR331" s="115"/>
      <c r="AS331" s="115"/>
      <c r="AT331" s="115"/>
      <c r="AU331" s="115"/>
      <c r="AV331" s="115"/>
      <c r="AW331" s="115"/>
      <c r="AX331" s="115"/>
      <c r="AY331" s="115"/>
      <c r="AZ331" s="115"/>
      <c r="BA331" s="115"/>
      <c r="BB331" s="115"/>
      <c r="BC331" s="115"/>
      <c r="BD331" s="115"/>
      <c r="BE331" s="115"/>
      <c r="BF331" s="115"/>
    </row>
    <row r="332" spans="1:58" ht="14.1" customHeight="1">
      <c r="A332" s="75">
        <f t="shared" si="447"/>
        <v>326</v>
      </c>
      <c r="B332" s="108" t="s">
        <v>774</v>
      </c>
      <c r="C332" s="94">
        <f>C327+C319+C330</f>
        <v>-41409833.259649344</v>
      </c>
      <c r="D332" s="94">
        <f t="shared" ref="D332:AU332" si="448">D327+D319+D330</f>
        <v>0</v>
      </c>
      <c r="E332" s="94">
        <f t="shared" si="448"/>
        <v>0</v>
      </c>
      <c r="F332" s="94">
        <f t="shared" si="448"/>
        <v>0</v>
      </c>
      <c r="G332" s="94">
        <f t="shared" si="448"/>
        <v>0</v>
      </c>
      <c r="H332" s="94">
        <f t="shared" si="448"/>
        <v>0</v>
      </c>
      <c r="I332" s="94">
        <f t="shared" si="448"/>
        <v>0</v>
      </c>
      <c r="J332" s="94">
        <f t="shared" si="448"/>
        <v>0</v>
      </c>
      <c r="K332" s="94">
        <f t="shared" si="448"/>
        <v>0</v>
      </c>
      <c r="L332" s="94">
        <f t="shared" si="448"/>
        <v>-42632032</v>
      </c>
      <c r="M332" s="94">
        <f t="shared" si="448"/>
        <v>611599</v>
      </c>
      <c r="N332" s="94">
        <f t="shared" si="448"/>
        <v>0</v>
      </c>
      <c r="O332" s="94">
        <f t="shared" si="448"/>
        <v>0</v>
      </c>
      <c r="P332" s="94">
        <f t="shared" si="448"/>
        <v>0</v>
      </c>
      <c r="Q332" s="94">
        <f t="shared" si="448"/>
        <v>-1596917.7332181961</v>
      </c>
      <c r="R332" s="94">
        <f t="shared" si="448"/>
        <v>-428368.74643115525</v>
      </c>
      <c r="S332" s="94">
        <f t="shared" si="448"/>
        <v>0</v>
      </c>
      <c r="T332" s="94">
        <f t="shared" si="448"/>
        <v>0</v>
      </c>
      <c r="U332" s="94">
        <f t="shared" si="448"/>
        <v>4309513.5300000077</v>
      </c>
      <c r="V332" s="94">
        <f t="shared" si="448"/>
        <v>-3541349</v>
      </c>
      <c r="W332" s="94">
        <f t="shared" si="448"/>
        <v>0</v>
      </c>
      <c r="X332" s="94">
        <f t="shared" si="448"/>
        <v>0</v>
      </c>
      <c r="Y332" s="94">
        <f t="shared" si="448"/>
        <v>0</v>
      </c>
      <c r="Z332" s="94">
        <f t="shared" si="448"/>
        <v>0</v>
      </c>
      <c r="AA332" s="94">
        <f t="shared" si="448"/>
        <v>0</v>
      </c>
      <c r="AB332" s="94">
        <f t="shared" si="448"/>
        <v>8701.0299999999988</v>
      </c>
      <c r="AC332" s="94">
        <f t="shared" si="448"/>
        <v>0</v>
      </c>
      <c r="AD332" s="94">
        <f t="shared" si="448"/>
        <v>0</v>
      </c>
      <c r="AE332" s="94">
        <f t="shared" si="448"/>
        <v>0</v>
      </c>
      <c r="AF332" s="94">
        <f t="shared" si="448"/>
        <v>-741761</v>
      </c>
      <c r="AG332" s="94">
        <f t="shared" si="448"/>
        <v>1388584.01</v>
      </c>
      <c r="AH332" s="94">
        <f t="shared" si="448"/>
        <v>0</v>
      </c>
      <c r="AI332" s="94">
        <f t="shared" si="448"/>
        <v>0</v>
      </c>
      <c r="AJ332" s="94">
        <f t="shared" si="448"/>
        <v>0</v>
      </c>
      <c r="AK332" s="94">
        <f t="shared" si="448"/>
        <v>0</v>
      </c>
      <c r="AL332" s="94">
        <f t="shared" si="448"/>
        <v>0</v>
      </c>
      <c r="AM332" s="94">
        <f t="shared" si="448"/>
        <v>0</v>
      </c>
      <c r="AN332" s="94">
        <f t="shared" si="448"/>
        <v>0</v>
      </c>
      <c r="AO332" s="94">
        <f t="shared" si="448"/>
        <v>0</v>
      </c>
      <c r="AP332" s="94">
        <f t="shared" si="448"/>
        <v>0</v>
      </c>
      <c r="AQ332" s="94">
        <f t="shared" si="448"/>
        <v>1212197.6499999999</v>
      </c>
      <c r="AR332" s="94">
        <f t="shared" si="448"/>
        <v>0</v>
      </c>
      <c r="AS332" s="94">
        <f t="shared" si="448"/>
        <v>0</v>
      </c>
      <c r="AT332" s="94">
        <f t="shared" si="448"/>
        <v>0</v>
      </c>
      <c r="AU332" s="94">
        <f t="shared" si="448"/>
        <v>0</v>
      </c>
      <c r="AV332" s="94">
        <f>AV327+AV319+AV330</f>
        <v>0</v>
      </c>
      <c r="AW332" s="94">
        <f>AW327+AW319+AW330</f>
        <v>0</v>
      </c>
      <c r="AX332" s="94">
        <f t="shared" ref="AX332:BE332" si="449">AX327+AX319+AX330</f>
        <v>0</v>
      </c>
      <c r="AY332" s="94">
        <f t="shared" si="449"/>
        <v>0</v>
      </c>
      <c r="AZ332" s="94">
        <f t="shared" si="449"/>
        <v>0</v>
      </c>
      <c r="BA332" s="94">
        <f t="shared" si="449"/>
        <v>0</v>
      </c>
      <c r="BB332" s="94">
        <f t="shared" si="449"/>
        <v>0</v>
      </c>
      <c r="BC332" s="94">
        <f t="shared" si="449"/>
        <v>0</v>
      </c>
      <c r="BD332" s="94">
        <f t="shared" si="449"/>
        <v>0</v>
      </c>
      <c r="BE332" s="94">
        <f t="shared" si="449"/>
        <v>0</v>
      </c>
      <c r="BF332" s="94">
        <f>BF327+BF319+BF330</f>
        <v>0</v>
      </c>
    </row>
    <row r="333" spans="1:58" ht="14.1" customHeight="1">
      <c r="A333" s="75">
        <f t="shared" si="447"/>
        <v>327</v>
      </c>
      <c r="B333" s="89"/>
      <c r="C333" s="89"/>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c r="AO333" s="112"/>
      <c r="AP333" s="112"/>
      <c r="AQ333" s="112"/>
      <c r="AR333" s="112"/>
      <c r="AS333" s="112"/>
      <c r="AT333" s="112"/>
      <c r="AU333" s="112"/>
      <c r="AV333" s="112"/>
      <c r="AW333" s="112"/>
      <c r="AX333" s="112"/>
      <c r="AY333" s="112"/>
      <c r="AZ333" s="112"/>
      <c r="BA333" s="112"/>
      <c r="BB333" s="112"/>
      <c r="BC333" s="112"/>
      <c r="BD333" s="112"/>
      <c r="BE333" s="112"/>
      <c r="BF333" s="112"/>
    </row>
    <row r="334" spans="1:58" ht="14.1" customHeight="1">
      <c r="A334" s="75">
        <f t="shared" si="447"/>
        <v>328</v>
      </c>
      <c r="B334" s="81" t="s">
        <v>490</v>
      </c>
      <c r="C334" s="81"/>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87"/>
      <c r="AH334" s="87"/>
      <c r="AI334" s="87"/>
      <c r="AJ334" s="87"/>
      <c r="AK334" s="87"/>
      <c r="AL334" s="87"/>
      <c r="AM334" s="87"/>
      <c r="AN334" s="87"/>
      <c r="AO334" s="87"/>
      <c r="AP334" s="87"/>
      <c r="AQ334" s="87"/>
      <c r="AR334" s="87"/>
      <c r="AS334" s="87"/>
      <c r="AT334" s="87"/>
      <c r="AU334" s="87"/>
      <c r="AV334" s="87"/>
      <c r="AW334" s="87"/>
      <c r="AX334" s="87"/>
      <c r="AY334" s="87"/>
      <c r="AZ334" s="87"/>
      <c r="BA334" s="87"/>
      <c r="BB334" s="87"/>
      <c r="BC334" s="87"/>
      <c r="BD334" s="87"/>
      <c r="BE334" s="87"/>
      <c r="BF334" s="87"/>
    </row>
    <row r="335" spans="1:58" ht="14.1" customHeight="1">
      <c r="A335" s="75">
        <f t="shared" si="447"/>
        <v>329</v>
      </c>
      <c r="B335" s="76" t="s">
        <v>491</v>
      </c>
      <c r="C335" s="80">
        <f t="shared" ref="C335:C346" si="450">SUM(D335:BF335)</f>
        <v>29211.870000000057</v>
      </c>
      <c r="D335" s="87">
        <v>0</v>
      </c>
      <c r="E335" s="87">
        <v>0</v>
      </c>
      <c r="F335" s="87">
        <v>0</v>
      </c>
      <c r="G335" s="87">
        <v>0</v>
      </c>
      <c r="H335" s="87">
        <v>0</v>
      </c>
      <c r="I335" s="87">
        <v>0</v>
      </c>
      <c r="J335" s="87">
        <v>0</v>
      </c>
      <c r="K335" s="87">
        <v>0</v>
      </c>
      <c r="L335" s="87">
        <v>0</v>
      </c>
      <c r="M335" s="87">
        <v>0</v>
      </c>
      <c r="N335" s="87">
        <v>0</v>
      </c>
      <c r="O335" s="87">
        <v>0</v>
      </c>
      <c r="P335" s="87">
        <v>0</v>
      </c>
      <c r="Q335" s="87">
        <v>0</v>
      </c>
      <c r="R335" s="87">
        <v>0</v>
      </c>
      <c r="S335" s="87">
        <v>0</v>
      </c>
      <c r="T335" s="87">
        <v>0</v>
      </c>
      <c r="U335" s="87">
        <v>30263.060000000056</v>
      </c>
      <c r="V335" s="87">
        <v>0</v>
      </c>
      <c r="W335" s="87">
        <v>0</v>
      </c>
      <c r="X335" s="87">
        <v>0</v>
      </c>
      <c r="Y335" s="87">
        <v>0</v>
      </c>
      <c r="Z335" s="87">
        <v>0</v>
      </c>
      <c r="AA335" s="87">
        <v>0</v>
      </c>
      <c r="AB335" s="87">
        <v>0</v>
      </c>
      <c r="AC335" s="87">
        <v>0</v>
      </c>
      <c r="AD335" s="87">
        <v>0</v>
      </c>
      <c r="AE335" s="87">
        <v>0</v>
      </c>
      <c r="AF335" s="87">
        <v>0</v>
      </c>
      <c r="AG335" s="87">
        <v>-1051.19</v>
      </c>
      <c r="AH335" s="87">
        <v>0</v>
      </c>
      <c r="AI335" s="87">
        <v>0</v>
      </c>
      <c r="AJ335" s="87">
        <v>0</v>
      </c>
      <c r="AK335" s="87">
        <v>0</v>
      </c>
      <c r="AL335" s="87">
        <v>0</v>
      </c>
      <c r="AM335" s="87">
        <v>0</v>
      </c>
      <c r="AN335" s="87">
        <v>0</v>
      </c>
      <c r="AO335" s="87">
        <v>0</v>
      </c>
      <c r="AP335" s="87">
        <v>0</v>
      </c>
      <c r="AQ335" s="87">
        <v>0</v>
      </c>
      <c r="AR335" s="87">
        <v>0</v>
      </c>
      <c r="AS335" s="87">
        <v>0</v>
      </c>
      <c r="AT335" s="87">
        <v>0</v>
      </c>
      <c r="AU335" s="87">
        <v>0</v>
      </c>
      <c r="AV335" s="87">
        <v>0</v>
      </c>
      <c r="AW335" s="87">
        <v>0</v>
      </c>
      <c r="AX335" s="87">
        <v>0</v>
      </c>
      <c r="AY335" s="87">
        <v>0</v>
      </c>
      <c r="AZ335" s="87">
        <v>0</v>
      </c>
      <c r="BA335" s="87">
        <v>0</v>
      </c>
      <c r="BB335" s="87">
        <v>0</v>
      </c>
      <c r="BC335" s="87">
        <v>0</v>
      </c>
      <c r="BD335" s="87">
        <v>0</v>
      </c>
      <c r="BE335" s="87">
        <v>0</v>
      </c>
      <c r="BF335" s="87">
        <v>0</v>
      </c>
    </row>
    <row r="336" spans="1:58" ht="14.1" customHeight="1">
      <c r="A336" s="75">
        <f t="shared" si="447"/>
        <v>330</v>
      </c>
      <c r="B336" s="76" t="s">
        <v>775</v>
      </c>
      <c r="C336" s="80">
        <f t="shared" si="450"/>
        <v>8761.7199999999721</v>
      </c>
      <c r="D336" s="87">
        <v>0</v>
      </c>
      <c r="E336" s="87">
        <v>0</v>
      </c>
      <c r="F336" s="87">
        <v>0</v>
      </c>
      <c r="G336" s="87">
        <v>0</v>
      </c>
      <c r="H336" s="87">
        <v>0</v>
      </c>
      <c r="I336" s="87">
        <v>0</v>
      </c>
      <c r="J336" s="87">
        <v>0</v>
      </c>
      <c r="K336" s="87">
        <v>0</v>
      </c>
      <c r="L336" s="87">
        <v>0</v>
      </c>
      <c r="M336" s="87">
        <v>0</v>
      </c>
      <c r="N336" s="87">
        <v>0</v>
      </c>
      <c r="O336" s="87">
        <v>0</v>
      </c>
      <c r="P336" s="87">
        <v>0</v>
      </c>
      <c r="Q336" s="87">
        <v>0</v>
      </c>
      <c r="R336" s="87">
        <v>0</v>
      </c>
      <c r="S336" s="87">
        <v>0</v>
      </c>
      <c r="T336" s="87">
        <v>0</v>
      </c>
      <c r="U336" s="87">
        <v>8761.7199999999721</v>
      </c>
      <c r="V336" s="87">
        <v>0</v>
      </c>
      <c r="W336" s="87">
        <v>0</v>
      </c>
      <c r="X336" s="87">
        <v>0</v>
      </c>
      <c r="Y336" s="87">
        <v>0</v>
      </c>
      <c r="Z336" s="87">
        <v>0</v>
      </c>
      <c r="AA336" s="87">
        <v>0</v>
      </c>
      <c r="AB336" s="87">
        <v>0</v>
      </c>
      <c r="AC336" s="87">
        <v>0</v>
      </c>
      <c r="AD336" s="87">
        <v>0</v>
      </c>
      <c r="AE336" s="87">
        <v>0</v>
      </c>
      <c r="AF336" s="87">
        <v>0</v>
      </c>
      <c r="AG336" s="87">
        <v>0</v>
      </c>
      <c r="AH336" s="87">
        <v>0</v>
      </c>
      <c r="AI336" s="87">
        <v>0</v>
      </c>
      <c r="AJ336" s="87">
        <v>0</v>
      </c>
      <c r="AK336" s="87">
        <v>0</v>
      </c>
      <c r="AL336" s="87">
        <v>0</v>
      </c>
      <c r="AM336" s="87">
        <v>0</v>
      </c>
      <c r="AN336" s="87">
        <v>0</v>
      </c>
      <c r="AO336" s="87">
        <v>0</v>
      </c>
      <c r="AP336" s="87">
        <v>0</v>
      </c>
      <c r="AQ336" s="87">
        <v>0</v>
      </c>
      <c r="AR336" s="87">
        <v>0</v>
      </c>
      <c r="AS336" s="87">
        <v>0</v>
      </c>
      <c r="AT336" s="87">
        <v>0</v>
      </c>
      <c r="AU336" s="87">
        <v>0</v>
      </c>
      <c r="AV336" s="87">
        <v>0</v>
      </c>
      <c r="AW336" s="87">
        <v>0</v>
      </c>
      <c r="AX336" s="87">
        <v>0</v>
      </c>
      <c r="AY336" s="87">
        <v>0</v>
      </c>
      <c r="AZ336" s="87">
        <v>0</v>
      </c>
      <c r="BA336" s="87">
        <v>0</v>
      </c>
      <c r="BB336" s="87">
        <v>0</v>
      </c>
      <c r="BC336" s="87">
        <v>0</v>
      </c>
      <c r="BD336" s="87">
        <v>0</v>
      </c>
      <c r="BE336" s="87">
        <v>0</v>
      </c>
      <c r="BF336" s="87">
        <v>0</v>
      </c>
    </row>
    <row r="337" spans="1:58" ht="14.1" customHeight="1">
      <c r="A337" s="75">
        <f t="shared" si="447"/>
        <v>331</v>
      </c>
      <c r="B337" s="76" t="s">
        <v>776</v>
      </c>
      <c r="C337" s="80">
        <f t="shared" si="450"/>
        <v>27438.490000000224</v>
      </c>
      <c r="D337" s="87"/>
      <c r="E337" s="87"/>
      <c r="F337" s="87"/>
      <c r="G337" s="87"/>
      <c r="H337" s="87"/>
      <c r="I337" s="87"/>
      <c r="J337" s="87"/>
      <c r="K337" s="87"/>
      <c r="L337" s="87"/>
      <c r="M337" s="87"/>
      <c r="N337" s="87"/>
      <c r="O337" s="87"/>
      <c r="P337" s="87"/>
      <c r="Q337" s="87"/>
      <c r="R337" s="87"/>
      <c r="S337" s="87"/>
      <c r="T337" s="87"/>
      <c r="U337" s="87">
        <v>27438.490000000224</v>
      </c>
      <c r="V337" s="87"/>
      <c r="W337" s="87"/>
      <c r="X337" s="87"/>
      <c r="Y337" s="87"/>
      <c r="Z337" s="87"/>
      <c r="AA337" s="87"/>
      <c r="AB337" s="87"/>
      <c r="AC337" s="87"/>
      <c r="AD337" s="87"/>
      <c r="AE337" s="87"/>
      <c r="AF337" s="87"/>
      <c r="AG337" s="87"/>
      <c r="AH337" s="87"/>
      <c r="AI337" s="87"/>
      <c r="AJ337" s="87"/>
      <c r="AK337" s="87"/>
      <c r="AL337" s="87"/>
      <c r="AM337" s="87"/>
      <c r="AN337" s="87"/>
      <c r="AO337" s="87"/>
      <c r="AP337" s="87"/>
      <c r="AQ337" s="87"/>
      <c r="AR337" s="87"/>
      <c r="AS337" s="87"/>
      <c r="AT337" s="87"/>
      <c r="AU337" s="87"/>
      <c r="AV337" s="87"/>
      <c r="AW337" s="87"/>
      <c r="AX337" s="87"/>
      <c r="AY337" s="87"/>
      <c r="AZ337" s="87"/>
      <c r="BA337" s="87"/>
      <c r="BB337" s="87"/>
      <c r="BC337" s="87"/>
      <c r="BD337" s="87"/>
      <c r="BE337" s="87"/>
      <c r="BF337" s="87"/>
    </row>
    <row r="338" spans="1:58" ht="14.1" customHeight="1">
      <c r="A338" s="75">
        <f t="shared" si="447"/>
        <v>332</v>
      </c>
      <c r="B338" s="76" t="s">
        <v>496</v>
      </c>
      <c r="C338" s="80">
        <f t="shared" si="450"/>
        <v>3667.7600000000093</v>
      </c>
      <c r="D338" s="87">
        <v>0</v>
      </c>
      <c r="E338" s="87">
        <v>0</v>
      </c>
      <c r="F338" s="87">
        <v>0</v>
      </c>
      <c r="G338" s="87">
        <v>0</v>
      </c>
      <c r="H338" s="87">
        <v>0</v>
      </c>
      <c r="I338" s="87">
        <v>0</v>
      </c>
      <c r="J338" s="87">
        <v>0</v>
      </c>
      <c r="K338" s="87">
        <v>0</v>
      </c>
      <c r="L338" s="87">
        <v>0</v>
      </c>
      <c r="M338" s="87">
        <v>0</v>
      </c>
      <c r="N338" s="87">
        <v>0</v>
      </c>
      <c r="O338" s="87">
        <v>0</v>
      </c>
      <c r="P338" s="87">
        <v>0</v>
      </c>
      <c r="Q338" s="87">
        <v>0</v>
      </c>
      <c r="R338" s="87">
        <v>0</v>
      </c>
      <c r="S338" s="87">
        <v>0</v>
      </c>
      <c r="T338" s="87">
        <v>0</v>
      </c>
      <c r="U338" s="87">
        <v>3667.7600000000093</v>
      </c>
      <c r="V338" s="87">
        <v>0</v>
      </c>
      <c r="W338" s="87">
        <v>0</v>
      </c>
      <c r="X338" s="87">
        <v>0</v>
      </c>
      <c r="Y338" s="87">
        <v>0</v>
      </c>
      <c r="Z338" s="87">
        <v>0</v>
      </c>
      <c r="AA338" s="87">
        <v>0</v>
      </c>
      <c r="AB338" s="87">
        <v>0</v>
      </c>
      <c r="AC338" s="87">
        <v>0</v>
      </c>
      <c r="AD338" s="87">
        <v>0</v>
      </c>
      <c r="AE338" s="87">
        <v>0</v>
      </c>
      <c r="AF338" s="87">
        <v>0</v>
      </c>
      <c r="AG338" s="87">
        <v>0</v>
      </c>
      <c r="AH338" s="87">
        <v>0</v>
      </c>
      <c r="AI338" s="87">
        <v>0</v>
      </c>
      <c r="AJ338" s="87">
        <v>0</v>
      </c>
      <c r="AK338" s="87">
        <v>0</v>
      </c>
      <c r="AL338" s="87">
        <v>0</v>
      </c>
      <c r="AM338" s="87">
        <v>0</v>
      </c>
      <c r="AN338" s="87">
        <v>0</v>
      </c>
      <c r="AO338" s="87">
        <v>0</v>
      </c>
      <c r="AP338" s="87">
        <v>0</v>
      </c>
      <c r="AQ338" s="87">
        <v>0</v>
      </c>
      <c r="AR338" s="87">
        <v>0</v>
      </c>
      <c r="AS338" s="87">
        <v>0</v>
      </c>
      <c r="AT338" s="87">
        <v>0</v>
      </c>
      <c r="AU338" s="87">
        <v>0</v>
      </c>
      <c r="AV338" s="87">
        <v>0</v>
      </c>
      <c r="AW338" s="87">
        <v>0</v>
      </c>
      <c r="AX338" s="87">
        <v>0</v>
      </c>
      <c r="AY338" s="87">
        <v>0</v>
      </c>
      <c r="AZ338" s="87">
        <v>0</v>
      </c>
      <c r="BA338" s="87">
        <v>0</v>
      </c>
      <c r="BB338" s="87">
        <v>0</v>
      </c>
      <c r="BC338" s="87">
        <v>0</v>
      </c>
      <c r="BD338" s="87">
        <v>0</v>
      </c>
      <c r="BE338" s="87">
        <v>0</v>
      </c>
      <c r="BF338" s="87">
        <v>0</v>
      </c>
    </row>
    <row r="339" spans="1:58" s="89" customFormat="1" ht="14.1" customHeight="1">
      <c r="A339" s="75">
        <f t="shared" si="447"/>
        <v>333</v>
      </c>
      <c r="B339" s="76" t="s">
        <v>497</v>
      </c>
      <c r="C339" s="80">
        <f t="shared" si="450"/>
        <v>327.9900000000016</v>
      </c>
      <c r="D339" s="87">
        <v>0</v>
      </c>
      <c r="E339" s="87">
        <v>0</v>
      </c>
      <c r="F339" s="87">
        <v>0</v>
      </c>
      <c r="G339" s="87">
        <v>0</v>
      </c>
      <c r="H339" s="87">
        <v>0</v>
      </c>
      <c r="I339" s="87">
        <v>0</v>
      </c>
      <c r="J339" s="87">
        <v>0</v>
      </c>
      <c r="K339" s="87">
        <v>0</v>
      </c>
      <c r="L339" s="87">
        <v>0</v>
      </c>
      <c r="M339" s="87">
        <v>0</v>
      </c>
      <c r="N339" s="87">
        <v>0</v>
      </c>
      <c r="O339" s="87">
        <v>0</v>
      </c>
      <c r="P339" s="87">
        <v>0</v>
      </c>
      <c r="Q339" s="87">
        <v>0</v>
      </c>
      <c r="R339" s="87">
        <v>0</v>
      </c>
      <c r="S339" s="87">
        <v>0</v>
      </c>
      <c r="T339" s="87">
        <v>0</v>
      </c>
      <c r="U339" s="87">
        <v>327.9900000000016</v>
      </c>
      <c r="V339" s="87">
        <v>0</v>
      </c>
      <c r="W339" s="87">
        <v>0</v>
      </c>
      <c r="X339" s="87">
        <v>0</v>
      </c>
      <c r="Y339" s="87">
        <v>0</v>
      </c>
      <c r="Z339" s="87">
        <v>0</v>
      </c>
      <c r="AA339" s="87">
        <v>0</v>
      </c>
      <c r="AB339" s="87">
        <v>0</v>
      </c>
      <c r="AC339" s="87">
        <v>0</v>
      </c>
      <c r="AD339" s="87">
        <v>0</v>
      </c>
      <c r="AE339" s="87">
        <v>0</v>
      </c>
      <c r="AF339" s="87">
        <v>0</v>
      </c>
      <c r="AG339" s="87">
        <v>0</v>
      </c>
      <c r="AH339" s="87">
        <v>0</v>
      </c>
      <c r="AI339" s="87">
        <v>0</v>
      </c>
      <c r="AJ339" s="87">
        <v>0</v>
      </c>
      <c r="AK339" s="87">
        <v>0</v>
      </c>
      <c r="AL339" s="87">
        <v>0</v>
      </c>
      <c r="AM339" s="87">
        <v>0</v>
      </c>
      <c r="AN339" s="87">
        <v>0</v>
      </c>
      <c r="AO339" s="87">
        <v>0</v>
      </c>
      <c r="AP339" s="87">
        <v>0</v>
      </c>
      <c r="AQ339" s="87">
        <v>0</v>
      </c>
      <c r="AR339" s="87">
        <v>0</v>
      </c>
      <c r="AS339" s="87">
        <v>0</v>
      </c>
      <c r="AT339" s="87">
        <v>0</v>
      </c>
      <c r="AU339" s="87">
        <v>0</v>
      </c>
      <c r="AV339" s="87">
        <v>0</v>
      </c>
      <c r="AW339" s="87">
        <v>0</v>
      </c>
      <c r="AX339" s="87">
        <v>0</v>
      </c>
      <c r="AY339" s="87">
        <v>0</v>
      </c>
      <c r="AZ339" s="87">
        <v>0</v>
      </c>
      <c r="BA339" s="87">
        <v>0</v>
      </c>
      <c r="BB339" s="87">
        <v>0</v>
      </c>
      <c r="BC339" s="87">
        <v>0</v>
      </c>
      <c r="BD339" s="87">
        <v>0</v>
      </c>
      <c r="BE339" s="87">
        <v>0</v>
      </c>
      <c r="BF339" s="87">
        <v>0</v>
      </c>
    </row>
    <row r="340" spans="1:58" s="89" customFormat="1" ht="14.1" customHeight="1">
      <c r="A340" s="75">
        <f t="shared" si="447"/>
        <v>334</v>
      </c>
      <c r="B340" s="76" t="s">
        <v>498</v>
      </c>
      <c r="C340" s="80">
        <f t="shared" si="450"/>
        <v>-0.15000000000000036</v>
      </c>
      <c r="D340" s="87">
        <v>0</v>
      </c>
      <c r="E340" s="87">
        <v>0</v>
      </c>
      <c r="F340" s="87">
        <v>0</v>
      </c>
      <c r="G340" s="87">
        <v>0</v>
      </c>
      <c r="H340" s="87">
        <v>0</v>
      </c>
      <c r="I340" s="87">
        <v>0</v>
      </c>
      <c r="J340" s="87">
        <v>0</v>
      </c>
      <c r="K340" s="87">
        <v>0</v>
      </c>
      <c r="L340" s="87">
        <v>0</v>
      </c>
      <c r="M340" s="87">
        <v>0</v>
      </c>
      <c r="N340" s="87">
        <v>0</v>
      </c>
      <c r="O340" s="87">
        <v>0</v>
      </c>
      <c r="P340" s="87">
        <v>0</v>
      </c>
      <c r="Q340" s="87">
        <v>0</v>
      </c>
      <c r="R340" s="87">
        <v>0</v>
      </c>
      <c r="S340" s="87">
        <v>0</v>
      </c>
      <c r="T340" s="87">
        <v>0</v>
      </c>
      <c r="U340" s="87">
        <v>-0.15000000000000036</v>
      </c>
      <c r="V340" s="87">
        <v>0</v>
      </c>
      <c r="W340" s="87">
        <v>0</v>
      </c>
      <c r="X340" s="87">
        <v>0</v>
      </c>
      <c r="Y340" s="87">
        <v>0</v>
      </c>
      <c r="Z340" s="87">
        <v>0</v>
      </c>
      <c r="AA340" s="87">
        <v>0</v>
      </c>
      <c r="AB340" s="87">
        <v>0</v>
      </c>
      <c r="AC340" s="87">
        <v>0</v>
      </c>
      <c r="AD340" s="87">
        <v>0</v>
      </c>
      <c r="AE340" s="87">
        <v>0</v>
      </c>
      <c r="AF340" s="87">
        <v>0</v>
      </c>
      <c r="AG340" s="87">
        <v>0</v>
      </c>
      <c r="AH340" s="87">
        <v>0</v>
      </c>
      <c r="AI340" s="87">
        <v>0</v>
      </c>
      <c r="AJ340" s="87">
        <v>0</v>
      </c>
      <c r="AK340" s="87">
        <v>0</v>
      </c>
      <c r="AL340" s="87">
        <v>0</v>
      </c>
      <c r="AM340" s="87">
        <v>0</v>
      </c>
      <c r="AN340" s="87">
        <v>0</v>
      </c>
      <c r="AO340" s="87">
        <v>0</v>
      </c>
      <c r="AP340" s="87">
        <v>0</v>
      </c>
      <c r="AQ340" s="87">
        <v>0</v>
      </c>
      <c r="AR340" s="87">
        <v>0</v>
      </c>
      <c r="AS340" s="87">
        <v>0</v>
      </c>
      <c r="AT340" s="87">
        <v>0</v>
      </c>
      <c r="AU340" s="87">
        <v>0</v>
      </c>
      <c r="AV340" s="87">
        <v>0</v>
      </c>
      <c r="AW340" s="87">
        <v>0</v>
      </c>
      <c r="AX340" s="87">
        <v>0</v>
      </c>
      <c r="AY340" s="87">
        <v>0</v>
      </c>
      <c r="AZ340" s="87">
        <v>0</v>
      </c>
      <c r="BA340" s="87">
        <v>0</v>
      </c>
      <c r="BB340" s="87">
        <v>0</v>
      </c>
      <c r="BC340" s="87">
        <v>0</v>
      </c>
      <c r="BD340" s="87">
        <v>0</v>
      </c>
      <c r="BE340" s="87">
        <v>0</v>
      </c>
      <c r="BF340" s="87">
        <v>0</v>
      </c>
    </row>
    <row r="341" spans="1:58" s="89" customFormat="1" ht="14.1" customHeight="1">
      <c r="A341" s="75">
        <f t="shared" si="447"/>
        <v>335</v>
      </c>
      <c r="B341" s="76" t="s">
        <v>777</v>
      </c>
      <c r="C341" s="80">
        <f t="shared" si="450"/>
        <v>5725019.8200000226</v>
      </c>
      <c r="D341" s="87">
        <v>0</v>
      </c>
      <c r="E341" s="87">
        <v>0</v>
      </c>
      <c r="F341" s="87">
        <v>0</v>
      </c>
      <c r="G341" s="87">
        <v>0</v>
      </c>
      <c r="H341" s="87">
        <v>0</v>
      </c>
      <c r="I341" s="87">
        <v>0</v>
      </c>
      <c r="J341" s="87">
        <v>0</v>
      </c>
      <c r="K341" s="87">
        <v>0</v>
      </c>
      <c r="L341" s="87">
        <v>0</v>
      </c>
      <c r="M341" s="87">
        <v>0</v>
      </c>
      <c r="N341" s="87">
        <v>0</v>
      </c>
      <c r="O341" s="87">
        <v>0</v>
      </c>
      <c r="P341" s="87">
        <v>0</v>
      </c>
      <c r="Q341" s="87">
        <v>0</v>
      </c>
      <c r="R341" s="87">
        <v>0</v>
      </c>
      <c r="S341" s="87">
        <f>18050+5588533+45649+72788</f>
        <v>5725020</v>
      </c>
      <c r="T341" s="87">
        <v>0</v>
      </c>
      <c r="U341" s="87">
        <v>-0.17999997735023499</v>
      </c>
      <c r="V341" s="87">
        <v>0</v>
      </c>
      <c r="W341" s="87">
        <v>0</v>
      </c>
      <c r="X341" s="87">
        <v>0</v>
      </c>
      <c r="Y341" s="87">
        <v>0</v>
      </c>
      <c r="Z341" s="87">
        <v>0</v>
      </c>
      <c r="AA341" s="87">
        <v>0</v>
      </c>
      <c r="AB341" s="87">
        <v>0</v>
      </c>
      <c r="AC341" s="87">
        <v>0</v>
      </c>
      <c r="AD341" s="87">
        <v>0</v>
      </c>
      <c r="AE341" s="87">
        <v>0</v>
      </c>
      <c r="AF341" s="87">
        <v>0</v>
      </c>
      <c r="AG341" s="87">
        <v>0</v>
      </c>
      <c r="AH341" s="87">
        <v>0</v>
      </c>
      <c r="AI341" s="87">
        <v>0</v>
      </c>
      <c r="AJ341" s="87">
        <v>0</v>
      </c>
      <c r="AK341" s="87">
        <v>0</v>
      </c>
      <c r="AL341" s="87">
        <v>0</v>
      </c>
      <c r="AM341" s="87">
        <v>0</v>
      </c>
      <c r="AN341" s="87">
        <v>0</v>
      </c>
      <c r="AO341" s="87">
        <v>0</v>
      </c>
      <c r="AP341" s="87">
        <v>0</v>
      </c>
      <c r="AQ341" s="87">
        <v>0</v>
      </c>
      <c r="AR341" s="87">
        <v>0</v>
      </c>
      <c r="AS341" s="87">
        <v>0</v>
      </c>
      <c r="AT341" s="87">
        <v>0</v>
      </c>
      <c r="AU341" s="87">
        <v>0</v>
      </c>
      <c r="AV341" s="87">
        <v>0</v>
      </c>
      <c r="AW341" s="87">
        <v>0</v>
      </c>
      <c r="AX341" s="87">
        <v>0</v>
      </c>
      <c r="AY341" s="87">
        <v>0</v>
      </c>
      <c r="AZ341" s="87">
        <v>0</v>
      </c>
      <c r="BA341" s="87">
        <v>0</v>
      </c>
      <c r="BB341" s="87">
        <v>0</v>
      </c>
      <c r="BC341" s="87">
        <v>0</v>
      </c>
      <c r="BD341" s="87">
        <v>0</v>
      </c>
      <c r="BE341" s="87">
        <v>0</v>
      </c>
      <c r="BF341" s="87">
        <v>0</v>
      </c>
    </row>
    <row r="342" spans="1:58" s="89" customFormat="1" ht="14.1" customHeight="1">
      <c r="A342" s="75">
        <f t="shared" si="447"/>
        <v>336</v>
      </c>
      <c r="B342" s="76" t="s">
        <v>501</v>
      </c>
      <c r="C342" s="80">
        <f t="shared" si="450"/>
        <v>0.17000000001280569</v>
      </c>
      <c r="D342" s="87">
        <v>0</v>
      </c>
      <c r="E342" s="87">
        <v>0</v>
      </c>
      <c r="F342" s="87">
        <v>0</v>
      </c>
      <c r="G342" s="87">
        <v>0</v>
      </c>
      <c r="H342" s="87">
        <v>0</v>
      </c>
      <c r="I342" s="87">
        <v>0</v>
      </c>
      <c r="J342" s="87">
        <v>0</v>
      </c>
      <c r="K342" s="87">
        <v>0</v>
      </c>
      <c r="L342" s="87">
        <v>0</v>
      </c>
      <c r="M342" s="87">
        <v>0</v>
      </c>
      <c r="N342" s="87">
        <v>0</v>
      </c>
      <c r="O342" s="87">
        <v>0</v>
      </c>
      <c r="P342" s="87">
        <v>0</v>
      </c>
      <c r="Q342" s="87">
        <v>0</v>
      </c>
      <c r="R342" s="87">
        <v>0</v>
      </c>
      <c r="S342" s="87">
        <v>0</v>
      </c>
      <c r="T342" s="87">
        <v>0</v>
      </c>
      <c r="U342" s="87">
        <v>0.17000000001280569</v>
      </c>
      <c r="V342" s="87">
        <v>0</v>
      </c>
      <c r="W342" s="87">
        <v>0</v>
      </c>
      <c r="X342" s="87">
        <v>0</v>
      </c>
      <c r="Y342" s="87">
        <v>0</v>
      </c>
      <c r="Z342" s="87">
        <v>0</v>
      </c>
      <c r="AA342" s="87">
        <v>0</v>
      </c>
      <c r="AB342" s="87">
        <v>0</v>
      </c>
      <c r="AC342" s="87">
        <v>0</v>
      </c>
      <c r="AD342" s="87">
        <v>0</v>
      </c>
      <c r="AE342" s="87">
        <v>0</v>
      </c>
      <c r="AF342" s="87">
        <v>0</v>
      </c>
      <c r="AG342" s="87">
        <v>0</v>
      </c>
      <c r="AH342" s="87">
        <v>0</v>
      </c>
      <c r="AI342" s="87">
        <v>0</v>
      </c>
      <c r="AJ342" s="87">
        <v>0</v>
      </c>
      <c r="AK342" s="87">
        <v>0</v>
      </c>
      <c r="AL342" s="87">
        <v>0</v>
      </c>
      <c r="AM342" s="87">
        <v>0</v>
      </c>
      <c r="AN342" s="87">
        <v>0</v>
      </c>
      <c r="AO342" s="87">
        <v>0</v>
      </c>
      <c r="AP342" s="87">
        <v>0</v>
      </c>
      <c r="AQ342" s="87">
        <v>0</v>
      </c>
      <c r="AR342" s="87">
        <v>0</v>
      </c>
      <c r="AS342" s="87">
        <v>0</v>
      </c>
      <c r="AT342" s="87">
        <v>0</v>
      </c>
      <c r="AU342" s="87">
        <v>0</v>
      </c>
      <c r="AV342" s="87">
        <v>0</v>
      </c>
      <c r="AW342" s="87">
        <v>0</v>
      </c>
      <c r="AX342" s="87">
        <v>0</v>
      </c>
      <c r="AY342" s="87">
        <v>0</v>
      </c>
      <c r="AZ342" s="87">
        <v>0</v>
      </c>
      <c r="BA342" s="87">
        <v>0</v>
      </c>
      <c r="BB342" s="87">
        <v>0</v>
      </c>
      <c r="BC342" s="87">
        <v>0</v>
      </c>
      <c r="BD342" s="87">
        <v>0</v>
      </c>
      <c r="BE342" s="87">
        <v>0</v>
      </c>
      <c r="BF342" s="87">
        <v>0</v>
      </c>
    </row>
    <row r="343" spans="1:58" s="89" customFormat="1" ht="14.1" customHeight="1">
      <c r="A343" s="75">
        <f t="shared" si="447"/>
        <v>337</v>
      </c>
      <c r="B343" s="76" t="s">
        <v>502</v>
      </c>
      <c r="C343" s="80">
        <f t="shared" si="450"/>
        <v>1479</v>
      </c>
      <c r="D343" s="87">
        <v>0</v>
      </c>
      <c r="E343" s="87">
        <v>0</v>
      </c>
      <c r="F343" s="87">
        <v>0</v>
      </c>
      <c r="G343" s="87">
        <v>0</v>
      </c>
      <c r="H343" s="87">
        <v>0</v>
      </c>
      <c r="I343" s="87">
        <v>0</v>
      </c>
      <c r="J343" s="87">
        <v>0</v>
      </c>
      <c r="K343" s="87">
        <v>0</v>
      </c>
      <c r="L343" s="87">
        <v>0</v>
      </c>
      <c r="M343" s="87">
        <v>0</v>
      </c>
      <c r="N343" s="87">
        <v>0</v>
      </c>
      <c r="O343" s="87">
        <v>0</v>
      </c>
      <c r="P343" s="87">
        <v>0</v>
      </c>
      <c r="Q343" s="87">
        <v>0</v>
      </c>
      <c r="R343" s="87">
        <v>0</v>
      </c>
      <c r="S343" s="87">
        <v>0</v>
      </c>
      <c r="T343" s="87">
        <v>0</v>
      </c>
      <c r="U343" s="87">
        <v>1479</v>
      </c>
      <c r="V343" s="87">
        <v>0</v>
      </c>
      <c r="W343" s="87">
        <v>0</v>
      </c>
      <c r="X343" s="87">
        <v>0</v>
      </c>
      <c r="Y343" s="87">
        <v>0</v>
      </c>
      <c r="Z343" s="87">
        <v>0</v>
      </c>
      <c r="AA343" s="87">
        <v>0</v>
      </c>
      <c r="AB343" s="87">
        <v>0</v>
      </c>
      <c r="AC343" s="87">
        <v>0</v>
      </c>
      <c r="AD343" s="87">
        <v>0</v>
      </c>
      <c r="AE343" s="87">
        <v>0</v>
      </c>
      <c r="AF343" s="87">
        <v>0</v>
      </c>
      <c r="AG343" s="87">
        <v>0</v>
      </c>
      <c r="AH343" s="87">
        <v>0</v>
      </c>
      <c r="AI343" s="87">
        <v>0</v>
      </c>
      <c r="AJ343" s="87">
        <v>0</v>
      </c>
      <c r="AK343" s="87">
        <v>0</v>
      </c>
      <c r="AL343" s="87">
        <v>0</v>
      </c>
      <c r="AM343" s="87">
        <v>0</v>
      </c>
      <c r="AN343" s="87">
        <v>0</v>
      </c>
      <c r="AO343" s="87">
        <v>0</v>
      </c>
      <c r="AP343" s="87">
        <v>0</v>
      </c>
      <c r="AQ343" s="87">
        <v>0</v>
      </c>
      <c r="AR343" s="87">
        <v>0</v>
      </c>
      <c r="AS343" s="87">
        <v>0</v>
      </c>
      <c r="AT343" s="87">
        <v>0</v>
      </c>
      <c r="AU343" s="87">
        <v>0</v>
      </c>
      <c r="AV343" s="87">
        <v>0</v>
      </c>
      <c r="AW343" s="87">
        <v>0</v>
      </c>
      <c r="AX343" s="87">
        <v>0</v>
      </c>
      <c r="AY343" s="87">
        <v>0</v>
      </c>
      <c r="AZ343" s="87">
        <v>0</v>
      </c>
      <c r="BA343" s="87">
        <v>0</v>
      </c>
      <c r="BB343" s="87">
        <v>0</v>
      </c>
      <c r="BC343" s="87">
        <v>0</v>
      </c>
      <c r="BD343" s="87">
        <v>0</v>
      </c>
      <c r="BE343" s="87">
        <v>0</v>
      </c>
      <c r="BF343" s="87">
        <v>0</v>
      </c>
    </row>
    <row r="344" spans="1:58" s="89" customFormat="1" ht="14.1" customHeight="1">
      <c r="A344" s="75">
        <f t="shared" si="447"/>
        <v>338</v>
      </c>
      <c r="B344" s="76" t="s">
        <v>778</v>
      </c>
      <c r="C344" s="80">
        <f t="shared" si="450"/>
        <v>0</v>
      </c>
      <c r="D344" s="87">
        <v>0</v>
      </c>
      <c r="E344" s="87">
        <v>0</v>
      </c>
      <c r="F344" s="87">
        <v>0</v>
      </c>
      <c r="G344" s="87">
        <v>0</v>
      </c>
      <c r="H344" s="87">
        <v>0</v>
      </c>
      <c r="I344" s="87">
        <v>0</v>
      </c>
      <c r="J344" s="87">
        <v>0</v>
      </c>
      <c r="K344" s="87">
        <v>0</v>
      </c>
      <c r="L344" s="87">
        <v>0</v>
      </c>
      <c r="M344" s="87">
        <v>0</v>
      </c>
      <c r="N344" s="87">
        <v>0</v>
      </c>
      <c r="O344" s="87">
        <v>0</v>
      </c>
      <c r="P344" s="87">
        <v>0</v>
      </c>
      <c r="Q344" s="87">
        <v>0</v>
      </c>
      <c r="R344" s="87">
        <v>0</v>
      </c>
      <c r="S344" s="87">
        <v>0</v>
      </c>
      <c r="T344" s="87">
        <v>0</v>
      </c>
      <c r="U344" s="87">
        <v>0</v>
      </c>
      <c r="V344" s="87">
        <v>0</v>
      </c>
      <c r="W344" s="87">
        <v>0</v>
      </c>
      <c r="X344" s="87">
        <v>0</v>
      </c>
      <c r="Y344" s="87">
        <v>0</v>
      </c>
      <c r="Z344" s="87">
        <v>0</v>
      </c>
      <c r="AA344" s="87">
        <v>0</v>
      </c>
      <c r="AB344" s="87">
        <v>0</v>
      </c>
      <c r="AC344" s="87">
        <v>0</v>
      </c>
      <c r="AD344" s="87">
        <v>0</v>
      </c>
      <c r="AE344" s="87">
        <v>0</v>
      </c>
      <c r="AF344" s="87">
        <v>0</v>
      </c>
      <c r="AG344" s="87">
        <v>0</v>
      </c>
      <c r="AH344" s="87">
        <v>0</v>
      </c>
      <c r="AI344" s="87">
        <v>0</v>
      </c>
      <c r="AJ344" s="87">
        <v>0</v>
      </c>
      <c r="AK344" s="87">
        <v>0</v>
      </c>
      <c r="AL344" s="87">
        <v>0</v>
      </c>
      <c r="AM344" s="87">
        <v>0</v>
      </c>
      <c r="AN344" s="87">
        <v>0</v>
      </c>
      <c r="AO344" s="87">
        <v>0</v>
      </c>
      <c r="AP344" s="87">
        <v>0</v>
      </c>
      <c r="AQ344" s="87">
        <v>0</v>
      </c>
      <c r="AR344" s="87">
        <v>0</v>
      </c>
      <c r="AS344" s="87">
        <v>0</v>
      </c>
      <c r="AT344" s="87">
        <v>0</v>
      </c>
      <c r="AU344" s="87">
        <v>0</v>
      </c>
      <c r="AV344" s="87">
        <v>0</v>
      </c>
      <c r="AW344" s="87">
        <v>0</v>
      </c>
      <c r="AX344" s="87">
        <v>0</v>
      </c>
      <c r="AY344" s="87">
        <v>0</v>
      </c>
      <c r="AZ344" s="87">
        <v>0</v>
      </c>
      <c r="BA344" s="87">
        <v>0</v>
      </c>
      <c r="BB344" s="87">
        <v>0</v>
      </c>
      <c r="BC344" s="87">
        <v>0</v>
      </c>
      <c r="BD344" s="87">
        <v>0</v>
      </c>
      <c r="BE344" s="87">
        <v>0</v>
      </c>
      <c r="BF344" s="87">
        <v>0</v>
      </c>
    </row>
    <row r="345" spans="1:58" s="89" customFormat="1" ht="14.1" customHeight="1">
      <c r="A345" s="75">
        <f t="shared" si="447"/>
        <v>339</v>
      </c>
      <c r="B345" s="76" t="s">
        <v>505</v>
      </c>
      <c r="C345" s="80">
        <f t="shared" si="450"/>
        <v>-4154449.85</v>
      </c>
      <c r="D345" s="87">
        <v>0</v>
      </c>
      <c r="E345" s="87">
        <v>0</v>
      </c>
      <c r="F345" s="87">
        <v>0</v>
      </c>
      <c r="G345" s="87">
        <v>0</v>
      </c>
      <c r="H345" s="87">
        <v>0</v>
      </c>
      <c r="I345" s="87">
        <v>0</v>
      </c>
      <c r="J345" s="87">
        <v>0</v>
      </c>
      <c r="K345" s="87">
        <v>0</v>
      </c>
      <c r="L345" s="87">
        <v>0</v>
      </c>
      <c r="M345" s="87">
        <v>-4174374.15</v>
      </c>
      <c r="N345" s="87">
        <v>0</v>
      </c>
      <c r="O345" s="87">
        <v>0</v>
      </c>
      <c r="P345" s="87">
        <v>0</v>
      </c>
      <c r="Q345" s="87">
        <v>0</v>
      </c>
      <c r="R345" s="87">
        <v>0</v>
      </c>
      <c r="S345" s="87">
        <v>0</v>
      </c>
      <c r="T345" s="87">
        <v>0</v>
      </c>
      <c r="U345" s="87">
        <v>16590.75</v>
      </c>
      <c r="V345" s="87">
        <v>0</v>
      </c>
      <c r="W345" s="87">
        <v>0</v>
      </c>
      <c r="X345" s="87">
        <v>0</v>
      </c>
      <c r="Y345" s="87">
        <v>0</v>
      </c>
      <c r="Z345" s="87">
        <v>0</v>
      </c>
      <c r="AA345" s="87">
        <v>0</v>
      </c>
      <c r="AB345" s="87">
        <v>0</v>
      </c>
      <c r="AC345" s="87">
        <v>0</v>
      </c>
      <c r="AD345" s="87">
        <v>0</v>
      </c>
      <c r="AE345" s="87">
        <v>0</v>
      </c>
      <c r="AF345" s="87">
        <v>0</v>
      </c>
      <c r="AG345" s="87">
        <v>3333.55</v>
      </c>
      <c r="AH345" s="87">
        <v>0</v>
      </c>
      <c r="AI345" s="87">
        <v>0</v>
      </c>
      <c r="AJ345" s="87">
        <v>0</v>
      </c>
      <c r="AK345" s="87">
        <v>0</v>
      </c>
      <c r="AL345" s="87">
        <v>0</v>
      </c>
      <c r="AM345" s="87">
        <v>0</v>
      </c>
      <c r="AN345" s="87">
        <v>0</v>
      </c>
      <c r="AO345" s="87">
        <v>0</v>
      </c>
      <c r="AP345" s="87">
        <v>0</v>
      </c>
      <c r="AQ345" s="87">
        <v>0</v>
      </c>
      <c r="AR345" s="87">
        <v>0</v>
      </c>
      <c r="AS345" s="87">
        <v>0</v>
      </c>
      <c r="AT345" s="87">
        <v>0</v>
      </c>
      <c r="AU345" s="87">
        <v>0</v>
      </c>
      <c r="AV345" s="87">
        <v>0</v>
      </c>
      <c r="AW345" s="87">
        <v>0</v>
      </c>
      <c r="AX345" s="87">
        <v>0</v>
      </c>
      <c r="AY345" s="87">
        <v>0</v>
      </c>
      <c r="AZ345" s="87">
        <v>0</v>
      </c>
      <c r="BA345" s="87">
        <v>0</v>
      </c>
      <c r="BB345" s="87">
        <v>0</v>
      </c>
      <c r="BC345" s="87">
        <v>0</v>
      </c>
      <c r="BD345" s="87">
        <v>0</v>
      </c>
      <c r="BE345" s="87">
        <v>0</v>
      </c>
      <c r="BF345" s="87">
        <v>0</v>
      </c>
    </row>
    <row r="346" spans="1:58" ht="14.1" customHeight="1">
      <c r="A346" s="75">
        <f t="shared" si="447"/>
        <v>340</v>
      </c>
      <c r="B346" s="90" t="s">
        <v>508</v>
      </c>
      <c r="C346" s="80">
        <f t="shared" si="450"/>
        <v>4</v>
      </c>
      <c r="D346" s="87">
        <v>0</v>
      </c>
      <c r="E346" s="87">
        <v>0</v>
      </c>
      <c r="F346" s="87">
        <v>0</v>
      </c>
      <c r="G346" s="87">
        <v>0</v>
      </c>
      <c r="H346" s="87">
        <v>0</v>
      </c>
      <c r="I346" s="87">
        <v>0</v>
      </c>
      <c r="J346" s="87">
        <v>0</v>
      </c>
      <c r="K346" s="87">
        <v>0</v>
      </c>
      <c r="L346" s="87">
        <v>0</v>
      </c>
      <c r="M346" s="87">
        <v>0</v>
      </c>
      <c r="N346" s="87">
        <v>0</v>
      </c>
      <c r="O346" s="87">
        <v>0</v>
      </c>
      <c r="P346" s="87">
        <v>0</v>
      </c>
      <c r="Q346" s="87">
        <v>0</v>
      </c>
      <c r="R346" s="87">
        <v>0</v>
      </c>
      <c r="S346" s="87">
        <v>0</v>
      </c>
      <c r="T346" s="87">
        <v>0</v>
      </c>
      <c r="U346" s="87">
        <v>4</v>
      </c>
      <c r="V346" s="87">
        <v>0</v>
      </c>
      <c r="W346" s="87">
        <v>0</v>
      </c>
      <c r="X346" s="87">
        <v>0</v>
      </c>
      <c r="Y346" s="87">
        <v>0</v>
      </c>
      <c r="Z346" s="87">
        <v>0</v>
      </c>
      <c r="AA346" s="87">
        <v>0</v>
      </c>
      <c r="AB346" s="87">
        <v>0</v>
      </c>
      <c r="AC346" s="87">
        <v>0</v>
      </c>
      <c r="AD346" s="87">
        <v>0</v>
      </c>
      <c r="AE346" s="87">
        <v>0</v>
      </c>
      <c r="AF346" s="87">
        <v>0</v>
      </c>
      <c r="AG346" s="87">
        <v>0</v>
      </c>
      <c r="AH346" s="87">
        <v>0</v>
      </c>
      <c r="AI346" s="87">
        <v>0</v>
      </c>
      <c r="AJ346" s="87">
        <v>0</v>
      </c>
      <c r="AK346" s="87">
        <v>0</v>
      </c>
      <c r="AL346" s="87">
        <v>0</v>
      </c>
      <c r="AM346" s="87">
        <v>0</v>
      </c>
      <c r="AN346" s="87">
        <v>0</v>
      </c>
      <c r="AO346" s="87">
        <v>0</v>
      </c>
      <c r="AP346" s="87">
        <v>0</v>
      </c>
      <c r="AQ346" s="87">
        <v>0</v>
      </c>
      <c r="AR346" s="87">
        <v>0</v>
      </c>
      <c r="AS346" s="87">
        <v>0</v>
      </c>
      <c r="AT346" s="87">
        <v>0</v>
      </c>
      <c r="AU346" s="87">
        <v>0</v>
      </c>
      <c r="AV346" s="87">
        <v>0</v>
      </c>
      <c r="AW346" s="87">
        <v>0</v>
      </c>
      <c r="AX346" s="87">
        <v>0</v>
      </c>
      <c r="AY346" s="87">
        <v>0</v>
      </c>
      <c r="AZ346" s="87">
        <v>0</v>
      </c>
      <c r="BA346" s="87">
        <v>0</v>
      </c>
      <c r="BB346" s="87">
        <v>0</v>
      </c>
      <c r="BC346" s="87">
        <v>0</v>
      </c>
      <c r="BD346" s="87">
        <v>0</v>
      </c>
      <c r="BE346" s="87">
        <v>0</v>
      </c>
      <c r="BF346" s="87">
        <v>0</v>
      </c>
    </row>
    <row r="347" spans="1:58" ht="14.1" customHeight="1">
      <c r="A347" s="75">
        <f t="shared" si="447"/>
        <v>341</v>
      </c>
      <c r="B347" s="108" t="s">
        <v>779</v>
      </c>
      <c r="C347" s="97">
        <f t="shared" ref="C347:V347" si="451">SUM(C335:C346)</f>
        <v>1641460.8200000231</v>
      </c>
      <c r="D347" s="97">
        <f t="shared" ref="D347:I347" si="452">SUM(D335:D346)</f>
        <v>0</v>
      </c>
      <c r="E347" s="97">
        <f t="shared" si="452"/>
        <v>0</v>
      </c>
      <c r="F347" s="97">
        <f t="shared" si="452"/>
        <v>0</v>
      </c>
      <c r="G347" s="97">
        <f t="shared" si="452"/>
        <v>0</v>
      </c>
      <c r="H347" s="97">
        <f t="shared" si="452"/>
        <v>0</v>
      </c>
      <c r="I347" s="97">
        <f t="shared" si="452"/>
        <v>0</v>
      </c>
      <c r="J347" s="97">
        <f t="shared" si="451"/>
        <v>0</v>
      </c>
      <c r="K347" s="97">
        <f t="shared" ref="K347:U347" si="453">SUM(K335:K346)</f>
        <v>0</v>
      </c>
      <c r="L347" s="97">
        <f t="shared" si="453"/>
        <v>0</v>
      </c>
      <c r="M347" s="97">
        <f t="shared" si="453"/>
        <v>-4174374.15</v>
      </c>
      <c r="N347" s="97">
        <f t="shared" si="453"/>
        <v>0</v>
      </c>
      <c r="O347" s="97">
        <f t="shared" si="453"/>
        <v>0</v>
      </c>
      <c r="P347" s="97">
        <f t="shared" si="453"/>
        <v>0</v>
      </c>
      <c r="Q347" s="97">
        <f t="shared" si="453"/>
        <v>0</v>
      </c>
      <c r="R347" s="97">
        <f t="shared" si="453"/>
        <v>0</v>
      </c>
      <c r="S347" s="97">
        <f t="shared" si="453"/>
        <v>5725020</v>
      </c>
      <c r="T347" s="97">
        <f t="shared" si="453"/>
        <v>0</v>
      </c>
      <c r="U347" s="97">
        <f t="shared" si="453"/>
        <v>88532.610000022934</v>
      </c>
      <c r="V347" s="97">
        <f t="shared" si="451"/>
        <v>0</v>
      </c>
      <c r="W347" s="97">
        <f>SUM(W335:W346)</f>
        <v>0</v>
      </c>
      <c r="X347" s="97">
        <f t="shared" ref="X347:AD347" si="454">SUM(X335:X346)</f>
        <v>0</v>
      </c>
      <c r="Y347" s="97">
        <f>SUM(Y335:Y346)</f>
        <v>0</v>
      </c>
      <c r="Z347" s="97">
        <f t="shared" si="454"/>
        <v>0</v>
      </c>
      <c r="AA347" s="97">
        <f t="shared" si="454"/>
        <v>0</v>
      </c>
      <c r="AB347" s="97">
        <f t="shared" si="454"/>
        <v>0</v>
      </c>
      <c r="AC347" s="97">
        <f t="shared" si="454"/>
        <v>0</v>
      </c>
      <c r="AD347" s="97">
        <f t="shared" si="454"/>
        <v>0</v>
      </c>
      <c r="AE347" s="97">
        <f>SUM(AE335:AE346)</f>
        <v>0</v>
      </c>
      <c r="AF347" s="97">
        <f>SUM(AF335:AF346)</f>
        <v>0</v>
      </c>
      <c r="AG347" s="97">
        <f>SUM(AG335:AG346)</f>
        <v>2282.36</v>
      </c>
      <c r="AH347" s="97">
        <f t="shared" ref="AH347:AL347" si="455">SUM(AH335:AH346)</f>
        <v>0</v>
      </c>
      <c r="AI347" s="97">
        <f t="shared" si="455"/>
        <v>0</v>
      </c>
      <c r="AJ347" s="97">
        <f t="shared" si="455"/>
        <v>0</v>
      </c>
      <c r="AK347" s="97">
        <f t="shared" si="455"/>
        <v>0</v>
      </c>
      <c r="AL347" s="97">
        <f t="shared" si="455"/>
        <v>0</v>
      </c>
      <c r="AM347" s="97">
        <f>SUM(AM335:AM346)</f>
        <v>0</v>
      </c>
      <c r="AN347" s="97">
        <f>SUM(AN335:AN346)</f>
        <v>0</v>
      </c>
      <c r="AO347" s="97">
        <f>SUM(AO335:AO346)</f>
        <v>0</v>
      </c>
      <c r="AP347" s="97">
        <f>SUM(AP335:AP346)</f>
        <v>0</v>
      </c>
      <c r="AQ347" s="97">
        <f>SUM(AQ335:AQ346)</f>
        <v>0</v>
      </c>
      <c r="AR347" s="97">
        <f t="shared" ref="AR347" si="456">SUM(AR335:AR346)</f>
        <v>0</v>
      </c>
      <c r="AS347" s="97">
        <f>SUM(AS335:AS346)</f>
        <v>0</v>
      </c>
      <c r="AT347" s="97">
        <f t="shared" ref="AT347:AV347" si="457">SUM(AT335:AT346)</f>
        <v>0</v>
      </c>
      <c r="AU347" s="97">
        <f t="shared" si="457"/>
        <v>0</v>
      </c>
      <c r="AV347" s="97">
        <f t="shared" si="457"/>
        <v>0</v>
      </c>
      <c r="AW347" s="97">
        <f>SUM(AW335:AW346)</f>
        <v>0</v>
      </c>
      <c r="AX347" s="97">
        <f t="shared" ref="AX347:BF347" si="458">SUM(AX335:AX346)</f>
        <v>0</v>
      </c>
      <c r="AY347" s="97">
        <f t="shared" si="458"/>
        <v>0</v>
      </c>
      <c r="AZ347" s="97">
        <f t="shared" si="458"/>
        <v>0</v>
      </c>
      <c r="BA347" s="97">
        <f t="shared" si="458"/>
        <v>0</v>
      </c>
      <c r="BB347" s="97">
        <f t="shared" si="458"/>
        <v>0</v>
      </c>
      <c r="BC347" s="97">
        <f t="shared" si="458"/>
        <v>0</v>
      </c>
      <c r="BD347" s="97">
        <f t="shared" si="458"/>
        <v>0</v>
      </c>
      <c r="BE347" s="97">
        <f t="shared" si="458"/>
        <v>0</v>
      </c>
      <c r="BF347" s="97">
        <f t="shared" si="458"/>
        <v>0</v>
      </c>
    </row>
    <row r="348" spans="1:58" ht="14.1" customHeight="1">
      <c r="A348" s="75">
        <f t="shared" si="447"/>
        <v>342</v>
      </c>
      <c r="B348" s="89"/>
      <c r="C348" s="126"/>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row>
    <row r="349" spans="1:58" ht="14.1" customHeight="1">
      <c r="A349" s="75">
        <f t="shared" si="447"/>
        <v>343</v>
      </c>
      <c r="B349" s="108" t="s">
        <v>511</v>
      </c>
      <c r="C349" s="12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row>
    <row r="350" spans="1:58" ht="14.1" customHeight="1">
      <c r="A350" s="75">
        <f t="shared" si="447"/>
        <v>344</v>
      </c>
      <c r="B350" s="76" t="s">
        <v>512</v>
      </c>
      <c r="C350" s="80">
        <f t="shared" ref="C350:C356" si="459">SUM(D350:BF350)</f>
        <v>224.86000000000058</v>
      </c>
      <c r="D350" s="87">
        <v>0</v>
      </c>
      <c r="E350" s="87">
        <v>0</v>
      </c>
      <c r="F350" s="87">
        <v>0</v>
      </c>
      <c r="G350" s="87">
        <v>0</v>
      </c>
      <c r="H350" s="87">
        <v>0</v>
      </c>
      <c r="I350" s="87">
        <v>0</v>
      </c>
      <c r="J350" s="87">
        <v>0</v>
      </c>
      <c r="K350" s="87">
        <v>0</v>
      </c>
      <c r="L350" s="87">
        <v>0</v>
      </c>
      <c r="M350" s="87">
        <v>0</v>
      </c>
      <c r="N350" s="87">
        <v>0</v>
      </c>
      <c r="O350" s="87">
        <v>0</v>
      </c>
      <c r="P350" s="87">
        <v>0</v>
      </c>
      <c r="Q350" s="87">
        <v>0</v>
      </c>
      <c r="R350" s="87">
        <v>0</v>
      </c>
      <c r="S350" s="87">
        <v>0</v>
      </c>
      <c r="T350" s="87">
        <v>0</v>
      </c>
      <c r="U350" s="87">
        <v>224.86000000000058</v>
      </c>
      <c r="V350" s="87">
        <v>0</v>
      </c>
      <c r="W350" s="87">
        <v>0</v>
      </c>
      <c r="X350" s="87">
        <v>0</v>
      </c>
      <c r="Y350" s="87">
        <v>0</v>
      </c>
      <c r="Z350" s="87">
        <v>0</v>
      </c>
      <c r="AA350" s="87">
        <v>0</v>
      </c>
      <c r="AB350" s="87">
        <v>0</v>
      </c>
      <c r="AC350" s="87">
        <v>0</v>
      </c>
      <c r="AD350" s="87">
        <v>0</v>
      </c>
      <c r="AE350" s="87">
        <v>0</v>
      </c>
      <c r="AF350" s="87">
        <v>0</v>
      </c>
      <c r="AG350" s="87">
        <v>0</v>
      </c>
      <c r="AH350" s="87">
        <v>0</v>
      </c>
      <c r="AI350" s="87">
        <v>0</v>
      </c>
      <c r="AJ350" s="87">
        <v>0</v>
      </c>
      <c r="AK350" s="87">
        <v>0</v>
      </c>
      <c r="AL350" s="87">
        <v>0</v>
      </c>
      <c r="AM350" s="87">
        <v>0</v>
      </c>
      <c r="AN350" s="87">
        <v>0</v>
      </c>
      <c r="AO350" s="87">
        <v>0</v>
      </c>
      <c r="AP350" s="87">
        <v>0</v>
      </c>
      <c r="AQ350" s="87">
        <v>0</v>
      </c>
      <c r="AR350" s="87">
        <v>0</v>
      </c>
      <c r="AS350" s="87">
        <v>0</v>
      </c>
      <c r="AT350" s="87">
        <v>0</v>
      </c>
      <c r="AU350" s="87">
        <v>0</v>
      </c>
      <c r="AV350" s="87">
        <v>0</v>
      </c>
      <c r="AW350" s="87">
        <v>0</v>
      </c>
      <c r="AX350" s="87">
        <v>0</v>
      </c>
      <c r="AY350" s="87">
        <v>0</v>
      </c>
      <c r="AZ350" s="87">
        <v>0</v>
      </c>
      <c r="BA350" s="87">
        <v>0</v>
      </c>
      <c r="BB350" s="87">
        <v>0</v>
      </c>
      <c r="BC350" s="87">
        <v>0</v>
      </c>
      <c r="BD350" s="87">
        <v>0</v>
      </c>
      <c r="BE350" s="87">
        <v>0</v>
      </c>
      <c r="BF350" s="87">
        <v>0</v>
      </c>
    </row>
    <row r="351" spans="1:58" ht="14.1" customHeight="1">
      <c r="A351" s="75">
        <f t="shared" si="447"/>
        <v>345</v>
      </c>
      <c r="B351" s="76" t="s">
        <v>513</v>
      </c>
      <c r="C351" s="80">
        <f t="shared" si="459"/>
        <v>3352.6199999999953</v>
      </c>
      <c r="D351" s="87">
        <v>0</v>
      </c>
      <c r="E351" s="87">
        <v>0</v>
      </c>
      <c r="F351" s="87">
        <v>0</v>
      </c>
      <c r="G351" s="87">
        <v>0</v>
      </c>
      <c r="H351" s="87">
        <v>0</v>
      </c>
      <c r="I351" s="87">
        <v>0</v>
      </c>
      <c r="J351" s="87">
        <v>0</v>
      </c>
      <c r="K351" s="87">
        <v>0</v>
      </c>
      <c r="L351" s="87">
        <v>0</v>
      </c>
      <c r="M351" s="87">
        <v>0</v>
      </c>
      <c r="N351" s="87">
        <v>0</v>
      </c>
      <c r="O351" s="87">
        <v>0</v>
      </c>
      <c r="P351" s="87">
        <v>0</v>
      </c>
      <c r="Q351" s="87">
        <v>0</v>
      </c>
      <c r="R351" s="87">
        <v>0</v>
      </c>
      <c r="S351" s="87">
        <v>0</v>
      </c>
      <c r="T351" s="87">
        <v>0</v>
      </c>
      <c r="U351" s="87">
        <v>3352.6199999999953</v>
      </c>
      <c r="V351" s="87">
        <v>0</v>
      </c>
      <c r="W351" s="87">
        <v>0</v>
      </c>
      <c r="X351" s="87">
        <v>0</v>
      </c>
      <c r="Y351" s="87">
        <v>0</v>
      </c>
      <c r="Z351" s="87">
        <v>0</v>
      </c>
      <c r="AA351" s="87">
        <v>0</v>
      </c>
      <c r="AB351" s="87">
        <v>0</v>
      </c>
      <c r="AC351" s="87">
        <v>0</v>
      </c>
      <c r="AD351" s="87">
        <v>0</v>
      </c>
      <c r="AE351" s="87">
        <v>0</v>
      </c>
      <c r="AF351" s="87">
        <v>0</v>
      </c>
      <c r="AG351" s="87">
        <v>0</v>
      </c>
      <c r="AH351" s="87">
        <v>0</v>
      </c>
      <c r="AI351" s="87">
        <v>0</v>
      </c>
      <c r="AJ351" s="87">
        <v>0</v>
      </c>
      <c r="AK351" s="87">
        <v>0</v>
      </c>
      <c r="AL351" s="87">
        <v>0</v>
      </c>
      <c r="AM351" s="87">
        <v>0</v>
      </c>
      <c r="AN351" s="87">
        <v>0</v>
      </c>
      <c r="AO351" s="87">
        <v>0</v>
      </c>
      <c r="AP351" s="87">
        <v>0</v>
      </c>
      <c r="AQ351" s="87">
        <v>0</v>
      </c>
      <c r="AR351" s="87">
        <v>0</v>
      </c>
      <c r="AS351" s="87">
        <v>0</v>
      </c>
      <c r="AT351" s="87">
        <v>0</v>
      </c>
      <c r="AU351" s="87">
        <v>0</v>
      </c>
      <c r="AV351" s="87">
        <v>0</v>
      </c>
      <c r="AW351" s="87">
        <v>0</v>
      </c>
      <c r="AX351" s="87">
        <v>0</v>
      </c>
      <c r="AY351" s="87">
        <v>0</v>
      </c>
      <c r="AZ351" s="87">
        <v>0</v>
      </c>
      <c r="BA351" s="87">
        <v>0</v>
      </c>
      <c r="BB351" s="87">
        <v>0</v>
      </c>
      <c r="BC351" s="87">
        <v>0</v>
      </c>
      <c r="BD351" s="87">
        <v>0</v>
      </c>
      <c r="BE351" s="87">
        <v>0</v>
      </c>
      <c r="BF351" s="87">
        <v>0</v>
      </c>
    </row>
    <row r="352" spans="1:58" ht="14.1" customHeight="1">
      <c r="A352" s="75">
        <f t="shared" si="447"/>
        <v>346</v>
      </c>
      <c r="B352" s="76" t="s">
        <v>515</v>
      </c>
      <c r="C352" s="80">
        <f t="shared" si="459"/>
        <v>7705.1199999999953</v>
      </c>
      <c r="D352" s="87">
        <v>0</v>
      </c>
      <c r="E352" s="87">
        <v>0</v>
      </c>
      <c r="F352" s="87">
        <v>0</v>
      </c>
      <c r="G352" s="87">
        <v>0</v>
      </c>
      <c r="H352" s="87">
        <v>0</v>
      </c>
      <c r="I352" s="87">
        <v>0</v>
      </c>
      <c r="J352" s="87">
        <v>0</v>
      </c>
      <c r="K352" s="87">
        <v>0</v>
      </c>
      <c r="L352" s="87">
        <v>0</v>
      </c>
      <c r="M352" s="87">
        <v>0</v>
      </c>
      <c r="N352" s="87">
        <v>0</v>
      </c>
      <c r="O352" s="87">
        <v>0</v>
      </c>
      <c r="P352" s="87">
        <v>0</v>
      </c>
      <c r="Q352" s="87">
        <v>0</v>
      </c>
      <c r="R352" s="87">
        <v>0</v>
      </c>
      <c r="S352" s="87">
        <v>0</v>
      </c>
      <c r="T352" s="87">
        <v>0</v>
      </c>
      <c r="U352" s="87">
        <v>7705.1199999999953</v>
      </c>
      <c r="V352" s="87">
        <v>0</v>
      </c>
      <c r="W352" s="87">
        <v>0</v>
      </c>
      <c r="X352" s="87">
        <v>0</v>
      </c>
      <c r="Y352" s="87">
        <v>0</v>
      </c>
      <c r="Z352" s="87">
        <v>0</v>
      </c>
      <c r="AA352" s="87">
        <v>0</v>
      </c>
      <c r="AB352" s="87">
        <v>0</v>
      </c>
      <c r="AC352" s="87">
        <v>0</v>
      </c>
      <c r="AD352" s="87">
        <v>0</v>
      </c>
      <c r="AE352" s="87">
        <v>0</v>
      </c>
      <c r="AF352" s="87">
        <v>0</v>
      </c>
      <c r="AG352" s="87">
        <v>0</v>
      </c>
      <c r="AH352" s="87">
        <v>0</v>
      </c>
      <c r="AI352" s="87">
        <v>0</v>
      </c>
      <c r="AJ352" s="87">
        <v>0</v>
      </c>
      <c r="AK352" s="87">
        <v>0</v>
      </c>
      <c r="AL352" s="87">
        <v>0</v>
      </c>
      <c r="AM352" s="87">
        <v>0</v>
      </c>
      <c r="AN352" s="87">
        <v>0</v>
      </c>
      <c r="AO352" s="87">
        <v>0</v>
      </c>
      <c r="AP352" s="87">
        <v>0</v>
      </c>
      <c r="AQ352" s="87">
        <v>0</v>
      </c>
      <c r="AR352" s="87">
        <v>0</v>
      </c>
      <c r="AS352" s="87">
        <v>0</v>
      </c>
      <c r="AT352" s="87">
        <v>0</v>
      </c>
      <c r="AU352" s="87">
        <v>0</v>
      </c>
      <c r="AV352" s="87">
        <v>0</v>
      </c>
      <c r="AW352" s="87">
        <v>0</v>
      </c>
      <c r="AX352" s="87">
        <v>0</v>
      </c>
      <c r="AY352" s="87">
        <v>0</v>
      </c>
      <c r="AZ352" s="87">
        <v>0</v>
      </c>
      <c r="BA352" s="87">
        <v>0</v>
      </c>
      <c r="BB352" s="87">
        <v>0</v>
      </c>
      <c r="BC352" s="87">
        <v>0</v>
      </c>
      <c r="BD352" s="87">
        <v>0</v>
      </c>
      <c r="BE352" s="87">
        <v>0</v>
      </c>
      <c r="BF352" s="87">
        <v>0</v>
      </c>
    </row>
    <row r="353" spans="1:58" ht="14.1" customHeight="1">
      <c r="A353" s="75">
        <f t="shared" si="447"/>
        <v>347</v>
      </c>
      <c r="B353" s="76" t="s">
        <v>516</v>
      </c>
      <c r="C353" s="80">
        <f t="shared" si="459"/>
        <v>88581.909999999887</v>
      </c>
      <c r="D353" s="87">
        <v>0</v>
      </c>
      <c r="E353" s="87">
        <v>0</v>
      </c>
      <c r="F353" s="87">
        <v>0</v>
      </c>
      <c r="G353" s="87">
        <v>0</v>
      </c>
      <c r="H353" s="87">
        <v>0</v>
      </c>
      <c r="I353" s="87">
        <v>0</v>
      </c>
      <c r="J353" s="87">
        <v>0</v>
      </c>
      <c r="K353" s="87">
        <v>0</v>
      </c>
      <c r="L353" s="87">
        <v>0</v>
      </c>
      <c r="M353" s="87">
        <v>0</v>
      </c>
      <c r="N353" s="87">
        <v>0</v>
      </c>
      <c r="O353" s="87">
        <v>0</v>
      </c>
      <c r="P353" s="87">
        <v>0</v>
      </c>
      <c r="Q353" s="87">
        <v>0</v>
      </c>
      <c r="R353" s="87">
        <v>0</v>
      </c>
      <c r="S353" s="87">
        <v>0</v>
      </c>
      <c r="T353" s="87">
        <v>0</v>
      </c>
      <c r="U353" s="87">
        <v>88161.379999999888</v>
      </c>
      <c r="V353" s="87">
        <v>0</v>
      </c>
      <c r="W353" s="87">
        <v>0</v>
      </c>
      <c r="X353" s="87">
        <v>0</v>
      </c>
      <c r="Y353" s="87">
        <v>0</v>
      </c>
      <c r="Z353" s="87">
        <v>0</v>
      </c>
      <c r="AA353" s="87">
        <v>0</v>
      </c>
      <c r="AB353" s="87">
        <v>-87.77</v>
      </c>
      <c r="AC353" s="87">
        <v>0</v>
      </c>
      <c r="AD353" s="87">
        <v>0</v>
      </c>
      <c r="AE353" s="87">
        <v>0</v>
      </c>
      <c r="AF353" s="87">
        <v>0</v>
      </c>
      <c r="AG353" s="87">
        <v>508.30000000000007</v>
      </c>
      <c r="AH353" s="87">
        <v>0</v>
      </c>
      <c r="AI353" s="87">
        <v>0</v>
      </c>
      <c r="AJ353" s="87">
        <v>0</v>
      </c>
      <c r="AK353" s="87">
        <v>0</v>
      </c>
      <c r="AL353" s="87">
        <v>0</v>
      </c>
      <c r="AM353" s="87">
        <v>0</v>
      </c>
      <c r="AN353" s="87">
        <v>0</v>
      </c>
      <c r="AO353" s="87">
        <v>0</v>
      </c>
      <c r="AP353" s="87">
        <v>0</v>
      </c>
      <c r="AQ353" s="87">
        <v>0</v>
      </c>
      <c r="AR353" s="87">
        <v>0</v>
      </c>
      <c r="AS353" s="87">
        <v>0</v>
      </c>
      <c r="AT353" s="87">
        <v>0</v>
      </c>
      <c r="AU353" s="87">
        <v>0</v>
      </c>
      <c r="AV353" s="87">
        <v>0</v>
      </c>
      <c r="AW353" s="87">
        <v>0</v>
      </c>
      <c r="AX353" s="87">
        <v>0</v>
      </c>
      <c r="AY353" s="87">
        <v>0</v>
      </c>
      <c r="AZ353" s="87">
        <v>0</v>
      </c>
      <c r="BA353" s="87">
        <v>0</v>
      </c>
      <c r="BB353" s="87">
        <v>0</v>
      </c>
      <c r="BC353" s="87">
        <v>0</v>
      </c>
      <c r="BD353" s="87">
        <v>0</v>
      </c>
      <c r="BE353" s="87">
        <v>0</v>
      </c>
      <c r="BF353" s="87">
        <v>0</v>
      </c>
    </row>
    <row r="354" spans="1:58" ht="14.1" customHeight="1">
      <c r="A354" s="75">
        <f t="shared" si="447"/>
        <v>348</v>
      </c>
      <c r="B354" s="76" t="s">
        <v>517</v>
      </c>
      <c r="C354" s="80">
        <f t="shared" si="459"/>
        <v>2.1399999999999864</v>
      </c>
      <c r="D354" s="87">
        <v>0</v>
      </c>
      <c r="E354" s="87">
        <v>0</v>
      </c>
      <c r="F354" s="87">
        <v>0</v>
      </c>
      <c r="G354" s="87">
        <v>0</v>
      </c>
      <c r="H354" s="87">
        <v>0</v>
      </c>
      <c r="I354" s="87">
        <v>0</v>
      </c>
      <c r="J354" s="87">
        <v>0</v>
      </c>
      <c r="K354" s="87">
        <v>0</v>
      </c>
      <c r="L354" s="87">
        <v>0</v>
      </c>
      <c r="M354" s="87">
        <v>0</v>
      </c>
      <c r="N354" s="87">
        <v>0</v>
      </c>
      <c r="O354" s="87">
        <v>0</v>
      </c>
      <c r="P354" s="87">
        <v>0</v>
      </c>
      <c r="Q354" s="87">
        <v>0</v>
      </c>
      <c r="R354" s="87">
        <v>0</v>
      </c>
      <c r="S354" s="87">
        <v>0</v>
      </c>
      <c r="T354" s="87">
        <v>0</v>
      </c>
      <c r="U354" s="87">
        <v>2.1399999999999864</v>
      </c>
      <c r="V354" s="87">
        <v>0</v>
      </c>
      <c r="W354" s="87">
        <v>0</v>
      </c>
      <c r="X354" s="87">
        <v>0</v>
      </c>
      <c r="Y354" s="87">
        <v>0</v>
      </c>
      <c r="Z354" s="87">
        <v>0</v>
      </c>
      <c r="AA354" s="87">
        <v>0</v>
      </c>
      <c r="AB354" s="87">
        <v>0</v>
      </c>
      <c r="AC354" s="87">
        <v>0</v>
      </c>
      <c r="AD354" s="87">
        <v>0</v>
      </c>
      <c r="AE354" s="87">
        <v>0</v>
      </c>
      <c r="AF354" s="87">
        <v>0</v>
      </c>
      <c r="AG354" s="87">
        <v>0</v>
      </c>
      <c r="AH354" s="87">
        <v>0</v>
      </c>
      <c r="AI354" s="87">
        <v>0</v>
      </c>
      <c r="AJ354" s="87">
        <v>0</v>
      </c>
      <c r="AK354" s="87">
        <v>0</v>
      </c>
      <c r="AL354" s="87">
        <v>0</v>
      </c>
      <c r="AM354" s="87">
        <v>0</v>
      </c>
      <c r="AN354" s="87">
        <v>0</v>
      </c>
      <c r="AO354" s="87">
        <v>0</v>
      </c>
      <c r="AP354" s="87">
        <v>0</v>
      </c>
      <c r="AQ354" s="87">
        <v>0</v>
      </c>
      <c r="AR354" s="87">
        <v>0</v>
      </c>
      <c r="AS354" s="87">
        <v>0</v>
      </c>
      <c r="AT354" s="87">
        <v>0</v>
      </c>
      <c r="AU354" s="87">
        <v>0</v>
      </c>
      <c r="AV354" s="87">
        <v>0</v>
      </c>
      <c r="AW354" s="87">
        <v>0</v>
      </c>
      <c r="AX354" s="87">
        <v>0</v>
      </c>
      <c r="AY354" s="87">
        <v>0</v>
      </c>
      <c r="AZ354" s="87">
        <v>0</v>
      </c>
      <c r="BA354" s="87">
        <v>0</v>
      </c>
      <c r="BB354" s="87">
        <v>0</v>
      </c>
      <c r="BC354" s="87">
        <v>0</v>
      </c>
      <c r="BD354" s="87">
        <v>0</v>
      </c>
      <c r="BE354" s="87">
        <v>0</v>
      </c>
      <c r="BF354" s="87">
        <v>0</v>
      </c>
    </row>
    <row r="355" spans="1:58" ht="14.1" customHeight="1">
      <c r="A355" s="75">
        <f t="shared" si="447"/>
        <v>349</v>
      </c>
      <c r="B355" s="76" t="s">
        <v>518</v>
      </c>
      <c r="C355" s="80">
        <f t="shared" si="459"/>
        <v>138.28000000000065</v>
      </c>
      <c r="D355" s="87">
        <v>0</v>
      </c>
      <c r="E355" s="87">
        <v>0</v>
      </c>
      <c r="F355" s="87">
        <v>0</v>
      </c>
      <c r="G355" s="87">
        <v>0</v>
      </c>
      <c r="H355" s="87">
        <v>0</v>
      </c>
      <c r="I355" s="87">
        <v>0</v>
      </c>
      <c r="J355" s="87">
        <v>0</v>
      </c>
      <c r="K355" s="87">
        <v>0</v>
      </c>
      <c r="L355" s="87">
        <v>0</v>
      </c>
      <c r="M355" s="87">
        <v>0</v>
      </c>
      <c r="N355" s="87">
        <v>0</v>
      </c>
      <c r="O355" s="87">
        <v>0</v>
      </c>
      <c r="P355" s="87">
        <v>0</v>
      </c>
      <c r="Q355" s="87">
        <v>0</v>
      </c>
      <c r="R355" s="87">
        <v>0</v>
      </c>
      <c r="S355" s="87">
        <v>0</v>
      </c>
      <c r="T355" s="87">
        <v>0</v>
      </c>
      <c r="U355" s="87">
        <v>138.28000000000065</v>
      </c>
      <c r="V355" s="87">
        <v>0</v>
      </c>
      <c r="W355" s="87">
        <v>0</v>
      </c>
      <c r="X355" s="87">
        <v>0</v>
      </c>
      <c r="Y355" s="87">
        <v>0</v>
      </c>
      <c r="Z355" s="87">
        <v>0</v>
      </c>
      <c r="AA355" s="87">
        <v>0</v>
      </c>
      <c r="AB355" s="87">
        <v>0</v>
      </c>
      <c r="AC355" s="87">
        <v>0</v>
      </c>
      <c r="AD355" s="87">
        <v>0</v>
      </c>
      <c r="AE355" s="87">
        <v>0</v>
      </c>
      <c r="AF355" s="87">
        <v>0</v>
      </c>
      <c r="AG355" s="87">
        <v>0</v>
      </c>
      <c r="AH355" s="87">
        <v>0</v>
      </c>
      <c r="AI355" s="87">
        <v>0</v>
      </c>
      <c r="AJ355" s="87">
        <v>0</v>
      </c>
      <c r="AK355" s="87">
        <v>0</v>
      </c>
      <c r="AL355" s="87">
        <v>0</v>
      </c>
      <c r="AM355" s="87">
        <v>0</v>
      </c>
      <c r="AN355" s="87">
        <v>0</v>
      </c>
      <c r="AO355" s="87">
        <v>0</v>
      </c>
      <c r="AP355" s="87">
        <v>0</v>
      </c>
      <c r="AQ355" s="87">
        <v>0</v>
      </c>
      <c r="AR355" s="87">
        <v>0</v>
      </c>
      <c r="AS355" s="87">
        <v>0</v>
      </c>
      <c r="AT355" s="87">
        <v>0</v>
      </c>
      <c r="AU355" s="87">
        <v>0</v>
      </c>
      <c r="AV355" s="87">
        <v>0</v>
      </c>
      <c r="AW355" s="87">
        <v>0</v>
      </c>
      <c r="AX355" s="87">
        <v>0</v>
      </c>
      <c r="AY355" s="87">
        <v>0</v>
      </c>
      <c r="AZ355" s="87">
        <v>0</v>
      </c>
      <c r="BA355" s="87">
        <v>0</v>
      </c>
      <c r="BB355" s="87">
        <v>0</v>
      </c>
      <c r="BC355" s="87">
        <v>0</v>
      </c>
      <c r="BD355" s="87">
        <v>0</v>
      </c>
      <c r="BE355" s="87">
        <v>0</v>
      </c>
      <c r="BF355" s="87">
        <v>0</v>
      </c>
    </row>
    <row r="356" spans="1:58" ht="14.1" customHeight="1">
      <c r="A356" s="75">
        <f t="shared" si="447"/>
        <v>350</v>
      </c>
      <c r="B356" s="90" t="s">
        <v>519</v>
      </c>
      <c r="C356" s="80">
        <f t="shared" si="459"/>
        <v>20986.020000000019</v>
      </c>
      <c r="D356" s="87">
        <v>0</v>
      </c>
      <c r="E356" s="87">
        <v>0</v>
      </c>
      <c r="F356" s="87">
        <v>0</v>
      </c>
      <c r="G356" s="87">
        <v>0</v>
      </c>
      <c r="H356" s="87">
        <v>0</v>
      </c>
      <c r="I356" s="87">
        <v>0</v>
      </c>
      <c r="J356" s="87">
        <v>0</v>
      </c>
      <c r="K356" s="87">
        <v>0</v>
      </c>
      <c r="L356" s="87">
        <v>0</v>
      </c>
      <c r="M356" s="87">
        <v>0</v>
      </c>
      <c r="N356" s="87">
        <v>0</v>
      </c>
      <c r="O356" s="87">
        <v>0</v>
      </c>
      <c r="P356" s="87">
        <v>0</v>
      </c>
      <c r="Q356" s="87">
        <v>0</v>
      </c>
      <c r="R356" s="87">
        <v>0</v>
      </c>
      <c r="S356" s="87">
        <v>0</v>
      </c>
      <c r="T356" s="87">
        <v>0</v>
      </c>
      <c r="U356" s="87">
        <v>20986.020000000019</v>
      </c>
      <c r="V356" s="87">
        <v>0</v>
      </c>
      <c r="W356" s="87">
        <v>0</v>
      </c>
      <c r="X356" s="87">
        <v>0</v>
      </c>
      <c r="Y356" s="87">
        <v>0</v>
      </c>
      <c r="Z356" s="87">
        <v>0</v>
      </c>
      <c r="AA356" s="87">
        <v>0</v>
      </c>
      <c r="AB356" s="87">
        <v>0</v>
      </c>
      <c r="AC356" s="87">
        <v>0</v>
      </c>
      <c r="AD356" s="87">
        <v>0</v>
      </c>
      <c r="AE356" s="87">
        <v>0</v>
      </c>
      <c r="AF356" s="87">
        <v>0</v>
      </c>
      <c r="AG356" s="87">
        <v>0</v>
      </c>
      <c r="AH356" s="87">
        <v>0</v>
      </c>
      <c r="AI356" s="87">
        <v>0</v>
      </c>
      <c r="AJ356" s="87">
        <v>0</v>
      </c>
      <c r="AK356" s="87">
        <v>0</v>
      </c>
      <c r="AL356" s="87">
        <v>0</v>
      </c>
      <c r="AM356" s="87">
        <v>0</v>
      </c>
      <c r="AN356" s="87">
        <v>0</v>
      </c>
      <c r="AO356" s="87">
        <v>0</v>
      </c>
      <c r="AP356" s="87">
        <v>0</v>
      </c>
      <c r="AQ356" s="87">
        <v>0</v>
      </c>
      <c r="AR356" s="87">
        <v>0</v>
      </c>
      <c r="AS356" s="87">
        <v>0</v>
      </c>
      <c r="AT356" s="87">
        <v>0</v>
      </c>
      <c r="AU356" s="87">
        <v>0</v>
      </c>
      <c r="AV356" s="87">
        <v>0</v>
      </c>
      <c r="AW356" s="87">
        <v>0</v>
      </c>
      <c r="AX356" s="87">
        <v>0</v>
      </c>
      <c r="AY356" s="87">
        <v>0</v>
      </c>
      <c r="AZ356" s="87">
        <v>0</v>
      </c>
      <c r="BA356" s="87">
        <v>0</v>
      </c>
      <c r="BB356" s="87">
        <v>0</v>
      </c>
      <c r="BC356" s="87">
        <v>0</v>
      </c>
      <c r="BD356" s="87">
        <v>0</v>
      </c>
      <c r="BE356" s="87">
        <v>0</v>
      </c>
      <c r="BF356" s="87">
        <v>0</v>
      </c>
    </row>
    <row r="357" spans="1:58" ht="14.1" customHeight="1">
      <c r="A357" s="75">
        <f t="shared" si="447"/>
        <v>351</v>
      </c>
      <c r="B357" s="108" t="s">
        <v>780</v>
      </c>
      <c r="C357" s="127">
        <f t="shared" ref="C357:V357" si="460">SUM(C350:C356)</f>
        <v>120990.9499999999</v>
      </c>
      <c r="D357" s="127">
        <f t="shared" si="460"/>
        <v>0</v>
      </c>
      <c r="E357" s="127">
        <f t="shared" si="460"/>
        <v>0</v>
      </c>
      <c r="F357" s="127">
        <f t="shared" si="460"/>
        <v>0</v>
      </c>
      <c r="G357" s="127">
        <f t="shared" si="460"/>
        <v>0</v>
      </c>
      <c r="H357" s="127">
        <f t="shared" si="460"/>
        <v>0</v>
      </c>
      <c r="I357" s="127">
        <f t="shared" si="460"/>
        <v>0</v>
      </c>
      <c r="J357" s="127">
        <f t="shared" si="460"/>
        <v>0</v>
      </c>
      <c r="K357" s="127">
        <f t="shared" si="460"/>
        <v>0</v>
      </c>
      <c r="L357" s="127">
        <f t="shared" si="460"/>
        <v>0</v>
      </c>
      <c r="M357" s="127">
        <f t="shared" si="460"/>
        <v>0</v>
      </c>
      <c r="N357" s="127">
        <f t="shared" si="460"/>
        <v>0</v>
      </c>
      <c r="O357" s="127">
        <f t="shared" si="460"/>
        <v>0</v>
      </c>
      <c r="P357" s="127">
        <f t="shared" si="460"/>
        <v>0</v>
      </c>
      <c r="Q357" s="127">
        <f t="shared" si="460"/>
        <v>0</v>
      </c>
      <c r="R357" s="127">
        <f t="shared" si="460"/>
        <v>0</v>
      </c>
      <c r="S357" s="127">
        <f t="shared" si="460"/>
        <v>0</v>
      </c>
      <c r="T357" s="127">
        <f t="shared" si="460"/>
        <v>0</v>
      </c>
      <c r="U357" s="127">
        <f t="shared" si="460"/>
        <v>120570.4199999999</v>
      </c>
      <c r="V357" s="127">
        <f t="shared" si="460"/>
        <v>0</v>
      </c>
      <c r="W357" s="127">
        <f>SUM(W350:W356)</f>
        <v>0</v>
      </c>
      <c r="X357" s="127">
        <f t="shared" ref="X357:AD357" si="461">SUM(X350:X356)</f>
        <v>0</v>
      </c>
      <c r="Y357" s="127">
        <f>SUM(Y350:Y356)</f>
        <v>0</v>
      </c>
      <c r="Z357" s="127">
        <f t="shared" si="461"/>
        <v>0</v>
      </c>
      <c r="AA357" s="127">
        <f t="shared" si="461"/>
        <v>0</v>
      </c>
      <c r="AB357" s="127">
        <f t="shared" si="461"/>
        <v>-87.77</v>
      </c>
      <c r="AC357" s="127">
        <f t="shared" si="461"/>
        <v>0</v>
      </c>
      <c r="AD357" s="127">
        <f t="shared" si="461"/>
        <v>0</v>
      </c>
      <c r="AE357" s="127">
        <f>SUM(AE350:AE356)</f>
        <v>0</v>
      </c>
      <c r="AF357" s="127">
        <f>SUM(AF350:AF356)</f>
        <v>0</v>
      </c>
      <c r="AG357" s="127">
        <f>SUM(AG350:AG356)</f>
        <v>508.30000000000007</v>
      </c>
      <c r="AH357" s="127">
        <f t="shared" ref="AH357:AL357" si="462">SUM(AH350:AH356)</f>
        <v>0</v>
      </c>
      <c r="AI357" s="127">
        <f t="shared" si="462"/>
        <v>0</v>
      </c>
      <c r="AJ357" s="127">
        <f t="shared" si="462"/>
        <v>0</v>
      </c>
      <c r="AK357" s="127">
        <f t="shared" si="462"/>
        <v>0</v>
      </c>
      <c r="AL357" s="127">
        <f t="shared" si="462"/>
        <v>0</v>
      </c>
      <c r="AM357" s="127">
        <f>SUM(AM350:AM356)</f>
        <v>0</v>
      </c>
      <c r="AN357" s="127">
        <f>SUM(AN350:AN356)</f>
        <v>0</v>
      </c>
      <c r="AO357" s="127">
        <f>SUM(AO350:AO356)</f>
        <v>0</v>
      </c>
      <c r="AP357" s="127">
        <f>SUM(AP350:AP356)</f>
        <v>0</v>
      </c>
      <c r="AQ357" s="127">
        <f>SUM(AQ350:AQ356)</f>
        <v>0</v>
      </c>
      <c r="AR357" s="127">
        <f t="shared" ref="AR357" si="463">SUM(AR350:AR356)</f>
        <v>0</v>
      </c>
      <c r="AS357" s="127">
        <f>SUM(AS350:AS356)</f>
        <v>0</v>
      </c>
      <c r="AT357" s="127">
        <f t="shared" ref="AT357:AV357" si="464">SUM(AT350:AT356)</f>
        <v>0</v>
      </c>
      <c r="AU357" s="127">
        <f t="shared" si="464"/>
        <v>0</v>
      </c>
      <c r="AV357" s="127">
        <f t="shared" si="464"/>
        <v>0</v>
      </c>
      <c r="AW357" s="127">
        <f>SUM(AW350:AW356)</f>
        <v>0</v>
      </c>
      <c r="AX357" s="127">
        <f t="shared" ref="AX357:BF357" si="465">SUM(AX350:AX356)</f>
        <v>0</v>
      </c>
      <c r="AY357" s="127">
        <f t="shared" si="465"/>
        <v>0</v>
      </c>
      <c r="AZ357" s="127">
        <f t="shared" si="465"/>
        <v>0</v>
      </c>
      <c r="BA357" s="127">
        <f t="shared" si="465"/>
        <v>0</v>
      </c>
      <c r="BB357" s="127">
        <f t="shared" si="465"/>
        <v>0</v>
      </c>
      <c r="BC357" s="127">
        <f t="shared" si="465"/>
        <v>0</v>
      </c>
      <c r="BD357" s="127">
        <f t="shared" si="465"/>
        <v>0</v>
      </c>
      <c r="BE357" s="127">
        <f t="shared" si="465"/>
        <v>0</v>
      </c>
      <c r="BF357" s="127">
        <f t="shared" si="465"/>
        <v>0</v>
      </c>
    </row>
    <row r="358" spans="1:58" ht="14.1" customHeight="1">
      <c r="A358" s="75">
        <f t="shared" si="447"/>
        <v>352</v>
      </c>
      <c r="B358" s="121"/>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5"/>
      <c r="AL358" s="115"/>
      <c r="AM358" s="115"/>
      <c r="AN358" s="115"/>
      <c r="AO358" s="115"/>
      <c r="AP358" s="115"/>
      <c r="AQ358" s="115"/>
      <c r="AR358" s="115"/>
      <c r="AS358" s="115"/>
      <c r="AT358" s="115"/>
      <c r="AU358" s="115"/>
      <c r="AV358" s="115"/>
      <c r="AW358" s="115"/>
      <c r="AX358" s="115"/>
      <c r="AY358" s="115"/>
      <c r="AZ358" s="115"/>
      <c r="BA358" s="115"/>
      <c r="BB358" s="115"/>
      <c r="BC358" s="115"/>
      <c r="BD358" s="115"/>
      <c r="BE358" s="115"/>
      <c r="BF358" s="115"/>
    </row>
    <row r="359" spans="1:58" ht="14.1" customHeight="1">
      <c r="A359" s="75">
        <f t="shared" si="447"/>
        <v>353</v>
      </c>
      <c r="B359" s="108" t="s">
        <v>781</v>
      </c>
      <c r="C359" s="128">
        <f t="shared" ref="C359:V359" si="466">C347+C357</f>
        <v>1762451.7700000231</v>
      </c>
      <c r="D359" s="128">
        <f t="shared" si="466"/>
        <v>0</v>
      </c>
      <c r="E359" s="128">
        <f t="shared" si="466"/>
        <v>0</v>
      </c>
      <c r="F359" s="128">
        <f t="shared" si="466"/>
        <v>0</v>
      </c>
      <c r="G359" s="128">
        <f t="shared" si="466"/>
        <v>0</v>
      </c>
      <c r="H359" s="128">
        <f t="shared" si="466"/>
        <v>0</v>
      </c>
      <c r="I359" s="128">
        <f t="shared" si="466"/>
        <v>0</v>
      </c>
      <c r="J359" s="128">
        <f t="shared" si="466"/>
        <v>0</v>
      </c>
      <c r="K359" s="128">
        <f t="shared" si="466"/>
        <v>0</v>
      </c>
      <c r="L359" s="128">
        <f t="shared" si="466"/>
        <v>0</v>
      </c>
      <c r="M359" s="128">
        <f t="shared" si="466"/>
        <v>-4174374.15</v>
      </c>
      <c r="N359" s="128">
        <f t="shared" si="466"/>
        <v>0</v>
      </c>
      <c r="O359" s="128">
        <f t="shared" si="466"/>
        <v>0</v>
      </c>
      <c r="P359" s="128">
        <f t="shared" si="466"/>
        <v>0</v>
      </c>
      <c r="Q359" s="128">
        <f t="shared" si="466"/>
        <v>0</v>
      </c>
      <c r="R359" s="128">
        <f t="shared" si="466"/>
        <v>0</v>
      </c>
      <c r="S359" s="128">
        <f t="shared" si="466"/>
        <v>5725020</v>
      </c>
      <c r="T359" s="128">
        <f t="shared" si="466"/>
        <v>0</v>
      </c>
      <c r="U359" s="128">
        <f t="shared" si="466"/>
        <v>209103.03000002285</v>
      </c>
      <c r="V359" s="128">
        <f t="shared" si="466"/>
        <v>0</v>
      </c>
      <c r="W359" s="128">
        <f>W347+W357</f>
        <v>0</v>
      </c>
      <c r="X359" s="128">
        <f t="shared" ref="X359:AD359" si="467">X347+X357</f>
        <v>0</v>
      </c>
      <c r="Y359" s="128">
        <f>Y347+Y357</f>
        <v>0</v>
      </c>
      <c r="Z359" s="128">
        <f t="shared" si="467"/>
        <v>0</v>
      </c>
      <c r="AA359" s="128">
        <f t="shared" si="467"/>
        <v>0</v>
      </c>
      <c r="AB359" s="128">
        <f t="shared" si="467"/>
        <v>-87.77</v>
      </c>
      <c r="AC359" s="128">
        <f t="shared" si="467"/>
        <v>0</v>
      </c>
      <c r="AD359" s="128">
        <f t="shared" si="467"/>
        <v>0</v>
      </c>
      <c r="AE359" s="128">
        <f>AE347+AE357</f>
        <v>0</v>
      </c>
      <c r="AF359" s="128">
        <f>AF347+AF357</f>
        <v>0</v>
      </c>
      <c r="AG359" s="128">
        <f>AG347+AG357</f>
        <v>2790.6600000000003</v>
      </c>
      <c r="AH359" s="128">
        <f t="shared" ref="AH359:AL359" si="468">AH347+AH357</f>
        <v>0</v>
      </c>
      <c r="AI359" s="128">
        <f t="shared" si="468"/>
        <v>0</v>
      </c>
      <c r="AJ359" s="128">
        <f t="shared" si="468"/>
        <v>0</v>
      </c>
      <c r="AK359" s="128">
        <f t="shared" si="468"/>
        <v>0</v>
      </c>
      <c r="AL359" s="128">
        <f t="shared" si="468"/>
        <v>0</v>
      </c>
      <c r="AM359" s="128">
        <f>AM347+AM357</f>
        <v>0</v>
      </c>
      <c r="AN359" s="128">
        <f>AN347+AN357</f>
        <v>0</v>
      </c>
      <c r="AO359" s="128">
        <f>AO347+AO357</f>
        <v>0</v>
      </c>
      <c r="AP359" s="128">
        <f>AP347+AP357</f>
        <v>0</v>
      </c>
      <c r="AQ359" s="128">
        <f>AQ347+AQ357</f>
        <v>0</v>
      </c>
      <c r="AR359" s="128">
        <f t="shared" ref="AR359" si="469">AR347+AR357</f>
        <v>0</v>
      </c>
      <c r="AS359" s="128">
        <f>AS347+AS357</f>
        <v>0</v>
      </c>
      <c r="AT359" s="128">
        <f t="shared" ref="AT359:AV359" si="470">AT347+AT357</f>
        <v>0</v>
      </c>
      <c r="AU359" s="128">
        <f t="shared" si="470"/>
        <v>0</v>
      </c>
      <c r="AV359" s="128">
        <f t="shared" si="470"/>
        <v>0</v>
      </c>
      <c r="AW359" s="128">
        <f>AW347+AW357</f>
        <v>0</v>
      </c>
      <c r="AX359" s="128">
        <f t="shared" ref="AX359:BF359" si="471">AX347+AX357</f>
        <v>0</v>
      </c>
      <c r="AY359" s="128">
        <f t="shared" si="471"/>
        <v>0</v>
      </c>
      <c r="AZ359" s="128">
        <f t="shared" si="471"/>
        <v>0</v>
      </c>
      <c r="BA359" s="128">
        <f t="shared" si="471"/>
        <v>0</v>
      </c>
      <c r="BB359" s="128">
        <f t="shared" si="471"/>
        <v>0</v>
      </c>
      <c r="BC359" s="128">
        <f t="shared" si="471"/>
        <v>0</v>
      </c>
      <c r="BD359" s="128">
        <f t="shared" si="471"/>
        <v>0</v>
      </c>
      <c r="BE359" s="128">
        <f t="shared" si="471"/>
        <v>0</v>
      </c>
      <c r="BF359" s="128">
        <f t="shared" si="471"/>
        <v>0</v>
      </c>
    </row>
    <row r="360" spans="1:58" ht="14.1" customHeight="1">
      <c r="A360" s="75">
        <f t="shared" si="447"/>
        <v>354</v>
      </c>
      <c r="B360" s="89"/>
      <c r="C360" s="126"/>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row>
    <row r="361" spans="1:58" ht="14.1" customHeight="1">
      <c r="A361" s="75">
        <f t="shared" si="447"/>
        <v>355</v>
      </c>
      <c r="B361" s="81" t="s">
        <v>523</v>
      </c>
      <c r="C361" s="129"/>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c r="AB361" s="87"/>
      <c r="AC361" s="87"/>
      <c r="AD361" s="87"/>
      <c r="AE361" s="87"/>
      <c r="AF361" s="87"/>
      <c r="AG361" s="87"/>
      <c r="AH361" s="87"/>
      <c r="AI361" s="87"/>
      <c r="AJ361" s="87"/>
      <c r="AK361" s="87"/>
      <c r="AL361" s="87"/>
      <c r="AM361" s="87"/>
      <c r="AN361" s="87"/>
      <c r="AO361" s="87"/>
      <c r="AP361" s="87"/>
      <c r="AQ361" s="87"/>
      <c r="AR361" s="87"/>
      <c r="AS361" s="87"/>
      <c r="AT361" s="87"/>
      <c r="AU361" s="87"/>
      <c r="AV361" s="87"/>
      <c r="AW361" s="87"/>
      <c r="AX361" s="87"/>
      <c r="AY361" s="87"/>
      <c r="AZ361" s="87"/>
      <c r="BA361" s="87"/>
      <c r="BB361" s="87"/>
      <c r="BC361" s="87"/>
      <c r="BD361" s="87"/>
      <c r="BE361" s="87"/>
      <c r="BF361" s="87"/>
    </row>
    <row r="362" spans="1:58" ht="14.1" customHeight="1">
      <c r="A362" s="75">
        <f t="shared" si="447"/>
        <v>356</v>
      </c>
      <c r="B362" s="76" t="s">
        <v>524</v>
      </c>
      <c r="C362" s="80">
        <f t="shared" ref="C362:C371" si="472">SUM(D362:BF362)</f>
        <v>29762.210000000166</v>
      </c>
      <c r="D362" s="87">
        <v>0</v>
      </c>
      <c r="E362" s="87">
        <v>0</v>
      </c>
      <c r="F362" s="87">
        <v>0</v>
      </c>
      <c r="G362" s="87">
        <v>0</v>
      </c>
      <c r="H362" s="87">
        <v>0</v>
      </c>
      <c r="I362" s="87">
        <v>0</v>
      </c>
      <c r="J362" s="87">
        <v>0</v>
      </c>
      <c r="K362" s="87">
        <v>0</v>
      </c>
      <c r="L362" s="87">
        <v>0</v>
      </c>
      <c r="M362" s="87">
        <v>0</v>
      </c>
      <c r="N362" s="87">
        <v>0</v>
      </c>
      <c r="O362" s="87">
        <v>0</v>
      </c>
      <c r="P362" s="87">
        <v>0</v>
      </c>
      <c r="Q362" s="87">
        <v>0</v>
      </c>
      <c r="R362" s="87">
        <v>0</v>
      </c>
      <c r="S362" s="87">
        <v>0</v>
      </c>
      <c r="T362" s="87">
        <v>0</v>
      </c>
      <c r="U362" s="87">
        <v>1452.1800000001676</v>
      </c>
      <c r="V362" s="87">
        <v>0</v>
      </c>
      <c r="W362" s="87">
        <v>0</v>
      </c>
      <c r="X362" s="87">
        <v>0</v>
      </c>
      <c r="Y362" s="87">
        <v>0</v>
      </c>
      <c r="Z362" s="87">
        <v>0</v>
      </c>
      <c r="AA362" s="87">
        <v>0</v>
      </c>
      <c r="AB362" s="87">
        <v>153.40999999999997</v>
      </c>
      <c r="AC362" s="87">
        <v>0</v>
      </c>
      <c r="AD362" s="87">
        <v>0</v>
      </c>
      <c r="AE362" s="87">
        <v>0</v>
      </c>
      <c r="AF362" s="87">
        <v>0</v>
      </c>
      <c r="AG362" s="87">
        <v>28156.62</v>
      </c>
      <c r="AH362" s="87">
        <v>0</v>
      </c>
      <c r="AI362" s="87">
        <v>0</v>
      </c>
      <c r="AJ362" s="87">
        <v>0</v>
      </c>
      <c r="AK362" s="87">
        <v>0</v>
      </c>
      <c r="AL362" s="87">
        <v>0</v>
      </c>
      <c r="AM362" s="87">
        <v>0</v>
      </c>
      <c r="AN362" s="87">
        <v>0</v>
      </c>
      <c r="AO362" s="87">
        <v>0</v>
      </c>
      <c r="AP362" s="87">
        <v>0</v>
      </c>
      <c r="AQ362" s="87">
        <v>0</v>
      </c>
      <c r="AR362" s="87">
        <v>0</v>
      </c>
      <c r="AS362" s="87">
        <v>0</v>
      </c>
      <c r="AT362" s="87">
        <v>0</v>
      </c>
      <c r="AU362" s="87">
        <v>0</v>
      </c>
      <c r="AV362" s="87">
        <v>0</v>
      </c>
      <c r="AW362" s="87">
        <v>0</v>
      </c>
      <c r="AX362" s="87">
        <v>0</v>
      </c>
      <c r="AY362" s="87">
        <v>0</v>
      </c>
      <c r="AZ362" s="87">
        <v>0</v>
      </c>
      <c r="BA362" s="87">
        <v>0</v>
      </c>
      <c r="BB362" s="87">
        <v>0</v>
      </c>
      <c r="BC362" s="87">
        <v>0</v>
      </c>
      <c r="BD362" s="87">
        <v>0</v>
      </c>
      <c r="BE362" s="87">
        <v>0</v>
      </c>
      <c r="BF362" s="87">
        <v>0</v>
      </c>
    </row>
    <row r="363" spans="1:58" ht="14.1" customHeight="1">
      <c r="A363" s="75">
        <f t="shared" si="447"/>
        <v>357</v>
      </c>
      <c r="B363" s="76" t="s">
        <v>525</v>
      </c>
      <c r="C363" s="80">
        <f t="shared" si="472"/>
        <v>2.7200000000002547</v>
      </c>
      <c r="D363" s="87">
        <v>0</v>
      </c>
      <c r="E363" s="87">
        <v>0</v>
      </c>
      <c r="F363" s="87">
        <v>0</v>
      </c>
      <c r="G363" s="87">
        <v>0</v>
      </c>
      <c r="H363" s="87">
        <v>0</v>
      </c>
      <c r="I363" s="87">
        <v>0</v>
      </c>
      <c r="J363" s="87">
        <v>0</v>
      </c>
      <c r="K363" s="87">
        <v>0</v>
      </c>
      <c r="L363" s="87">
        <v>0</v>
      </c>
      <c r="M363" s="87">
        <v>0</v>
      </c>
      <c r="N363" s="87">
        <v>0</v>
      </c>
      <c r="O363" s="87">
        <v>0</v>
      </c>
      <c r="P363" s="87">
        <v>0</v>
      </c>
      <c r="Q363" s="87">
        <v>0</v>
      </c>
      <c r="R363" s="87">
        <v>0</v>
      </c>
      <c r="S363" s="87">
        <v>0</v>
      </c>
      <c r="T363" s="87">
        <v>0</v>
      </c>
      <c r="U363" s="87">
        <v>2.7200000000002547</v>
      </c>
      <c r="V363" s="87">
        <v>0</v>
      </c>
      <c r="W363" s="87">
        <v>0</v>
      </c>
      <c r="X363" s="87">
        <v>0</v>
      </c>
      <c r="Y363" s="87">
        <v>0</v>
      </c>
      <c r="Z363" s="87">
        <v>0</v>
      </c>
      <c r="AA363" s="87">
        <v>0</v>
      </c>
      <c r="AB363" s="87">
        <v>0</v>
      </c>
      <c r="AC363" s="87">
        <v>0</v>
      </c>
      <c r="AD363" s="87">
        <v>0</v>
      </c>
      <c r="AE363" s="87">
        <v>0</v>
      </c>
      <c r="AF363" s="87">
        <v>0</v>
      </c>
      <c r="AG363" s="87">
        <v>0</v>
      </c>
      <c r="AH363" s="87">
        <v>0</v>
      </c>
      <c r="AI363" s="87">
        <v>0</v>
      </c>
      <c r="AJ363" s="87">
        <v>0</v>
      </c>
      <c r="AK363" s="87">
        <v>0</v>
      </c>
      <c r="AL363" s="87">
        <v>0</v>
      </c>
      <c r="AM363" s="87">
        <v>0</v>
      </c>
      <c r="AN363" s="87">
        <v>0</v>
      </c>
      <c r="AO363" s="87">
        <v>0</v>
      </c>
      <c r="AP363" s="87">
        <v>0</v>
      </c>
      <c r="AQ363" s="87">
        <v>0</v>
      </c>
      <c r="AR363" s="87">
        <v>0</v>
      </c>
      <c r="AS363" s="87">
        <v>0</v>
      </c>
      <c r="AT363" s="87">
        <v>0</v>
      </c>
      <c r="AU363" s="87">
        <v>0</v>
      </c>
      <c r="AV363" s="87">
        <v>0</v>
      </c>
      <c r="AW363" s="87">
        <v>0</v>
      </c>
      <c r="AX363" s="87">
        <v>0</v>
      </c>
      <c r="AY363" s="87">
        <v>0</v>
      </c>
      <c r="AZ363" s="87">
        <v>0</v>
      </c>
      <c r="BA363" s="87">
        <v>0</v>
      </c>
      <c r="BB363" s="87">
        <v>0</v>
      </c>
      <c r="BC363" s="87">
        <v>0</v>
      </c>
      <c r="BD363" s="87">
        <v>0</v>
      </c>
      <c r="BE363" s="87">
        <v>0</v>
      </c>
      <c r="BF363" s="87">
        <v>0</v>
      </c>
    </row>
    <row r="364" spans="1:58" ht="14.1" customHeight="1">
      <c r="A364" s="75">
        <f t="shared" si="447"/>
        <v>358</v>
      </c>
      <c r="B364" s="76" t="s">
        <v>526</v>
      </c>
      <c r="C364" s="80">
        <f t="shared" si="472"/>
        <v>369.6600000000326</v>
      </c>
      <c r="D364" s="87">
        <v>0</v>
      </c>
      <c r="E364" s="87">
        <v>0</v>
      </c>
      <c r="F364" s="87">
        <v>0</v>
      </c>
      <c r="G364" s="87">
        <v>0</v>
      </c>
      <c r="H364" s="87">
        <v>0</v>
      </c>
      <c r="I364" s="87">
        <v>0</v>
      </c>
      <c r="J364" s="87">
        <v>0</v>
      </c>
      <c r="K364" s="87">
        <v>0</v>
      </c>
      <c r="L364" s="87">
        <v>0</v>
      </c>
      <c r="M364" s="87">
        <v>0</v>
      </c>
      <c r="N364" s="87">
        <v>0</v>
      </c>
      <c r="O364" s="87">
        <v>0</v>
      </c>
      <c r="P364" s="87">
        <v>0</v>
      </c>
      <c r="Q364" s="87">
        <v>0</v>
      </c>
      <c r="R364" s="87">
        <v>0</v>
      </c>
      <c r="S364" s="87">
        <v>0</v>
      </c>
      <c r="T364" s="87">
        <v>0</v>
      </c>
      <c r="U364" s="87">
        <v>369.6600000000326</v>
      </c>
      <c r="V364" s="87">
        <v>0</v>
      </c>
      <c r="W364" s="87">
        <v>0</v>
      </c>
      <c r="X364" s="87">
        <v>0</v>
      </c>
      <c r="Y364" s="87">
        <v>0</v>
      </c>
      <c r="Z364" s="87">
        <v>0</v>
      </c>
      <c r="AA364" s="87">
        <v>0</v>
      </c>
      <c r="AB364" s="87">
        <v>0</v>
      </c>
      <c r="AC364" s="87">
        <v>0</v>
      </c>
      <c r="AD364" s="87">
        <v>0</v>
      </c>
      <c r="AE364" s="87">
        <v>0</v>
      </c>
      <c r="AF364" s="87">
        <v>0</v>
      </c>
      <c r="AG364" s="87">
        <v>0</v>
      </c>
      <c r="AH364" s="87">
        <v>0</v>
      </c>
      <c r="AI364" s="87">
        <v>0</v>
      </c>
      <c r="AJ364" s="87">
        <v>0</v>
      </c>
      <c r="AK364" s="87">
        <v>0</v>
      </c>
      <c r="AL364" s="87">
        <v>0</v>
      </c>
      <c r="AM364" s="87">
        <v>0</v>
      </c>
      <c r="AN364" s="87">
        <v>0</v>
      </c>
      <c r="AO364" s="87">
        <v>0</v>
      </c>
      <c r="AP364" s="87">
        <v>0</v>
      </c>
      <c r="AQ364" s="87">
        <v>0</v>
      </c>
      <c r="AR364" s="87">
        <v>0</v>
      </c>
      <c r="AS364" s="87">
        <v>0</v>
      </c>
      <c r="AT364" s="87">
        <v>0</v>
      </c>
      <c r="AU364" s="87">
        <v>0</v>
      </c>
      <c r="AV364" s="87">
        <v>0</v>
      </c>
      <c r="AW364" s="87">
        <v>0</v>
      </c>
      <c r="AX364" s="87">
        <v>0</v>
      </c>
      <c r="AY364" s="87">
        <v>0</v>
      </c>
      <c r="AZ364" s="87">
        <v>0</v>
      </c>
      <c r="BA364" s="87">
        <v>0</v>
      </c>
      <c r="BB364" s="87">
        <v>0</v>
      </c>
      <c r="BC364" s="87">
        <v>0</v>
      </c>
      <c r="BD364" s="87">
        <v>0</v>
      </c>
      <c r="BE364" s="87">
        <v>0</v>
      </c>
      <c r="BF364" s="87">
        <v>0</v>
      </c>
    </row>
    <row r="365" spans="1:58" ht="14.1" customHeight="1">
      <c r="A365" s="75">
        <f t="shared" si="447"/>
        <v>359</v>
      </c>
      <c r="B365" s="76" t="s">
        <v>527</v>
      </c>
      <c r="C365" s="80">
        <f t="shared" si="472"/>
        <v>30095.290000000066</v>
      </c>
      <c r="D365" s="87">
        <v>0</v>
      </c>
      <c r="E365" s="87">
        <v>0</v>
      </c>
      <c r="F365" s="87">
        <v>0</v>
      </c>
      <c r="G365" s="87">
        <v>0</v>
      </c>
      <c r="H365" s="87">
        <v>0</v>
      </c>
      <c r="I365" s="87">
        <v>0</v>
      </c>
      <c r="J365" s="87">
        <v>0</v>
      </c>
      <c r="K365" s="87">
        <v>0</v>
      </c>
      <c r="L365" s="87">
        <v>0</v>
      </c>
      <c r="M365" s="87">
        <v>0</v>
      </c>
      <c r="N365" s="87">
        <v>0</v>
      </c>
      <c r="O365" s="87">
        <v>0</v>
      </c>
      <c r="P365" s="87">
        <v>0</v>
      </c>
      <c r="Q365" s="87">
        <v>0</v>
      </c>
      <c r="R365" s="87">
        <v>0</v>
      </c>
      <c r="S365" s="87">
        <v>0</v>
      </c>
      <c r="T365" s="87">
        <v>0</v>
      </c>
      <c r="U365" s="87">
        <v>723.94000000006054</v>
      </c>
      <c r="V365" s="87">
        <v>0</v>
      </c>
      <c r="W365" s="87">
        <v>0</v>
      </c>
      <c r="X365" s="87">
        <v>0</v>
      </c>
      <c r="Y365" s="87">
        <v>0</v>
      </c>
      <c r="Z365" s="87">
        <v>0</v>
      </c>
      <c r="AA365" s="87">
        <v>0</v>
      </c>
      <c r="AB365" s="87">
        <v>4626.62</v>
      </c>
      <c r="AC365" s="87">
        <v>0</v>
      </c>
      <c r="AD365" s="87">
        <v>0</v>
      </c>
      <c r="AE365" s="87">
        <v>0</v>
      </c>
      <c r="AF365" s="87">
        <v>0</v>
      </c>
      <c r="AG365" s="87">
        <v>24744.730000000007</v>
      </c>
      <c r="AH365" s="87">
        <v>0</v>
      </c>
      <c r="AI365" s="87">
        <v>0</v>
      </c>
      <c r="AJ365" s="87">
        <v>0</v>
      </c>
      <c r="AK365" s="87">
        <v>0</v>
      </c>
      <c r="AL365" s="87">
        <v>0</v>
      </c>
      <c r="AM365" s="87">
        <v>0</v>
      </c>
      <c r="AN365" s="87">
        <v>0</v>
      </c>
      <c r="AO365" s="87">
        <v>0</v>
      </c>
      <c r="AP365" s="87">
        <v>0</v>
      </c>
      <c r="AQ365" s="87">
        <v>0</v>
      </c>
      <c r="AR365" s="87">
        <v>0</v>
      </c>
      <c r="AS365" s="87">
        <v>0</v>
      </c>
      <c r="AT365" s="87">
        <v>0</v>
      </c>
      <c r="AU365" s="87">
        <v>0</v>
      </c>
      <c r="AV365" s="87">
        <v>0</v>
      </c>
      <c r="AW365" s="87">
        <v>0</v>
      </c>
      <c r="AX365" s="87">
        <v>0</v>
      </c>
      <c r="AY365" s="87">
        <v>0</v>
      </c>
      <c r="AZ365" s="87">
        <v>0</v>
      </c>
      <c r="BA365" s="87">
        <v>0</v>
      </c>
      <c r="BB365" s="87">
        <v>0</v>
      </c>
      <c r="BC365" s="87">
        <v>0</v>
      </c>
      <c r="BD365" s="87">
        <v>0</v>
      </c>
      <c r="BE365" s="87">
        <v>0</v>
      </c>
      <c r="BF365" s="87">
        <v>0</v>
      </c>
    </row>
    <row r="366" spans="1:58" ht="14.1" customHeight="1">
      <c r="A366" s="75">
        <f t="shared" si="447"/>
        <v>360</v>
      </c>
      <c r="B366" s="76" t="s">
        <v>528</v>
      </c>
      <c r="C366" s="80">
        <f t="shared" si="472"/>
        <v>432.5399999999953</v>
      </c>
      <c r="D366" s="87">
        <v>0</v>
      </c>
      <c r="E366" s="87">
        <v>0</v>
      </c>
      <c r="F366" s="87">
        <v>0</v>
      </c>
      <c r="G366" s="87">
        <v>0</v>
      </c>
      <c r="H366" s="87">
        <v>0</v>
      </c>
      <c r="I366" s="87">
        <v>0</v>
      </c>
      <c r="J366" s="87">
        <v>0</v>
      </c>
      <c r="K366" s="87">
        <v>0</v>
      </c>
      <c r="L366" s="87">
        <v>0</v>
      </c>
      <c r="M366" s="87">
        <v>0</v>
      </c>
      <c r="N366" s="87">
        <v>0</v>
      </c>
      <c r="O366" s="87">
        <v>0</v>
      </c>
      <c r="P366" s="87">
        <v>0</v>
      </c>
      <c r="Q366" s="87">
        <v>0</v>
      </c>
      <c r="R366" s="87">
        <v>0</v>
      </c>
      <c r="S366" s="87">
        <v>0</v>
      </c>
      <c r="T366" s="87">
        <v>0</v>
      </c>
      <c r="U366" s="87">
        <v>362.36999999999534</v>
      </c>
      <c r="V366" s="87">
        <v>0</v>
      </c>
      <c r="W366" s="87">
        <v>0</v>
      </c>
      <c r="X366" s="87">
        <v>0</v>
      </c>
      <c r="Y366" s="87">
        <v>0</v>
      </c>
      <c r="Z366" s="87">
        <v>0</v>
      </c>
      <c r="AA366" s="87">
        <v>0</v>
      </c>
      <c r="AB366" s="87">
        <v>-3.35</v>
      </c>
      <c r="AC366" s="87">
        <v>0</v>
      </c>
      <c r="AD366" s="87">
        <v>0</v>
      </c>
      <c r="AE366" s="87">
        <v>0</v>
      </c>
      <c r="AF366" s="87">
        <v>0</v>
      </c>
      <c r="AG366" s="87">
        <v>73.52</v>
      </c>
      <c r="AH366" s="87">
        <v>0</v>
      </c>
      <c r="AI366" s="87">
        <v>0</v>
      </c>
      <c r="AJ366" s="87">
        <v>0</v>
      </c>
      <c r="AK366" s="87">
        <v>0</v>
      </c>
      <c r="AL366" s="87">
        <v>0</v>
      </c>
      <c r="AM366" s="87">
        <v>0</v>
      </c>
      <c r="AN366" s="87">
        <v>0</v>
      </c>
      <c r="AO366" s="87">
        <v>0</v>
      </c>
      <c r="AP366" s="87">
        <v>0</v>
      </c>
      <c r="AQ366" s="87">
        <v>0</v>
      </c>
      <c r="AR366" s="87">
        <v>0</v>
      </c>
      <c r="AS366" s="87">
        <v>0</v>
      </c>
      <c r="AT366" s="87">
        <v>0</v>
      </c>
      <c r="AU366" s="87">
        <v>0</v>
      </c>
      <c r="AV366" s="87">
        <v>0</v>
      </c>
      <c r="AW366" s="87">
        <v>0</v>
      </c>
      <c r="AX366" s="87">
        <v>0</v>
      </c>
      <c r="AY366" s="87">
        <v>0</v>
      </c>
      <c r="AZ366" s="87">
        <v>0</v>
      </c>
      <c r="BA366" s="87">
        <v>0</v>
      </c>
      <c r="BB366" s="87">
        <v>0</v>
      </c>
      <c r="BC366" s="87">
        <v>0</v>
      </c>
      <c r="BD366" s="87">
        <v>0</v>
      </c>
      <c r="BE366" s="87">
        <v>0</v>
      </c>
      <c r="BF366" s="87">
        <v>0</v>
      </c>
    </row>
    <row r="367" spans="1:58" ht="14.1" customHeight="1">
      <c r="A367" s="75">
        <f t="shared" si="447"/>
        <v>361</v>
      </c>
      <c r="B367" s="76" t="s">
        <v>529</v>
      </c>
      <c r="C367" s="80">
        <f t="shared" si="472"/>
        <v>561.38000000000022</v>
      </c>
      <c r="D367" s="87">
        <v>0</v>
      </c>
      <c r="E367" s="87">
        <v>0</v>
      </c>
      <c r="F367" s="87">
        <v>0</v>
      </c>
      <c r="G367" s="87">
        <v>0</v>
      </c>
      <c r="H367" s="87">
        <v>0</v>
      </c>
      <c r="I367" s="87">
        <v>0</v>
      </c>
      <c r="J367" s="87">
        <v>0</v>
      </c>
      <c r="K367" s="87">
        <v>0</v>
      </c>
      <c r="L367" s="87">
        <v>0</v>
      </c>
      <c r="M367" s="87">
        <v>0</v>
      </c>
      <c r="N367" s="87">
        <v>0</v>
      </c>
      <c r="O367" s="87">
        <v>0</v>
      </c>
      <c r="P367" s="87">
        <v>0</v>
      </c>
      <c r="Q367" s="87">
        <v>0</v>
      </c>
      <c r="R367" s="87">
        <v>0</v>
      </c>
      <c r="S367" s="87">
        <v>0</v>
      </c>
      <c r="T367" s="87">
        <v>0</v>
      </c>
      <c r="U367" s="87">
        <v>33.180000000000291</v>
      </c>
      <c r="V367" s="87">
        <v>0</v>
      </c>
      <c r="W367" s="87">
        <v>0</v>
      </c>
      <c r="X367" s="87">
        <v>0</v>
      </c>
      <c r="Y367" s="87">
        <v>0</v>
      </c>
      <c r="Z367" s="87">
        <v>0</v>
      </c>
      <c r="AA367" s="87">
        <v>0</v>
      </c>
      <c r="AB367" s="87">
        <v>56.46</v>
      </c>
      <c r="AC367" s="87">
        <v>0</v>
      </c>
      <c r="AD367" s="87">
        <v>0</v>
      </c>
      <c r="AE367" s="87">
        <v>0</v>
      </c>
      <c r="AF367" s="87">
        <v>0</v>
      </c>
      <c r="AG367" s="87">
        <v>471.73999999999995</v>
      </c>
      <c r="AH367" s="87">
        <v>0</v>
      </c>
      <c r="AI367" s="87">
        <v>0</v>
      </c>
      <c r="AJ367" s="87">
        <v>0</v>
      </c>
      <c r="AK367" s="87">
        <v>0</v>
      </c>
      <c r="AL367" s="87">
        <v>0</v>
      </c>
      <c r="AM367" s="87">
        <v>0</v>
      </c>
      <c r="AN367" s="87">
        <v>0</v>
      </c>
      <c r="AO367" s="87">
        <v>0</v>
      </c>
      <c r="AP367" s="87">
        <v>0</v>
      </c>
      <c r="AQ367" s="87">
        <v>0</v>
      </c>
      <c r="AR367" s="87">
        <v>0</v>
      </c>
      <c r="AS367" s="87">
        <v>0</v>
      </c>
      <c r="AT367" s="87">
        <v>0</v>
      </c>
      <c r="AU367" s="87">
        <v>0</v>
      </c>
      <c r="AV367" s="87">
        <v>0</v>
      </c>
      <c r="AW367" s="87">
        <v>0</v>
      </c>
      <c r="AX367" s="87">
        <v>0</v>
      </c>
      <c r="AY367" s="87">
        <v>0</v>
      </c>
      <c r="AZ367" s="87">
        <v>0</v>
      </c>
      <c r="BA367" s="87">
        <v>0</v>
      </c>
      <c r="BB367" s="87">
        <v>0</v>
      </c>
      <c r="BC367" s="87">
        <v>0</v>
      </c>
      <c r="BD367" s="87">
        <v>0</v>
      </c>
      <c r="BE367" s="87">
        <v>0</v>
      </c>
      <c r="BF367" s="87">
        <v>0</v>
      </c>
    </row>
    <row r="368" spans="1:58" ht="14.1" customHeight="1">
      <c r="A368" s="75">
        <f t="shared" si="447"/>
        <v>362</v>
      </c>
      <c r="B368" s="76" t="s">
        <v>530</v>
      </c>
      <c r="C368" s="80">
        <f t="shared" si="472"/>
        <v>139907.47999999992</v>
      </c>
      <c r="D368" s="87">
        <v>0</v>
      </c>
      <c r="E368" s="87">
        <v>0</v>
      </c>
      <c r="F368" s="87">
        <v>0</v>
      </c>
      <c r="G368" s="87">
        <v>0</v>
      </c>
      <c r="H368" s="87">
        <v>0</v>
      </c>
      <c r="I368" s="87">
        <v>0</v>
      </c>
      <c r="J368" s="87">
        <v>0</v>
      </c>
      <c r="K368" s="87">
        <v>0</v>
      </c>
      <c r="L368" s="87">
        <v>0</v>
      </c>
      <c r="M368" s="87">
        <v>0</v>
      </c>
      <c r="N368" s="87">
        <v>0</v>
      </c>
      <c r="O368" s="87">
        <v>0</v>
      </c>
      <c r="P368" s="87">
        <v>0</v>
      </c>
      <c r="Q368" s="87">
        <v>0</v>
      </c>
      <c r="R368" s="87">
        <v>0</v>
      </c>
      <c r="S368" s="87">
        <v>0</v>
      </c>
      <c r="T368" s="87">
        <v>0</v>
      </c>
      <c r="U368" s="87">
        <v>1216.4099999999162</v>
      </c>
      <c r="V368" s="87">
        <v>0</v>
      </c>
      <c r="W368" s="87">
        <v>0</v>
      </c>
      <c r="X368" s="87">
        <v>0</v>
      </c>
      <c r="Y368" s="87">
        <v>0</v>
      </c>
      <c r="Z368" s="87">
        <v>0</v>
      </c>
      <c r="AA368" s="87">
        <v>0</v>
      </c>
      <c r="AB368" s="87">
        <v>7349.5899999999983</v>
      </c>
      <c r="AC368" s="87">
        <v>0</v>
      </c>
      <c r="AD368" s="87">
        <v>0</v>
      </c>
      <c r="AE368" s="87">
        <v>0</v>
      </c>
      <c r="AF368" s="87">
        <v>0</v>
      </c>
      <c r="AG368" s="87">
        <v>131880.88</v>
      </c>
      <c r="AH368" s="87">
        <v>-539.4</v>
      </c>
      <c r="AI368" s="87">
        <v>0</v>
      </c>
      <c r="AJ368" s="87">
        <v>0</v>
      </c>
      <c r="AK368" s="87">
        <v>0</v>
      </c>
      <c r="AL368" s="87">
        <v>0</v>
      </c>
      <c r="AM368" s="87">
        <v>0</v>
      </c>
      <c r="AN368" s="87">
        <v>0</v>
      </c>
      <c r="AO368" s="87">
        <v>0</v>
      </c>
      <c r="AP368" s="87">
        <v>0</v>
      </c>
      <c r="AQ368" s="87">
        <v>0</v>
      </c>
      <c r="AR368" s="87">
        <v>0</v>
      </c>
      <c r="AS368" s="87">
        <v>0</v>
      </c>
      <c r="AT368" s="87">
        <v>0</v>
      </c>
      <c r="AU368" s="87">
        <v>0</v>
      </c>
      <c r="AV368" s="87">
        <v>0</v>
      </c>
      <c r="AW368" s="87">
        <v>0</v>
      </c>
      <c r="AX368" s="87">
        <v>0</v>
      </c>
      <c r="AY368" s="87">
        <v>0</v>
      </c>
      <c r="AZ368" s="87">
        <v>0</v>
      </c>
      <c r="BA368" s="87">
        <v>0</v>
      </c>
      <c r="BB368" s="87">
        <v>0</v>
      </c>
      <c r="BC368" s="87">
        <v>0</v>
      </c>
      <c r="BD368" s="87">
        <v>0</v>
      </c>
      <c r="BE368" s="87">
        <v>0</v>
      </c>
      <c r="BF368" s="87">
        <v>0</v>
      </c>
    </row>
    <row r="369" spans="1:58" ht="14.1" customHeight="1">
      <c r="A369" s="75">
        <f t="shared" si="447"/>
        <v>363</v>
      </c>
      <c r="B369" s="76" t="s">
        <v>531</v>
      </c>
      <c r="C369" s="80">
        <f t="shared" si="472"/>
        <v>17927.960000000014</v>
      </c>
      <c r="D369" s="87">
        <v>0</v>
      </c>
      <c r="E369" s="87">
        <v>0</v>
      </c>
      <c r="F369" s="87">
        <v>0</v>
      </c>
      <c r="G369" s="87">
        <v>0</v>
      </c>
      <c r="H369" s="87">
        <v>0</v>
      </c>
      <c r="I369" s="87">
        <v>0</v>
      </c>
      <c r="J369" s="87">
        <v>0</v>
      </c>
      <c r="K369" s="87">
        <v>0</v>
      </c>
      <c r="L369" s="87">
        <v>0</v>
      </c>
      <c r="M369" s="87">
        <v>0</v>
      </c>
      <c r="N369" s="87">
        <v>0</v>
      </c>
      <c r="O369" s="87">
        <v>0</v>
      </c>
      <c r="P369" s="87">
        <v>0</v>
      </c>
      <c r="Q369" s="87">
        <v>0</v>
      </c>
      <c r="R369" s="87">
        <v>0</v>
      </c>
      <c r="S369" s="87">
        <v>0</v>
      </c>
      <c r="T369" s="87">
        <v>0</v>
      </c>
      <c r="U369" s="87">
        <v>159.14000000001397</v>
      </c>
      <c r="V369" s="87">
        <v>0</v>
      </c>
      <c r="W369" s="87">
        <v>0</v>
      </c>
      <c r="X369" s="87">
        <v>0</v>
      </c>
      <c r="Y369" s="87">
        <v>0</v>
      </c>
      <c r="Z369" s="87">
        <v>0</v>
      </c>
      <c r="AA369" s="87">
        <v>0</v>
      </c>
      <c r="AB369" s="87">
        <v>101.84000000000003</v>
      </c>
      <c r="AC369" s="87">
        <v>0</v>
      </c>
      <c r="AD369" s="87">
        <v>0</v>
      </c>
      <c r="AE369" s="87">
        <v>0</v>
      </c>
      <c r="AF369" s="87">
        <v>0</v>
      </c>
      <c r="AG369" s="87">
        <v>17666.98</v>
      </c>
      <c r="AH369" s="87">
        <v>0</v>
      </c>
      <c r="AI369" s="87">
        <v>0</v>
      </c>
      <c r="AJ369" s="87">
        <v>0</v>
      </c>
      <c r="AK369" s="87">
        <v>0</v>
      </c>
      <c r="AL369" s="87">
        <v>0</v>
      </c>
      <c r="AM369" s="87">
        <v>0</v>
      </c>
      <c r="AN369" s="87">
        <v>0</v>
      </c>
      <c r="AO369" s="87">
        <v>0</v>
      </c>
      <c r="AP369" s="87">
        <v>0</v>
      </c>
      <c r="AQ369" s="87">
        <v>0</v>
      </c>
      <c r="AR369" s="87">
        <v>0</v>
      </c>
      <c r="AS369" s="87">
        <v>0</v>
      </c>
      <c r="AT369" s="87">
        <v>0</v>
      </c>
      <c r="AU369" s="87">
        <v>0</v>
      </c>
      <c r="AV369" s="87">
        <v>0</v>
      </c>
      <c r="AW369" s="87">
        <v>0</v>
      </c>
      <c r="AX369" s="87">
        <v>0</v>
      </c>
      <c r="AY369" s="87">
        <v>0</v>
      </c>
      <c r="AZ369" s="87">
        <v>0</v>
      </c>
      <c r="BA369" s="87">
        <v>0</v>
      </c>
      <c r="BB369" s="87">
        <v>0</v>
      </c>
      <c r="BC369" s="87">
        <v>0</v>
      </c>
      <c r="BD369" s="87">
        <v>0</v>
      </c>
      <c r="BE369" s="87">
        <v>0</v>
      </c>
      <c r="BF369" s="87">
        <v>0</v>
      </c>
    </row>
    <row r="370" spans="1:58" s="89" customFormat="1" ht="14.1" customHeight="1">
      <c r="A370" s="75">
        <f t="shared" si="447"/>
        <v>364</v>
      </c>
      <c r="B370" s="76" t="s">
        <v>532</v>
      </c>
      <c r="C370" s="80">
        <f t="shared" si="472"/>
        <v>-1947796.9309999996</v>
      </c>
      <c r="D370" s="87">
        <v>0</v>
      </c>
      <c r="E370" s="87">
        <v>0</v>
      </c>
      <c r="F370" s="87">
        <v>0</v>
      </c>
      <c r="G370" s="87">
        <v>0</v>
      </c>
      <c r="H370" s="87">
        <v>0</v>
      </c>
      <c r="I370" s="87">
        <v>0</v>
      </c>
      <c r="J370" s="87">
        <v>0</v>
      </c>
      <c r="K370" s="87">
        <v>0</v>
      </c>
      <c r="L370" s="87">
        <v>0</v>
      </c>
      <c r="M370" s="87">
        <v>0</v>
      </c>
      <c r="N370" s="87">
        <v>0</v>
      </c>
      <c r="O370" s="87">
        <v>0</v>
      </c>
      <c r="P370" s="87">
        <v>0</v>
      </c>
      <c r="Q370" s="87">
        <v>0</v>
      </c>
      <c r="R370" s="87">
        <v>0</v>
      </c>
      <c r="S370" s="87">
        <v>0</v>
      </c>
      <c r="T370" s="87">
        <v>0</v>
      </c>
      <c r="U370" s="87">
        <v>5777.3990000002086</v>
      </c>
      <c r="V370" s="87">
        <v>0</v>
      </c>
      <c r="W370" s="87">
        <v>0</v>
      </c>
      <c r="X370" s="87">
        <v>0</v>
      </c>
      <c r="Y370" s="87">
        <v>0</v>
      </c>
      <c r="Z370" s="87">
        <v>0</v>
      </c>
      <c r="AA370" s="87">
        <v>0</v>
      </c>
      <c r="AB370" s="87">
        <v>12582.77</v>
      </c>
      <c r="AC370" s="87">
        <v>0</v>
      </c>
      <c r="AD370" s="87">
        <v>0</v>
      </c>
      <c r="AE370" s="87">
        <v>0</v>
      </c>
      <c r="AF370" s="87">
        <v>-2257483</v>
      </c>
      <c r="AG370" s="87">
        <v>295154.60000000003</v>
      </c>
      <c r="AH370" s="87">
        <v>-3828.7</v>
      </c>
      <c r="AI370" s="87">
        <v>0</v>
      </c>
      <c r="AJ370" s="87">
        <v>0</v>
      </c>
      <c r="AK370" s="87">
        <v>0</v>
      </c>
      <c r="AL370" s="87">
        <v>0</v>
      </c>
      <c r="AM370" s="87">
        <v>0</v>
      </c>
      <c r="AN370" s="87">
        <v>0</v>
      </c>
      <c r="AO370" s="87">
        <v>0</v>
      </c>
      <c r="AP370" s="87">
        <v>0</v>
      </c>
      <c r="AQ370" s="87">
        <v>0</v>
      </c>
      <c r="AR370" s="87">
        <v>0</v>
      </c>
      <c r="AS370" s="87">
        <v>0</v>
      </c>
      <c r="AT370" s="87">
        <v>0</v>
      </c>
      <c r="AU370" s="87">
        <v>0</v>
      </c>
      <c r="AV370" s="87">
        <v>0</v>
      </c>
      <c r="AW370" s="87">
        <v>0</v>
      </c>
      <c r="AX370" s="87">
        <v>0</v>
      </c>
      <c r="AY370" s="87">
        <v>0</v>
      </c>
      <c r="AZ370" s="87">
        <v>0</v>
      </c>
      <c r="BA370" s="87">
        <v>0</v>
      </c>
      <c r="BB370" s="87">
        <v>0</v>
      </c>
      <c r="BC370" s="87">
        <v>0</v>
      </c>
      <c r="BD370" s="87">
        <v>0</v>
      </c>
      <c r="BE370" s="87">
        <v>0</v>
      </c>
      <c r="BF370" s="87">
        <v>0</v>
      </c>
    </row>
    <row r="371" spans="1:58" s="89" customFormat="1" ht="14.1" customHeight="1">
      <c r="A371" s="75">
        <f t="shared" si="447"/>
        <v>365</v>
      </c>
      <c r="B371" s="90" t="s">
        <v>533</v>
      </c>
      <c r="C371" s="80">
        <f t="shared" si="472"/>
        <v>22253.229999999909</v>
      </c>
      <c r="D371" s="87">
        <v>0</v>
      </c>
      <c r="E371" s="87">
        <v>0</v>
      </c>
      <c r="F371" s="87">
        <v>0</v>
      </c>
      <c r="G371" s="87">
        <v>0</v>
      </c>
      <c r="H371" s="87">
        <v>0</v>
      </c>
      <c r="I371" s="87">
        <v>0</v>
      </c>
      <c r="J371" s="87">
        <v>0</v>
      </c>
      <c r="K371" s="87">
        <v>0</v>
      </c>
      <c r="L371" s="87">
        <v>0</v>
      </c>
      <c r="M371" s="87">
        <v>0</v>
      </c>
      <c r="N371" s="87">
        <v>0</v>
      </c>
      <c r="O371" s="87">
        <v>0</v>
      </c>
      <c r="P371" s="87">
        <v>0</v>
      </c>
      <c r="Q371" s="87">
        <v>0</v>
      </c>
      <c r="R371" s="87">
        <v>0</v>
      </c>
      <c r="S371" s="87">
        <v>0</v>
      </c>
      <c r="T371" s="87">
        <v>21148.080000000002</v>
      </c>
      <c r="U371" s="87">
        <v>1105.1499999999069</v>
      </c>
      <c r="V371" s="87">
        <v>0</v>
      </c>
      <c r="W371" s="87">
        <v>0</v>
      </c>
      <c r="X371" s="87">
        <v>0</v>
      </c>
      <c r="Y371" s="87">
        <v>0</v>
      </c>
      <c r="Z371" s="87">
        <v>0</v>
      </c>
      <c r="AA371" s="87">
        <v>0</v>
      </c>
      <c r="AB371" s="87">
        <v>0</v>
      </c>
      <c r="AC371" s="87">
        <v>0</v>
      </c>
      <c r="AD371" s="87">
        <v>0</v>
      </c>
      <c r="AE371" s="87">
        <v>0</v>
      </c>
      <c r="AF371" s="87">
        <v>0</v>
      </c>
      <c r="AG371" s="87">
        <v>0</v>
      </c>
      <c r="AH371" s="87">
        <v>0</v>
      </c>
      <c r="AI371" s="87">
        <v>0</v>
      </c>
      <c r="AJ371" s="87">
        <v>0</v>
      </c>
      <c r="AK371" s="87">
        <v>0</v>
      </c>
      <c r="AL371" s="87">
        <v>0</v>
      </c>
      <c r="AM371" s="87">
        <v>0</v>
      </c>
      <c r="AN371" s="87">
        <v>0</v>
      </c>
      <c r="AO371" s="87">
        <v>0</v>
      </c>
      <c r="AP371" s="87">
        <v>0</v>
      </c>
      <c r="AQ371" s="87">
        <v>0</v>
      </c>
      <c r="AR371" s="87">
        <v>0</v>
      </c>
      <c r="AS371" s="87">
        <v>0</v>
      </c>
      <c r="AT371" s="87">
        <v>0</v>
      </c>
      <c r="AU371" s="87">
        <v>0</v>
      </c>
      <c r="AV371" s="87">
        <v>0</v>
      </c>
      <c r="AW371" s="87">
        <v>0</v>
      </c>
      <c r="AX371" s="87">
        <v>0</v>
      </c>
      <c r="AY371" s="87">
        <v>0</v>
      </c>
      <c r="AZ371" s="87">
        <v>0</v>
      </c>
      <c r="BA371" s="87">
        <v>0</v>
      </c>
      <c r="BB371" s="87">
        <v>0</v>
      </c>
      <c r="BC371" s="87">
        <v>0</v>
      </c>
      <c r="BD371" s="87">
        <v>0</v>
      </c>
      <c r="BE371" s="87">
        <v>0</v>
      </c>
      <c r="BF371" s="87">
        <v>0</v>
      </c>
    </row>
    <row r="372" spans="1:58" ht="14.1" customHeight="1">
      <c r="A372" s="75">
        <f t="shared" si="447"/>
        <v>366</v>
      </c>
      <c r="B372" s="108" t="s">
        <v>535</v>
      </c>
      <c r="C372" s="97">
        <f t="shared" ref="C372:V372" si="473">SUM(C362:C371)</f>
        <v>-1706484.4609999994</v>
      </c>
      <c r="D372" s="97">
        <f t="shared" si="473"/>
        <v>0</v>
      </c>
      <c r="E372" s="97">
        <f t="shared" si="473"/>
        <v>0</v>
      </c>
      <c r="F372" s="97">
        <f t="shared" si="473"/>
        <v>0</v>
      </c>
      <c r="G372" s="97">
        <f t="shared" si="473"/>
        <v>0</v>
      </c>
      <c r="H372" s="97">
        <f t="shared" si="473"/>
        <v>0</v>
      </c>
      <c r="I372" s="97">
        <f t="shared" si="473"/>
        <v>0</v>
      </c>
      <c r="J372" s="97">
        <f t="shared" si="473"/>
        <v>0</v>
      </c>
      <c r="K372" s="97">
        <f t="shared" si="473"/>
        <v>0</v>
      </c>
      <c r="L372" s="97">
        <f t="shared" si="473"/>
        <v>0</v>
      </c>
      <c r="M372" s="97">
        <f t="shared" si="473"/>
        <v>0</v>
      </c>
      <c r="N372" s="97">
        <f t="shared" si="473"/>
        <v>0</v>
      </c>
      <c r="O372" s="97">
        <f t="shared" si="473"/>
        <v>0</v>
      </c>
      <c r="P372" s="97">
        <f t="shared" si="473"/>
        <v>0</v>
      </c>
      <c r="Q372" s="97">
        <f t="shared" si="473"/>
        <v>0</v>
      </c>
      <c r="R372" s="97">
        <f t="shared" si="473"/>
        <v>0</v>
      </c>
      <c r="S372" s="97">
        <f t="shared" si="473"/>
        <v>0</v>
      </c>
      <c r="T372" s="97">
        <f t="shared" si="473"/>
        <v>21148.080000000002</v>
      </c>
      <c r="U372" s="97">
        <f t="shared" si="473"/>
        <v>11202.149000000303</v>
      </c>
      <c r="V372" s="97">
        <f t="shared" si="473"/>
        <v>0</v>
      </c>
      <c r="W372" s="97">
        <f>SUM(W362:W371)</f>
        <v>0</v>
      </c>
      <c r="X372" s="97">
        <f t="shared" ref="X372:AD372" si="474">SUM(X362:X371)</f>
        <v>0</v>
      </c>
      <c r="Y372" s="97">
        <f>SUM(Y362:Y371)</f>
        <v>0</v>
      </c>
      <c r="Z372" s="97">
        <f t="shared" si="474"/>
        <v>0</v>
      </c>
      <c r="AA372" s="97">
        <f t="shared" si="474"/>
        <v>0</v>
      </c>
      <c r="AB372" s="97">
        <f t="shared" si="474"/>
        <v>24867.339999999997</v>
      </c>
      <c r="AC372" s="97">
        <f t="shared" si="474"/>
        <v>0</v>
      </c>
      <c r="AD372" s="97">
        <f t="shared" si="474"/>
        <v>0</v>
      </c>
      <c r="AE372" s="97">
        <f>SUM(AE362:AE371)</f>
        <v>0</v>
      </c>
      <c r="AF372" s="97">
        <f>SUM(AF362:AF371)</f>
        <v>-2257483</v>
      </c>
      <c r="AG372" s="97">
        <f>SUM(AG362:AG371)</f>
        <v>498149.07000000007</v>
      </c>
      <c r="AH372" s="97">
        <f t="shared" ref="AH372:AL372" si="475">SUM(AH362:AH371)</f>
        <v>-4368.0999999999995</v>
      </c>
      <c r="AI372" s="97">
        <f t="shared" si="475"/>
        <v>0</v>
      </c>
      <c r="AJ372" s="97">
        <f t="shared" si="475"/>
        <v>0</v>
      </c>
      <c r="AK372" s="97">
        <f t="shared" si="475"/>
        <v>0</v>
      </c>
      <c r="AL372" s="97">
        <f t="shared" si="475"/>
        <v>0</v>
      </c>
      <c r="AM372" s="97">
        <f>SUM(AM362:AM371)</f>
        <v>0</v>
      </c>
      <c r="AN372" s="97">
        <f>SUM(AN362:AN371)</f>
        <v>0</v>
      </c>
      <c r="AO372" s="97">
        <f>SUM(AO362:AO371)</f>
        <v>0</v>
      </c>
      <c r="AP372" s="97">
        <f>SUM(AP362:AP371)</f>
        <v>0</v>
      </c>
      <c r="AQ372" s="97">
        <f>SUM(AQ362:AQ371)</f>
        <v>0</v>
      </c>
      <c r="AR372" s="97">
        <f t="shared" ref="AR372" si="476">SUM(AR362:AR371)</f>
        <v>0</v>
      </c>
      <c r="AS372" s="97">
        <f>SUM(AS362:AS371)</f>
        <v>0</v>
      </c>
      <c r="AT372" s="97">
        <f t="shared" ref="AT372:AV372" si="477">SUM(AT362:AT371)</f>
        <v>0</v>
      </c>
      <c r="AU372" s="97">
        <f t="shared" si="477"/>
        <v>0</v>
      </c>
      <c r="AV372" s="97">
        <f t="shared" si="477"/>
        <v>0</v>
      </c>
      <c r="AW372" s="97">
        <f>SUM(AW362:AW371)</f>
        <v>0</v>
      </c>
      <c r="AX372" s="97">
        <f t="shared" ref="AX372:BF372" si="478">SUM(AX362:AX371)</f>
        <v>0</v>
      </c>
      <c r="AY372" s="97">
        <f t="shared" si="478"/>
        <v>0</v>
      </c>
      <c r="AZ372" s="97">
        <f t="shared" si="478"/>
        <v>0</v>
      </c>
      <c r="BA372" s="97">
        <f t="shared" si="478"/>
        <v>0</v>
      </c>
      <c r="BB372" s="97">
        <f t="shared" si="478"/>
        <v>0</v>
      </c>
      <c r="BC372" s="97">
        <f t="shared" si="478"/>
        <v>0</v>
      </c>
      <c r="BD372" s="97">
        <f t="shared" si="478"/>
        <v>0</v>
      </c>
      <c r="BE372" s="97">
        <f t="shared" si="478"/>
        <v>0</v>
      </c>
      <c r="BF372" s="97">
        <f t="shared" si="478"/>
        <v>0</v>
      </c>
    </row>
    <row r="373" spans="1:58" ht="14.1" customHeight="1">
      <c r="A373" s="75">
        <f t="shared" si="447"/>
        <v>367</v>
      </c>
      <c r="B373" s="126"/>
      <c r="C373" s="126"/>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row>
    <row r="374" spans="1:58" ht="14.1" customHeight="1">
      <c r="A374" s="75">
        <f t="shared" si="447"/>
        <v>368</v>
      </c>
      <c r="B374" s="76" t="s">
        <v>536</v>
      </c>
      <c r="C374" s="80">
        <f t="shared" ref="C374:C384" si="479">SUM(D374:BF374)</f>
        <v>3680.16</v>
      </c>
      <c r="D374" s="87">
        <v>0</v>
      </c>
      <c r="E374" s="87">
        <v>0</v>
      </c>
      <c r="F374" s="87">
        <v>0</v>
      </c>
      <c r="G374" s="87">
        <v>0</v>
      </c>
      <c r="H374" s="87">
        <v>0</v>
      </c>
      <c r="I374" s="87">
        <v>0</v>
      </c>
      <c r="J374" s="87">
        <v>0</v>
      </c>
      <c r="K374" s="87">
        <v>0</v>
      </c>
      <c r="L374" s="87">
        <v>0</v>
      </c>
      <c r="M374" s="87">
        <v>0</v>
      </c>
      <c r="N374" s="87">
        <v>0</v>
      </c>
      <c r="O374" s="87">
        <v>0</v>
      </c>
      <c r="P374" s="87">
        <v>0</v>
      </c>
      <c r="Q374" s="87">
        <v>0</v>
      </c>
      <c r="R374" s="87">
        <v>0</v>
      </c>
      <c r="S374" s="87">
        <v>0</v>
      </c>
      <c r="T374" s="87">
        <v>0</v>
      </c>
      <c r="U374" s="87">
        <v>56.819999999999709</v>
      </c>
      <c r="V374" s="87">
        <v>0</v>
      </c>
      <c r="W374" s="87">
        <v>0</v>
      </c>
      <c r="X374" s="87">
        <v>0</v>
      </c>
      <c r="Y374" s="87">
        <v>0</v>
      </c>
      <c r="Z374" s="87">
        <v>0</v>
      </c>
      <c r="AA374" s="87">
        <v>0</v>
      </c>
      <c r="AB374" s="87">
        <v>48.920000000000016</v>
      </c>
      <c r="AC374" s="87">
        <v>0</v>
      </c>
      <c r="AD374" s="87">
        <v>0</v>
      </c>
      <c r="AE374" s="87">
        <v>0</v>
      </c>
      <c r="AF374" s="87">
        <v>0</v>
      </c>
      <c r="AG374" s="87">
        <v>3574.42</v>
      </c>
      <c r="AH374" s="87">
        <v>0</v>
      </c>
      <c r="AI374" s="87">
        <v>0</v>
      </c>
      <c r="AJ374" s="87">
        <v>0</v>
      </c>
      <c r="AK374" s="87">
        <v>0</v>
      </c>
      <c r="AL374" s="87">
        <v>0</v>
      </c>
      <c r="AM374" s="87">
        <v>0</v>
      </c>
      <c r="AN374" s="87">
        <v>0</v>
      </c>
      <c r="AO374" s="87">
        <v>0</v>
      </c>
      <c r="AP374" s="87">
        <v>0</v>
      </c>
      <c r="AQ374" s="87">
        <v>0</v>
      </c>
      <c r="AR374" s="87">
        <v>0</v>
      </c>
      <c r="AS374" s="87">
        <v>0</v>
      </c>
      <c r="AT374" s="87">
        <v>0</v>
      </c>
      <c r="AU374" s="87">
        <v>0</v>
      </c>
      <c r="AV374" s="87">
        <v>0</v>
      </c>
      <c r="AW374" s="87">
        <v>0</v>
      </c>
      <c r="AX374" s="87">
        <v>0</v>
      </c>
      <c r="AY374" s="87">
        <v>0</v>
      </c>
      <c r="AZ374" s="87">
        <v>0</v>
      </c>
      <c r="BA374" s="87">
        <v>0</v>
      </c>
      <c r="BB374" s="87">
        <v>0</v>
      </c>
      <c r="BC374" s="87">
        <v>0</v>
      </c>
      <c r="BD374" s="87">
        <v>0</v>
      </c>
      <c r="BE374" s="87">
        <v>0</v>
      </c>
      <c r="BF374" s="87">
        <v>0</v>
      </c>
    </row>
    <row r="375" spans="1:58" ht="14.1" customHeight="1">
      <c r="A375" s="75">
        <f t="shared" si="447"/>
        <v>369</v>
      </c>
      <c r="B375" s="76" t="s">
        <v>537</v>
      </c>
      <c r="C375" s="80">
        <f t="shared" si="479"/>
        <v>14.81000000000131</v>
      </c>
      <c r="D375" s="87">
        <v>0</v>
      </c>
      <c r="E375" s="87">
        <v>0</v>
      </c>
      <c r="F375" s="87">
        <v>0</v>
      </c>
      <c r="G375" s="87">
        <v>0</v>
      </c>
      <c r="H375" s="87">
        <v>0</v>
      </c>
      <c r="I375" s="87">
        <v>0</v>
      </c>
      <c r="J375" s="87">
        <v>0</v>
      </c>
      <c r="K375" s="87">
        <v>0</v>
      </c>
      <c r="L375" s="87">
        <v>0</v>
      </c>
      <c r="M375" s="87">
        <v>0</v>
      </c>
      <c r="N375" s="87">
        <v>0</v>
      </c>
      <c r="O375" s="87">
        <v>0</v>
      </c>
      <c r="P375" s="87">
        <v>0</v>
      </c>
      <c r="Q375" s="87">
        <v>0</v>
      </c>
      <c r="R375" s="87">
        <v>0</v>
      </c>
      <c r="S375" s="87">
        <v>0</v>
      </c>
      <c r="T375" s="87">
        <v>0</v>
      </c>
      <c r="U375" s="87">
        <v>14.81000000000131</v>
      </c>
      <c r="V375" s="87">
        <v>0</v>
      </c>
      <c r="W375" s="87">
        <v>0</v>
      </c>
      <c r="X375" s="87">
        <v>0</v>
      </c>
      <c r="Y375" s="87">
        <v>0</v>
      </c>
      <c r="Z375" s="87">
        <v>0</v>
      </c>
      <c r="AA375" s="87">
        <v>0</v>
      </c>
      <c r="AB375" s="87">
        <v>0</v>
      </c>
      <c r="AC375" s="87">
        <v>0</v>
      </c>
      <c r="AD375" s="87">
        <v>0</v>
      </c>
      <c r="AE375" s="87">
        <v>0</v>
      </c>
      <c r="AF375" s="87">
        <v>0</v>
      </c>
      <c r="AG375" s="87">
        <v>0</v>
      </c>
      <c r="AH375" s="87">
        <v>0</v>
      </c>
      <c r="AI375" s="87">
        <v>0</v>
      </c>
      <c r="AJ375" s="87">
        <v>0</v>
      </c>
      <c r="AK375" s="87">
        <v>0</v>
      </c>
      <c r="AL375" s="87">
        <v>0</v>
      </c>
      <c r="AM375" s="87">
        <v>0</v>
      </c>
      <c r="AN375" s="87">
        <v>0</v>
      </c>
      <c r="AO375" s="87">
        <v>0</v>
      </c>
      <c r="AP375" s="87">
        <v>0</v>
      </c>
      <c r="AQ375" s="87">
        <v>0</v>
      </c>
      <c r="AR375" s="87">
        <v>0</v>
      </c>
      <c r="AS375" s="87">
        <v>0</v>
      </c>
      <c r="AT375" s="87">
        <v>0</v>
      </c>
      <c r="AU375" s="87">
        <v>0</v>
      </c>
      <c r="AV375" s="87">
        <v>0</v>
      </c>
      <c r="AW375" s="87">
        <v>0</v>
      </c>
      <c r="AX375" s="87">
        <v>0</v>
      </c>
      <c r="AY375" s="87">
        <v>0</v>
      </c>
      <c r="AZ375" s="87">
        <v>0</v>
      </c>
      <c r="BA375" s="87">
        <v>0</v>
      </c>
      <c r="BB375" s="87">
        <v>0</v>
      </c>
      <c r="BC375" s="87">
        <v>0</v>
      </c>
      <c r="BD375" s="87">
        <v>0</v>
      </c>
      <c r="BE375" s="87">
        <v>0</v>
      </c>
      <c r="BF375" s="87">
        <v>0</v>
      </c>
    </row>
    <row r="376" spans="1:58" ht="13.15" customHeight="1">
      <c r="A376" s="75">
        <f t="shared" si="447"/>
        <v>370</v>
      </c>
      <c r="B376" s="76" t="s">
        <v>538</v>
      </c>
      <c r="C376" s="80">
        <f t="shared" si="479"/>
        <v>1025.5799999999813</v>
      </c>
      <c r="D376" s="87">
        <v>0</v>
      </c>
      <c r="E376" s="87">
        <v>0</v>
      </c>
      <c r="F376" s="87">
        <v>0</v>
      </c>
      <c r="G376" s="87">
        <v>0</v>
      </c>
      <c r="H376" s="87">
        <v>0</v>
      </c>
      <c r="I376" s="87">
        <v>0</v>
      </c>
      <c r="J376" s="87">
        <v>0</v>
      </c>
      <c r="K376" s="87">
        <v>0</v>
      </c>
      <c r="L376" s="87">
        <v>0</v>
      </c>
      <c r="M376" s="87">
        <v>0</v>
      </c>
      <c r="N376" s="87">
        <v>0</v>
      </c>
      <c r="O376" s="87">
        <v>0</v>
      </c>
      <c r="P376" s="87">
        <v>0</v>
      </c>
      <c r="Q376" s="87">
        <v>0</v>
      </c>
      <c r="R376" s="87">
        <v>0</v>
      </c>
      <c r="S376" s="87">
        <v>0</v>
      </c>
      <c r="T376" s="87">
        <v>0</v>
      </c>
      <c r="U376" s="87">
        <v>952.97999999998137</v>
      </c>
      <c r="V376" s="87">
        <v>0</v>
      </c>
      <c r="W376" s="87">
        <v>0</v>
      </c>
      <c r="X376" s="87">
        <v>0</v>
      </c>
      <c r="Y376" s="87">
        <v>0</v>
      </c>
      <c r="Z376" s="87">
        <v>0</v>
      </c>
      <c r="AA376" s="87">
        <v>0</v>
      </c>
      <c r="AB376" s="87">
        <v>0</v>
      </c>
      <c r="AC376" s="87">
        <v>0</v>
      </c>
      <c r="AD376" s="87">
        <v>0</v>
      </c>
      <c r="AE376" s="87">
        <v>0</v>
      </c>
      <c r="AF376" s="87">
        <v>0</v>
      </c>
      <c r="AG376" s="87">
        <v>72.599999999999994</v>
      </c>
      <c r="AH376" s="87">
        <v>0</v>
      </c>
      <c r="AI376" s="87">
        <v>0</v>
      </c>
      <c r="AJ376" s="87">
        <v>0</v>
      </c>
      <c r="AK376" s="87">
        <v>0</v>
      </c>
      <c r="AL376" s="87">
        <v>0</v>
      </c>
      <c r="AM376" s="87">
        <v>0</v>
      </c>
      <c r="AN376" s="87">
        <v>0</v>
      </c>
      <c r="AO376" s="87">
        <v>0</v>
      </c>
      <c r="AP376" s="87">
        <v>0</v>
      </c>
      <c r="AQ376" s="87">
        <v>0</v>
      </c>
      <c r="AR376" s="87">
        <v>0</v>
      </c>
      <c r="AS376" s="87">
        <v>0</v>
      </c>
      <c r="AT376" s="87">
        <v>0</v>
      </c>
      <c r="AU376" s="87">
        <v>0</v>
      </c>
      <c r="AV376" s="87">
        <v>0</v>
      </c>
      <c r="AW376" s="87">
        <v>0</v>
      </c>
      <c r="AX376" s="87">
        <v>0</v>
      </c>
      <c r="AY376" s="87">
        <v>0</v>
      </c>
      <c r="AZ376" s="87">
        <v>0</v>
      </c>
      <c r="BA376" s="87">
        <v>0</v>
      </c>
      <c r="BB376" s="87">
        <v>0</v>
      </c>
      <c r="BC376" s="87">
        <v>0</v>
      </c>
      <c r="BD376" s="87">
        <v>0</v>
      </c>
      <c r="BE376" s="87">
        <v>0</v>
      </c>
      <c r="BF376" s="87">
        <v>0</v>
      </c>
    </row>
    <row r="377" spans="1:58" ht="14.1" customHeight="1">
      <c r="A377" s="75">
        <f t="shared" si="447"/>
        <v>371</v>
      </c>
      <c r="B377" s="76" t="s">
        <v>540</v>
      </c>
      <c r="C377" s="80">
        <f>SUM(D377:BF377)</f>
        <v>1043496.0479999976</v>
      </c>
      <c r="D377" s="87">
        <v>0</v>
      </c>
      <c r="E377" s="87">
        <v>0</v>
      </c>
      <c r="F377" s="87">
        <v>0</v>
      </c>
      <c r="G377" s="87">
        <v>0</v>
      </c>
      <c r="H377" s="87">
        <v>0</v>
      </c>
      <c r="I377" s="87">
        <v>0</v>
      </c>
      <c r="J377" s="87">
        <v>0</v>
      </c>
      <c r="K377" s="87">
        <v>0</v>
      </c>
      <c r="L377" s="87">
        <v>0</v>
      </c>
      <c r="M377" s="87">
        <v>0</v>
      </c>
      <c r="N377" s="87">
        <v>0</v>
      </c>
      <c r="O377" s="87">
        <v>0</v>
      </c>
      <c r="P377" s="87">
        <v>0</v>
      </c>
      <c r="Q377" s="87">
        <v>0</v>
      </c>
      <c r="R377" s="87">
        <v>0</v>
      </c>
      <c r="S377" s="87">
        <v>0</v>
      </c>
      <c r="T377" s="87">
        <v>0</v>
      </c>
      <c r="U377" s="87">
        <v>29276.737999998033</v>
      </c>
      <c r="V377" s="87">
        <v>0</v>
      </c>
      <c r="W377" s="87">
        <v>0</v>
      </c>
      <c r="X377" s="87">
        <v>215408.01999999955</v>
      </c>
      <c r="Y377" s="87">
        <v>0</v>
      </c>
      <c r="Z377" s="87">
        <v>0</v>
      </c>
      <c r="AA377" s="87">
        <v>0</v>
      </c>
      <c r="AB377" s="87">
        <v>70770.919999999984</v>
      </c>
      <c r="AC377" s="87">
        <v>0</v>
      </c>
      <c r="AD377" s="87">
        <v>0</v>
      </c>
      <c r="AE377" s="87">
        <v>0</v>
      </c>
      <c r="AF377" s="87">
        <v>0</v>
      </c>
      <c r="AG377" s="87">
        <v>728040.37</v>
      </c>
      <c r="AH377" s="87">
        <v>0</v>
      </c>
      <c r="AI377" s="87">
        <v>0</v>
      </c>
      <c r="AJ377" s="87">
        <v>0</v>
      </c>
      <c r="AK377" s="87">
        <v>0</v>
      </c>
      <c r="AL377" s="87">
        <v>0</v>
      </c>
      <c r="AM377" s="87">
        <v>0</v>
      </c>
      <c r="AN377" s="87">
        <v>0</v>
      </c>
      <c r="AO377" s="87">
        <v>0</v>
      </c>
      <c r="AP377" s="87">
        <v>0</v>
      </c>
      <c r="AQ377" s="87">
        <v>0</v>
      </c>
      <c r="AR377" s="87">
        <v>0</v>
      </c>
      <c r="AS377" s="87">
        <v>0</v>
      </c>
      <c r="AT377" s="87">
        <v>0</v>
      </c>
      <c r="AU377" s="87">
        <v>0</v>
      </c>
      <c r="AV377" s="87">
        <v>0</v>
      </c>
      <c r="AW377" s="87">
        <v>0</v>
      </c>
      <c r="AX377" s="87">
        <v>0</v>
      </c>
      <c r="AY377" s="87">
        <v>0</v>
      </c>
      <c r="AZ377" s="87">
        <v>0</v>
      </c>
      <c r="BA377" s="87">
        <v>0</v>
      </c>
      <c r="BB377" s="87">
        <v>0</v>
      </c>
      <c r="BC377" s="87">
        <v>0</v>
      </c>
      <c r="BD377" s="87">
        <v>0</v>
      </c>
      <c r="BE377" s="87">
        <v>0</v>
      </c>
      <c r="BF377" s="87">
        <v>0</v>
      </c>
    </row>
    <row r="378" spans="1:58" ht="12.75" customHeight="1">
      <c r="A378" s="75">
        <f t="shared" si="447"/>
        <v>372</v>
      </c>
      <c r="B378" s="76" t="s">
        <v>541</v>
      </c>
      <c r="C378" s="80">
        <f t="shared" si="479"/>
        <v>0</v>
      </c>
      <c r="D378" s="87">
        <v>0</v>
      </c>
      <c r="E378" s="87">
        <v>0</v>
      </c>
      <c r="F378" s="87">
        <v>0</v>
      </c>
      <c r="G378" s="87">
        <v>0</v>
      </c>
      <c r="H378" s="87">
        <v>0</v>
      </c>
      <c r="I378" s="87">
        <v>0</v>
      </c>
      <c r="J378" s="87">
        <v>0</v>
      </c>
      <c r="K378" s="87">
        <v>0</v>
      </c>
      <c r="L378" s="87">
        <v>0</v>
      </c>
      <c r="M378" s="87">
        <v>0</v>
      </c>
      <c r="N378" s="87">
        <v>0</v>
      </c>
      <c r="O378" s="87">
        <v>0</v>
      </c>
      <c r="P378" s="87">
        <v>0</v>
      </c>
      <c r="Q378" s="87">
        <v>0</v>
      </c>
      <c r="R378" s="87">
        <v>0</v>
      </c>
      <c r="S378" s="87">
        <v>0</v>
      </c>
      <c r="T378" s="87">
        <v>0</v>
      </c>
      <c r="U378" s="87">
        <v>0</v>
      </c>
      <c r="V378" s="87">
        <v>0</v>
      </c>
      <c r="W378" s="87">
        <v>0</v>
      </c>
      <c r="X378" s="87">
        <v>0</v>
      </c>
      <c r="Y378" s="87">
        <v>0</v>
      </c>
      <c r="Z378" s="87">
        <v>0</v>
      </c>
      <c r="AA378" s="87">
        <v>0</v>
      </c>
      <c r="AB378" s="87">
        <v>0</v>
      </c>
      <c r="AC378" s="87">
        <v>0</v>
      </c>
      <c r="AD378" s="87">
        <v>0</v>
      </c>
      <c r="AE378" s="87">
        <v>0</v>
      </c>
      <c r="AF378" s="87">
        <v>0</v>
      </c>
      <c r="AG378" s="87">
        <v>0</v>
      </c>
      <c r="AH378" s="87">
        <v>0</v>
      </c>
      <c r="AI378" s="87">
        <v>0</v>
      </c>
      <c r="AJ378" s="87">
        <v>0</v>
      </c>
      <c r="AK378" s="87">
        <v>0</v>
      </c>
      <c r="AL378" s="87">
        <v>0</v>
      </c>
      <c r="AM378" s="87">
        <v>0</v>
      </c>
      <c r="AN378" s="87">
        <v>0</v>
      </c>
      <c r="AO378" s="87">
        <v>0</v>
      </c>
      <c r="AP378" s="87">
        <v>0</v>
      </c>
      <c r="AQ378" s="87">
        <v>0</v>
      </c>
      <c r="AR378" s="87">
        <v>0</v>
      </c>
      <c r="AS378" s="87">
        <v>0</v>
      </c>
      <c r="AT378" s="87">
        <v>0</v>
      </c>
      <c r="AU378" s="87">
        <v>0</v>
      </c>
      <c r="AV378" s="87">
        <v>0</v>
      </c>
      <c r="AW378" s="87">
        <v>0</v>
      </c>
      <c r="AX378" s="87">
        <v>0</v>
      </c>
      <c r="AY378" s="87">
        <v>0</v>
      </c>
      <c r="AZ378" s="87">
        <v>0</v>
      </c>
      <c r="BA378" s="87">
        <v>0</v>
      </c>
      <c r="BB378" s="87">
        <v>0</v>
      </c>
      <c r="BC378" s="87">
        <v>0</v>
      </c>
      <c r="BD378" s="87">
        <v>0</v>
      </c>
      <c r="BE378" s="87">
        <v>0</v>
      </c>
      <c r="BF378" s="87">
        <v>0</v>
      </c>
    </row>
    <row r="379" spans="1:58" ht="14.1" customHeight="1">
      <c r="A379" s="75">
        <f t="shared" si="447"/>
        <v>373</v>
      </c>
      <c r="B379" s="76" t="s">
        <v>782</v>
      </c>
      <c r="C379" s="80">
        <f t="shared" si="479"/>
        <v>-6159560.7300000004</v>
      </c>
      <c r="D379" s="87">
        <v>0</v>
      </c>
      <c r="E379" s="87">
        <v>0</v>
      </c>
      <c r="F379" s="87">
        <v>0</v>
      </c>
      <c r="G379" s="87">
        <v>0</v>
      </c>
      <c r="H379" s="87">
        <v>0</v>
      </c>
      <c r="I379" s="87">
        <v>0</v>
      </c>
      <c r="J379" s="87">
        <v>0</v>
      </c>
      <c r="K379" s="87">
        <v>0</v>
      </c>
      <c r="L379" s="87">
        <v>0</v>
      </c>
      <c r="M379" s="87">
        <v>0</v>
      </c>
      <c r="N379" s="87">
        <v>0</v>
      </c>
      <c r="O379" s="87">
        <v>0</v>
      </c>
      <c r="P379" s="87">
        <v>0</v>
      </c>
      <c r="Q379" s="87">
        <v>0</v>
      </c>
      <c r="R379" s="87">
        <v>0</v>
      </c>
      <c r="S379" s="87">
        <v>0</v>
      </c>
      <c r="T379" s="87">
        <v>0</v>
      </c>
      <c r="U379" s="87">
        <v>401.07000000000698</v>
      </c>
      <c r="V379" s="87">
        <v>0</v>
      </c>
      <c r="W379" s="87">
        <v>0</v>
      </c>
      <c r="X379" s="87">
        <v>0</v>
      </c>
      <c r="Y379" s="87">
        <v>0</v>
      </c>
      <c r="Z379" s="87">
        <v>0</v>
      </c>
      <c r="AA379" s="87">
        <v>0</v>
      </c>
      <c r="AB379" s="87">
        <v>0</v>
      </c>
      <c r="AC379" s="87">
        <v>0</v>
      </c>
      <c r="AD379" s="87">
        <v>0</v>
      </c>
      <c r="AE379" s="87">
        <v>0</v>
      </c>
      <c r="AF379" s="87">
        <v>0</v>
      </c>
      <c r="AG379" s="87">
        <v>0</v>
      </c>
      <c r="AH379" s="87">
        <v>0</v>
      </c>
      <c r="AI379" s="87">
        <v>0</v>
      </c>
      <c r="AJ379" s="87">
        <v>0</v>
      </c>
      <c r="AK379" s="87">
        <v>0</v>
      </c>
      <c r="AL379" s="87">
        <v>0</v>
      </c>
      <c r="AM379" s="87">
        <v>0</v>
      </c>
      <c r="AN379" s="87">
        <v>0</v>
      </c>
      <c r="AO379" s="87">
        <v>0</v>
      </c>
      <c r="AP379" s="87">
        <v>0</v>
      </c>
      <c r="AQ379" s="87">
        <v>0</v>
      </c>
      <c r="AR379" s="87">
        <v>0</v>
      </c>
      <c r="AS379" s="87">
        <v>0</v>
      </c>
      <c r="AT379" s="87">
        <v>0</v>
      </c>
      <c r="AU379" s="87">
        <v>0</v>
      </c>
      <c r="AV379" s="87">
        <v>-6159961.8000000007</v>
      </c>
      <c r="AW379" s="87">
        <v>0</v>
      </c>
      <c r="AX379" s="87">
        <v>0</v>
      </c>
      <c r="AY379" s="87">
        <v>0</v>
      </c>
      <c r="AZ379" s="87">
        <v>0</v>
      </c>
      <c r="BA379" s="87">
        <v>0</v>
      </c>
      <c r="BB379" s="87">
        <v>0</v>
      </c>
      <c r="BC379" s="87">
        <v>0</v>
      </c>
      <c r="BD379" s="87">
        <v>0</v>
      </c>
      <c r="BE379" s="87">
        <v>0</v>
      </c>
      <c r="BF379" s="87">
        <v>0</v>
      </c>
    </row>
    <row r="380" spans="1:58" ht="14.1" customHeight="1">
      <c r="A380" s="75">
        <f t="shared" si="447"/>
        <v>374</v>
      </c>
      <c r="B380" s="76" t="s">
        <v>544</v>
      </c>
      <c r="C380" s="80">
        <f t="shared" si="479"/>
        <v>774.66999999999985</v>
      </c>
      <c r="D380" s="87">
        <v>0</v>
      </c>
      <c r="E380" s="87">
        <v>0</v>
      </c>
      <c r="F380" s="87">
        <v>0</v>
      </c>
      <c r="G380" s="87">
        <v>0</v>
      </c>
      <c r="H380" s="87">
        <v>0</v>
      </c>
      <c r="I380" s="87">
        <v>0</v>
      </c>
      <c r="J380" s="87">
        <v>0</v>
      </c>
      <c r="K380" s="87">
        <v>0</v>
      </c>
      <c r="L380" s="87">
        <v>0</v>
      </c>
      <c r="M380" s="87">
        <v>0</v>
      </c>
      <c r="N380" s="87">
        <v>0</v>
      </c>
      <c r="O380" s="87">
        <v>0</v>
      </c>
      <c r="P380" s="87">
        <v>0</v>
      </c>
      <c r="Q380" s="87">
        <v>0</v>
      </c>
      <c r="R380" s="87">
        <v>0</v>
      </c>
      <c r="S380" s="87">
        <v>0</v>
      </c>
      <c r="T380" s="87">
        <v>0</v>
      </c>
      <c r="U380" s="87">
        <v>34.069999999999709</v>
      </c>
      <c r="V380" s="87">
        <v>0</v>
      </c>
      <c r="W380" s="87">
        <v>0</v>
      </c>
      <c r="X380" s="87">
        <v>0</v>
      </c>
      <c r="Y380" s="87">
        <v>0</v>
      </c>
      <c r="Z380" s="87">
        <v>0</v>
      </c>
      <c r="AA380" s="87">
        <v>0</v>
      </c>
      <c r="AB380" s="87">
        <v>-81.28</v>
      </c>
      <c r="AC380" s="87">
        <v>0</v>
      </c>
      <c r="AD380" s="87">
        <v>0</v>
      </c>
      <c r="AE380" s="87">
        <v>0</v>
      </c>
      <c r="AF380" s="87">
        <v>0</v>
      </c>
      <c r="AG380" s="87">
        <v>821.88000000000011</v>
      </c>
      <c r="AH380" s="87">
        <v>0</v>
      </c>
      <c r="AI380" s="87">
        <v>0</v>
      </c>
      <c r="AJ380" s="87">
        <v>0</v>
      </c>
      <c r="AK380" s="87">
        <v>0</v>
      </c>
      <c r="AL380" s="87">
        <v>0</v>
      </c>
      <c r="AM380" s="87">
        <v>0</v>
      </c>
      <c r="AN380" s="87">
        <v>0</v>
      </c>
      <c r="AO380" s="87">
        <v>0</v>
      </c>
      <c r="AP380" s="87">
        <v>0</v>
      </c>
      <c r="AQ380" s="87">
        <v>0</v>
      </c>
      <c r="AR380" s="87">
        <v>0</v>
      </c>
      <c r="AS380" s="87">
        <v>0</v>
      </c>
      <c r="AT380" s="87">
        <v>0</v>
      </c>
      <c r="AU380" s="87">
        <v>0</v>
      </c>
      <c r="AV380" s="87">
        <v>0</v>
      </c>
      <c r="AW380" s="87">
        <v>0</v>
      </c>
      <c r="AX380" s="87">
        <v>0</v>
      </c>
      <c r="AY380" s="87">
        <v>0</v>
      </c>
      <c r="AZ380" s="87">
        <v>0</v>
      </c>
      <c r="BA380" s="87">
        <v>0</v>
      </c>
      <c r="BB380" s="87">
        <v>0</v>
      </c>
      <c r="BC380" s="87">
        <v>0</v>
      </c>
      <c r="BD380" s="87">
        <v>0</v>
      </c>
      <c r="BE380" s="87">
        <v>0</v>
      </c>
      <c r="BF380" s="87">
        <v>0</v>
      </c>
    </row>
    <row r="381" spans="1:58" ht="14.1" customHeight="1">
      <c r="A381" s="75">
        <f t="shared" si="447"/>
        <v>375</v>
      </c>
      <c r="B381" s="76" t="s">
        <v>545</v>
      </c>
      <c r="C381" s="80">
        <f t="shared" si="479"/>
        <v>385.67000000000053</v>
      </c>
      <c r="D381" s="87">
        <v>0</v>
      </c>
      <c r="E381" s="87">
        <v>0</v>
      </c>
      <c r="F381" s="87">
        <v>0</v>
      </c>
      <c r="G381" s="87">
        <v>0</v>
      </c>
      <c r="H381" s="87">
        <v>0</v>
      </c>
      <c r="I381" s="87">
        <v>0</v>
      </c>
      <c r="J381" s="87">
        <v>0</v>
      </c>
      <c r="K381" s="87">
        <v>0</v>
      </c>
      <c r="L381" s="87">
        <v>0</v>
      </c>
      <c r="M381" s="87">
        <v>0</v>
      </c>
      <c r="N381" s="87">
        <v>0</v>
      </c>
      <c r="O381" s="87">
        <v>0</v>
      </c>
      <c r="P381" s="87">
        <v>0</v>
      </c>
      <c r="Q381" s="87">
        <v>0</v>
      </c>
      <c r="R381" s="87">
        <v>0</v>
      </c>
      <c r="S381" s="87">
        <v>0</v>
      </c>
      <c r="T381" s="87">
        <v>0</v>
      </c>
      <c r="U381" s="87">
        <v>7.4000000000005457</v>
      </c>
      <c r="V381" s="87">
        <v>0</v>
      </c>
      <c r="W381" s="87">
        <v>0</v>
      </c>
      <c r="X381" s="87">
        <v>0</v>
      </c>
      <c r="Y381" s="87">
        <v>0</v>
      </c>
      <c r="Z381" s="87">
        <v>0</v>
      </c>
      <c r="AA381" s="87">
        <v>0</v>
      </c>
      <c r="AB381" s="87">
        <v>-25.47</v>
      </c>
      <c r="AC381" s="87">
        <v>0</v>
      </c>
      <c r="AD381" s="87">
        <v>0</v>
      </c>
      <c r="AE381" s="87">
        <v>0</v>
      </c>
      <c r="AF381" s="87">
        <v>0</v>
      </c>
      <c r="AG381" s="87">
        <v>403.74</v>
      </c>
      <c r="AH381" s="87">
        <v>0</v>
      </c>
      <c r="AI381" s="87">
        <v>0</v>
      </c>
      <c r="AJ381" s="87">
        <v>0</v>
      </c>
      <c r="AK381" s="87">
        <v>0</v>
      </c>
      <c r="AL381" s="87">
        <v>0</v>
      </c>
      <c r="AM381" s="87">
        <v>0</v>
      </c>
      <c r="AN381" s="87">
        <v>0</v>
      </c>
      <c r="AO381" s="87">
        <v>0</v>
      </c>
      <c r="AP381" s="87">
        <v>0</v>
      </c>
      <c r="AQ381" s="87">
        <v>0</v>
      </c>
      <c r="AR381" s="87">
        <v>0</v>
      </c>
      <c r="AS381" s="87">
        <v>0</v>
      </c>
      <c r="AT381" s="87">
        <v>0</v>
      </c>
      <c r="AU381" s="87">
        <v>0</v>
      </c>
      <c r="AV381" s="87">
        <v>0</v>
      </c>
      <c r="AW381" s="87">
        <v>0</v>
      </c>
      <c r="AX381" s="87">
        <v>0</v>
      </c>
      <c r="AY381" s="87">
        <v>0</v>
      </c>
      <c r="AZ381" s="87">
        <v>0</v>
      </c>
      <c r="BA381" s="87">
        <v>0</v>
      </c>
      <c r="BB381" s="87">
        <v>0</v>
      </c>
      <c r="BC381" s="87">
        <v>0</v>
      </c>
      <c r="BD381" s="87">
        <v>0</v>
      </c>
      <c r="BE381" s="87">
        <v>0</v>
      </c>
      <c r="BF381" s="87">
        <v>0</v>
      </c>
    </row>
    <row r="382" spans="1:58" s="89" customFormat="1" ht="14.1" customHeight="1">
      <c r="A382" s="75">
        <f t="shared" si="447"/>
        <v>376</v>
      </c>
      <c r="B382" s="76" t="s">
        <v>546</v>
      </c>
      <c r="C382" s="80">
        <f t="shared" si="479"/>
        <v>439.25000000000028</v>
      </c>
      <c r="D382" s="87">
        <v>0</v>
      </c>
      <c r="E382" s="87">
        <v>0</v>
      </c>
      <c r="F382" s="87">
        <v>0</v>
      </c>
      <c r="G382" s="87">
        <v>0</v>
      </c>
      <c r="H382" s="87">
        <v>0</v>
      </c>
      <c r="I382" s="87">
        <v>0</v>
      </c>
      <c r="J382" s="87">
        <v>0</v>
      </c>
      <c r="K382" s="87">
        <v>0</v>
      </c>
      <c r="L382" s="87">
        <v>0</v>
      </c>
      <c r="M382" s="87">
        <v>0</v>
      </c>
      <c r="N382" s="87">
        <v>0</v>
      </c>
      <c r="O382" s="87">
        <v>0</v>
      </c>
      <c r="P382" s="87">
        <v>0</v>
      </c>
      <c r="Q382" s="87">
        <v>0</v>
      </c>
      <c r="R382" s="87">
        <v>0</v>
      </c>
      <c r="S382" s="87">
        <v>0</v>
      </c>
      <c r="T382" s="87">
        <v>0</v>
      </c>
      <c r="U382" s="87">
        <v>7.9700000000002547</v>
      </c>
      <c r="V382" s="87">
        <v>0</v>
      </c>
      <c r="W382" s="87">
        <v>0</v>
      </c>
      <c r="X382" s="87">
        <v>0</v>
      </c>
      <c r="Y382" s="87">
        <v>0</v>
      </c>
      <c r="Z382" s="87">
        <v>0</v>
      </c>
      <c r="AA382" s="87">
        <v>0</v>
      </c>
      <c r="AB382" s="87">
        <v>-13.55</v>
      </c>
      <c r="AC382" s="87">
        <v>0</v>
      </c>
      <c r="AD382" s="87">
        <v>0</v>
      </c>
      <c r="AE382" s="87">
        <v>0</v>
      </c>
      <c r="AF382" s="87">
        <v>0</v>
      </c>
      <c r="AG382" s="87">
        <v>444.83000000000004</v>
      </c>
      <c r="AH382" s="87">
        <v>0</v>
      </c>
      <c r="AI382" s="87">
        <v>0</v>
      </c>
      <c r="AJ382" s="87">
        <v>0</v>
      </c>
      <c r="AK382" s="87">
        <v>0</v>
      </c>
      <c r="AL382" s="87">
        <v>0</v>
      </c>
      <c r="AM382" s="87">
        <v>0</v>
      </c>
      <c r="AN382" s="87">
        <v>0</v>
      </c>
      <c r="AO382" s="87">
        <v>0</v>
      </c>
      <c r="AP382" s="87">
        <v>0</v>
      </c>
      <c r="AQ382" s="87">
        <v>0</v>
      </c>
      <c r="AR382" s="87">
        <v>0</v>
      </c>
      <c r="AS382" s="87">
        <v>0</v>
      </c>
      <c r="AT382" s="87">
        <v>0</v>
      </c>
      <c r="AU382" s="87">
        <v>0</v>
      </c>
      <c r="AV382" s="87">
        <v>0</v>
      </c>
      <c r="AW382" s="87">
        <v>0</v>
      </c>
      <c r="AX382" s="87">
        <v>0</v>
      </c>
      <c r="AY382" s="87">
        <v>0</v>
      </c>
      <c r="AZ382" s="87">
        <v>0</v>
      </c>
      <c r="BA382" s="87">
        <v>0</v>
      </c>
      <c r="BB382" s="87">
        <v>0</v>
      </c>
      <c r="BC382" s="87">
        <v>0</v>
      </c>
      <c r="BD382" s="87">
        <v>0</v>
      </c>
      <c r="BE382" s="87">
        <v>0</v>
      </c>
      <c r="BF382" s="87">
        <v>0</v>
      </c>
    </row>
    <row r="383" spans="1:58" ht="14.1" customHeight="1">
      <c r="A383" s="75">
        <f t="shared" si="447"/>
        <v>377</v>
      </c>
      <c r="B383" s="76" t="s">
        <v>547</v>
      </c>
      <c r="C383" s="80">
        <f t="shared" si="479"/>
        <v>6075.9300000000039</v>
      </c>
      <c r="D383" s="87">
        <v>0</v>
      </c>
      <c r="E383" s="87">
        <v>0</v>
      </c>
      <c r="F383" s="87">
        <v>0</v>
      </c>
      <c r="G383" s="87">
        <v>0</v>
      </c>
      <c r="H383" s="87">
        <v>0</v>
      </c>
      <c r="I383" s="87">
        <v>0</v>
      </c>
      <c r="J383" s="87">
        <v>0</v>
      </c>
      <c r="K383" s="87">
        <v>0</v>
      </c>
      <c r="L383" s="87">
        <v>0</v>
      </c>
      <c r="M383" s="87">
        <v>0</v>
      </c>
      <c r="N383" s="87">
        <v>0</v>
      </c>
      <c r="O383" s="87">
        <v>0</v>
      </c>
      <c r="P383" s="87">
        <v>0</v>
      </c>
      <c r="Q383" s="87">
        <v>0</v>
      </c>
      <c r="R383" s="87">
        <v>0</v>
      </c>
      <c r="S383" s="87">
        <v>0</v>
      </c>
      <c r="T383" s="87">
        <v>0</v>
      </c>
      <c r="U383" s="87">
        <v>41.770000000004075</v>
      </c>
      <c r="V383" s="87">
        <v>0</v>
      </c>
      <c r="W383" s="87">
        <v>0</v>
      </c>
      <c r="X383" s="87">
        <v>0</v>
      </c>
      <c r="Y383" s="87">
        <v>0</v>
      </c>
      <c r="Z383" s="87">
        <v>0</v>
      </c>
      <c r="AA383" s="87">
        <v>0</v>
      </c>
      <c r="AB383" s="87">
        <v>374.66999999999996</v>
      </c>
      <c r="AC383" s="87">
        <v>0</v>
      </c>
      <c r="AD383" s="87">
        <v>0</v>
      </c>
      <c r="AE383" s="87">
        <v>0</v>
      </c>
      <c r="AF383" s="87">
        <v>0</v>
      </c>
      <c r="AG383" s="87">
        <v>5659.49</v>
      </c>
      <c r="AH383" s="87">
        <v>0</v>
      </c>
      <c r="AI383" s="87">
        <v>0</v>
      </c>
      <c r="AJ383" s="87">
        <v>0</v>
      </c>
      <c r="AK383" s="87">
        <v>0</v>
      </c>
      <c r="AL383" s="87">
        <v>0</v>
      </c>
      <c r="AM383" s="87">
        <v>0</v>
      </c>
      <c r="AN383" s="87">
        <v>0</v>
      </c>
      <c r="AO383" s="87">
        <v>0</v>
      </c>
      <c r="AP383" s="87">
        <v>0</v>
      </c>
      <c r="AQ383" s="87">
        <v>0</v>
      </c>
      <c r="AR383" s="87">
        <v>0</v>
      </c>
      <c r="AS383" s="87">
        <v>0</v>
      </c>
      <c r="AT383" s="87">
        <v>0</v>
      </c>
      <c r="AU383" s="87">
        <v>0</v>
      </c>
      <c r="AV383" s="87">
        <v>0</v>
      </c>
      <c r="AW383" s="87">
        <v>0</v>
      </c>
      <c r="AX383" s="87">
        <v>0</v>
      </c>
      <c r="AY383" s="87">
        <v>0</v>
      </c>
      <c r="AZ383" s="87">
        <v>0</v>
      </c>
      <c r="BA383" s="87">
        <v>0</v>
      </c>
      <c r="BB383" s="87">
        <v>0</v>
      </c>
      <c r="BC383" s="87">
        <v>0</v>
      </c>
      <c r="BD383" s="87">
        <v>0</v>
      </c>
      <c r="BE383" s="87">
        <v>0</v>
      </c>
      <c r="BF383" s="87">
        <v>0</v>
      </c>
    </row>
    <row r="384" spans="1:58" ht="14.1" customHeight="1">
      <c r="A384" s="75">
        <f t="shared" si="447"/>
        <v>378</v>
      </c>
      <c r="B384" s="90" t="s">
        <v>548</v>
      </c>
      <c r="C384" s="80">
        <f t="shared" si="479"/>
        <v>48.58000000000029</v>
      </c>
      <c r="D384" s="87">
        <v>0</v>
      </c>
      <c r="E384" s="87">
        <v>0</v>
      </c>
      <c r="F384" s="87">
        <v>0</v>
      </c>
      <c r="G384" s="87">
        <v>0</v>
      </c>
      <c r="H384" s="87">
        <v>0</v>
      </c>
      <c r="I384" s="87">
        <v>0</v>
      </c>
      <c r="J384" s="87">
        <v>0</v>
      </c>
      <c r="K384" s="87">
        <v>0</v>
      </c>
      <c r="L384" s="87">
        <v>0</v>
      </c>
      <c r="M384" s="87">
        <v>0</v>
      </c>
      <c r="N384" s="87">
        <v>0</v>
      </c>
      <c r="O384" s="87">
        <v>0</v>
      </c>
      <c r="P384" s="87">
        <v>0</v>
      </c>
      <c r="Q384" s="87">
        <v>0</v>
      </c>
      <c r="R384" s="87">
        <v>0</v>
      </c>
      <c r="S384" s="87">
        <v>0</v>
      </c>
      <c r="T384" s="87">
        <v>0</v>
      </c>
      <c r="U384" s="87">
        <v>27.430000000000291</v>
      </c>
      <c r="V384" s="87">
        <v>0</v>
      </c>
      <c r="W384" s="87">
        <v>0</v>
      </c>
      <c r="X384" s="87">
        <v>0</v>
      </c>
      <c r="Y384" s="87">
        <v>0</v>
      </c>
      <c r="Z384" s="87">
        <v>0</v>
      </c>
      <c r="AA384" s="87">
        <v>0</v>
      </c>
      <c r="AB384" s="87">
        <v>-2.4900000000000002</v>
      </c>
      <c r="AC384" s="87">
        <v>0</v>
      </c>
      <c r="AD384" s="87">
        <v>0</v>
      </c>
      <c r="AE384" s="87">
        <v>0</v>
      </c>
      <c r="AF384" s="87">
        <v>0</v>
      </c>
      <c r="AG384" s="87">
        <v>23.64</v>
      </c>
      <c r="AH384" s="87">
        <v>0</v>
      </c>
      <c r="AI384" s="87">
        <v>0</v>
      </c>
      <c r="AJ384" s="87">
        <v>0</v>
      </c>
      <c r="AK384" s="87">
        <v>0</v>
      </c>
      <c r="AL384" s="87">
        <v>0</v>
      </c>
      <c r="AM384" s="87">
        <v>0</v>
      </c>
      <c r="AN384" s="87">
        <v>0</v>
      </c>
      <c r="AO384" s="87">
        <v>0</v>
      </c>
      <c r="AP384" s="87">
        <v>0</v>
      </c>
      <c r="AQ384" s="87">
        <v>0</v>
      </c>
      <c r="AR384" s="87">
        <v>0</v>
      </c>
      <c r="AS384" s="87">
        <v>0</v>
      </c>
      <c r="AT384" s="87">
        <v>0</v>
      </c>
      <c r="AU384" s="87">
        <v>0</v>
      </c>
      <c r="AV384" s="87">
        <v>0</v>
      </c>
      <c r="AW384" s="87">
        <v>0</v>
      </c>
      <c r="AX384" s="87">
        <v>0</v>
      </c>
      <c r="AY384" s="87">
        <v>0</v>
      </c>
      <c r="AZ384" s="87">
        <v>0</v>
      </c>
      <c r="BA384" s="87">
        <v>0</v>
      </c>
      <c r="BB384" s="87">
        <v>0</v>
      </c>
      <c r="BC384" s="87">
        <v>0</v>
      </c>
      <c r="BD384" s="87">
        <v>0</v>
      </c>
      <c r="BE384" s="87">
        <v>0</v>
      </c>
      <c r="BF384" s="87">
        <v>0</v>
      </c>
    </row>
    <row r="385" spans="1:58" ht="14.1" customHeight="1">
      <c r="A385" s="75">
        <f t="shared" si="447"/>
        <v>379</v>
      </c>
      <c r="B385" s="108" t="s">
        <v>549</v>
      </c>
      <c r="C385" s="110">
        <f t="shared" ref="C385:V385" si="480">SUM(C374:C384)</f>
        <v>-5103620.0320000034</v>
      </c>
      <c r="D385" s="110">
        <f t="shared" si="480"/>
        <v>0</v>
      </c>
      <c r="E385" s="110">
        <f t="shared" si="480"/>
        <v>0</v>
      </c>
      <c r="F385" s="110">
        <f t="shared" si="480"/>
        <v>0</v>
      </c>
      <c r="G385" s="110">
        <f t="shared" si="480"/>
        <v>0</v>
      </c>
      <c r="H385" s="110">
        <f t="shared" si="480"/>
        <v>0</v>
      </c>
      <c r="I385" s="110">
        <f t="shared" si="480"/>
        <v>0</v>
      </c>
      <c r="J385" s="110">
        <f t="shared" si="480"/>
        <v>0</v>
      </c>
      <c r="K385" s="110">
        <f t="shared" si="480"/>
        <v>0</v>
      </c>
      <c r="L385" s="110">
        <f t="shared" si="480"/>
        <v>0</v>
      </c>
      <c r="M385" s="110">
        <f t="shared" si="480"/>
        <v>0</v>
      </c>
      <c r="N385" s="110">
        <f t="shared" si="480"/>
        <v>0</v>
      </c>
      <c r="O385" s="110">
        <f t="shared" si="480"/>
        <v>0</v>
      </c>
      <c r="P385" s="110">
        <f t="shared" si="480"/>
        <v>0</v>
      </c>
      <c r="Q385" s="110">
        <f t="shared" si="480"/>
        <v>0</v>
      </c>
      <c r="R385" s="110">
        <f t="shared" si="480"/>
        <v>0</v>
      </c>
      <c r="S385" s="110">
        <f t="shared" si="480"/>
        <v>0</v>
      </c>
      <c r="T385" s="110">
        <f t="shared" si="480"/>
        <v>0</v>
      </c>
      <c r="U385" s="110">
        <f t="shared" si="480"/>
        <v>30821.057999998029</v>
      </c>
      <c r="V385" s="110">
        <f t="shared" si="480"/>
        <v>0</v>
      </c>
      <c r="W385" s="110">
        <f>SUM(W374:W384)</f>
        <v>0</v>
      </c>
      <c r="X385" s="110">
        <f t="shared" ref="X385:AD385" si="481">SUM(X374:X384)</f>
        <v>215408.01999999955</v>
      </c>
      <c r="Y385" s="110">
        <f>SUM(Y374:Y384)</f>
        <v>0</v>
      </c>
      <c r="Z385" s="110">
        <f t="shared" si="481"/>
        <v>0</v>
      </c>
      <c r="AA385" s="110">
        <f t="shared" si="481"/>
        <v>0</v>
      </c>
      <c r="AB385" s="110">
        <f t="shared" si="481"/>
        <v>71071.719999999972</v>
      </c>
      <c r="AC385" s="110">
        <f t="shared" si="481"/>
        <v>0</v>
      </c>
      <c r="AD385" s="110">
        <f t="shared" si="481"/>
        <v>0</v>
      </c>
      <c r="AE385" s="110">
        <f>SUM(AE374:AE384)</f>
        <v>0</v>
      </c>
      <c r="AF385" s="110">
        <f>SUM(AF374:AF384)</f>
        <v>0</v>
      </c>
      <c r="AG385" s="110">
        <f>SUM(AG374:AG384)</f>
        <v>739040.97</v>
      </c>
      <c r="AH385" s="110">
        <f t="shared" ref="AH385:AL385" si="482">SUM(AH374:AH384)</f>
        <v>0</v>
      </c>
      <c r="AI385" s="110">
        <f t="shared" si="482"/>
        <v>0</v>
      </c>
      <c r="AJ385" s="110">
        <f t="shared" si="482"/>
        <v>0</v>
      </c>
      <c r="AK385" s="110">
        <f t="shared" si="482"/>
        <v>0</v>
      </c>
      <c r="AL385" s="110">
        <f t="shared" si="482"/>
        <v>0</v>
      </c>
      <c r="AM385" s="110">
        <f>SUM(AM374:AM384)</f>
        <v>0</v>
      </c>
      <c r="AN385" s="110">
        <f>SUM(AN374:AN384)</f>
        <v>0</v>
      </c>
      <c r="AO385" s="110">
        <f>SUM(AO374:AO384)</f>
        <v>0</v>
      </c>
      <c r="AP385" s="110">
        <f>SUM(AP374:AP384)</f>
        <v>0</v>
      </c>
      <c r="AQ385" s="110">
        <f>SUM(AQ374:AQ384)</f>
        <v>0</v>
      </c>
      <c r="AR385" s="110">
        <f t="shared" ref="AR385" si="483">SUM(AR374:AR384)</f>
        <v>0</v>
      </c>
      <c r="AS385" s="110">
        <f>SUM(AS374:AS384)</f>
        <v>0</v>
      </c>
      <c r="AT385" s="110">
        <f t="shared" ref="AT385:AV385" si="484">SUM(AT374:AT384)</f>
        <v>0</v>
      </c>
      <c r="AU385" s="110">
        <f t="shared" si="484"/>
        <v>0</v>
      </c>
      <c r="AV385" s="110">
        <f t="shared" si="484"/>
        <v>-6159961.8000000007</v>
      </c>
      <c r="AW385" s="110">
        <f>SUM(AW374:AW384)</f>
        <v>0</v>
      </c>
      <c r="AX385" s="110">
        <f t="shared" ref="AX385:BF385" si="485">SUM(AX374:AX384)</f>
        <v>0</v>
      </c>
      <c r="AY385" s="110">
        <f t="shared" si="485"/>
        <v>0</v>
      </c>
      <c r="AZ385" s="110">
        <f t="shared" si="485"/>
        <v>0</v>
      </c>
      <c r="BA385" s="110">
        <f t="shared" si="485"/>
        <v>0</v>
      </c>
      <c r="BB385" s="110">
        <f t="shared" si="485"/>
        <v>0</v>
      </c>
      <c r="BC385" s="110">
        <f t="shared" si="485"/>
        <v>0</v>
      </c>
      <c r="BD385" s="110">
        <f t="shared" si="485"/>
        <v>0</v>
      </c>
      <c r="BE385" s="110">
        <f t="shared" si="485"/>
        <v>0</v>
      </c>
      <c r="BF385" s="110">
        <f t="shared" si="485"/>
        <v>0</v>
      </c>
    </row>
    <row r="386" spans="1:58" ht="14.1" customHeight="1">
      <c r="A386" s="75">
        <f t="shared" si="447"/>
        <v>380</v>
      </c>
      <c r="B386" s="130"/>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c r="AA386" s="92"/>
      <c r="AB386" s="92"/>
      <c r="AC386" s="92"/>
      <c r="AD386" s="92"/>
      <c r="AE386" s="92"/>
      <c r="AF386" s="92"/>
      <c r="AG386" s="92"/>
      <c r="AH386" s="92"/>
      <c r="AI386" s="92"/>
      <c r="AJ386" s="92"/>
      <c r="AK386" s="92"/>
      <c r="AL386" s="92"/>
      <c r="AM386" s="92"/>
      <c r="AN386" s="92"/>
      <c r="AO386" s="92"/>
      <c r="AP386" s="92"/>
      <c r="AQ386" s="92"/>
      <c r="AR386" s="92"/>
      <c r="AS386" s="92"/>
      <c r="AT386" s="92"/>
      <c r="AU386" s="92"/>
      <c r="AV386" s="92"/>
      <c r="AW386" s="92"/>
      <c r="AX386" s="92"/>
      <c r="AY386" s="92"/>
      <c r="AZ386" s="92"/>
      <c r="BA386" s="92"/>
      <c r="BB386" s="92"/>
      <c r="BC386" s="92"/>
      <c r="BD386" s="92"/>
      <c r="BE386" s="92"/>
      <c r="BF386" s="92"/>
    </row>
    <row r="387" spans="1:58" ht="14.1" customHeight="1">
      <c r="A387" s="75">
        <f t="shared" si="447"/>
        <v>381</v>
      </c>
      <c r="B387" s="108" t="s">
        <v>550</v>
      </c>
      <c r="C387" s="94">
        <f t="shared" ref="C387:V387" si="486">C372+C385</f>
        <v>-6810104.4930000026</v>
      </c>
      <c r="D387" s="94">
        <f t="shared" si="486"/>
        <v>0</v>
      </c>
      <c r="E387" s="94">
        <f t="shared" si="486"/>
        <v>0</v>
      </c>
      <c r="F387" s="94">
        <f t="shared" si="486"/>
        <v>0</v>
      </c>
      <c r="G387" s="94">
        <f t="shared" si="486"/>
        <v>0</v>
      </c>
      <c r="H387" s="94">
        <f t="shared" si="486"/>
        <v>0</v>
      </c>
      <c r="I387" s="94">
        <f t="shared" si="486"/>
        <v>0</v>
      </c>
      <c r="J387" s="94">
        <f t="shared" si="486"/>
        <v>0</v>
      </c>
      <c r="K387" s="94">
        <f t="shared" si="486"/>
        <v>0</v>
      </c>
      <c r="L387" s="94">
        <f t="shared" si="486"/>
        <v>0</v>
      </c>
      <c r="M387" s="94">
        <f t="shared" si="486"/>
        <v>0</v>
      </c>
      <c r="N387" s="94">
        <f t="shared" si="486"/>
        <v>0</v>
      </c>
      <c r="O387" s="94">
        <f t="shared" si="486"/>
        <v>0</v>
      </c>
      <c r="P387" s="94">
        <f t="shared" si="486"/>
        <v>0</v>
      </c>
      <c r="Q387" s="94">
        <f t="shared" si="486"/>
        <v>0</v>
      </c>
      <c r="R387" s="94">
        <f t="shared" si="486"/>
        <v>0</v>
      </c>
      <c r="S387" s="94">
        <f t="shared" si="486"/>
        <v>0</v>
      </c>
      <c r="T387" s="94">
        <f t="shared" si="486"/>
        <v>21148.080000000002</v>
      </c>
      <c r="U387" s="94">
        <f t="shared" si="486"/>
        <v>42023.206999998336</v>
      </c>
      <c r="V387" s="94">
        <f t="shared" si="486"/>
        <v>0</v>
      </c>
      <c r="W387" s="94">
        <f>W372+W385</f>
        <v>0</v>
      </c>
      <c r="X387" s="94">
        <f t="shared" ref="X387:AD387" si="487">X372+X385</f>
        <v>215408.01999999955</v>
      </c>
      <c r="Y387" s="94">
        <f>Y372+Y385</f>
        <v>0</v>
      </c>
      <c r="Z387" s="94">
        <f t="shared" si="487"/>
        <v>0</v>
      </c>
      <c r="AA387" s="94">
        <f t="shared" si="487"/>
        <v>0</v>
      </c>
      <c r="AB387" s="94">
        <f t="shared" si="487"/>
        <v>95939.059999999969</v>
      </c>
      <c r="AC387" s="94">
        <f t="shared" si="487"/>
        <v>0</v>
      </c>
      <c r="AD387" s="94">
        <f t="shared" si="487"/>
        <v>0</v>
      </c>
      <c r="AE387" s="94">
        <f>AE372+AE385</f>
        <v>0</v>
      </c>
      <c r="AF387" s="94">
        <f>AF372+AF385</f>
        <v>-2257483</v>
      </c>
      <c r="AG387" s="94">
        <f>AG372+AG385</f>
        <v>1237190.04</v>
      </c>
      <c r="AH387" s="94">
        <f t="shared" ref="AH387:AL387" si="488">AH372+AH385</f>
        <v>-4368.0999999999995</v>
      </c>
      <c r="AI387" s="94">
        <f t="shared" si="488"/>
        <v>0</v>
      </c>
      <c r="AJ387" s="94">
        <f t="shared" si="488"/>
        <v>0</v>
      </c>
      <c r="AK387" s="94">
        <f t="shared" si="488"/>
        <v>0</v>
      </c>
      <c r="AL387" s="94">
        <f t="shared" si="488"/>
        <v>0</v>
      </c>
      <c r="AM387" s="94">
        <f>AM372+AM385</f>
        <v>0</v>
      </c>
      <c r="AN387" s="94">
        <f>AN372+AN385</f>
        <v>0</v>
      </c>
      <c r="AO387" s="94">
        <f>AO372+AO385</f>
        <v>0</v>
      </c>
      <c r="AP387" s="94">
        <f>AP372+AP385</f>
        <v>0</v>
      </c>
      <c r="AQ387" s="94">
        <f>AQ372+AQ385</f>
        <v>0</v>
      </c>
      <c r="AR387" s="94">
        <f t="shared" ref="AR387" si="489">AR372+AR385</f>
        <v>0</v>
      </c>
      <c r="AS387" s="94">
        <f>AS372+AS385</f>
        <v>0</v>
      </c>
      <c r="AT387" s="94">
        <f t="shared" ref="AT387:AV387" si="490">AT372+AT385</f>
        <v>0</v>
      </c>
      <c r="AU387" s="94">
        <f t="shared" si="490"/>
        <v>0</v>
      </c>
      <c r="AV387" s="94">
        <f t="shared" si="490"/>
        <v>-6159961.8000000007</v>
      </c>
      <c r="AW387" s="94">
        <f>AW372+AW385</f>
        <v>0</v>
      </c>
      <c r="AX387" s="94">
        <f t="shared" ref="AX387:BF387" si="491">AX372+AX385</f>
        <v>0</v>
      </c>
      <c r="AY387" s="94">
        <f t="shared" si="491"/>
        <v>0</v>
      </c>
      <c r="AZ387" s="94">
        <f t="shared" si="491"/>
        <v>0</v>
      </c>
      <c r="BA387" s="94">
        <f t="shared" si="491"/>
        <v>0</v>
      </c>
      <c r="BB387" s="94">
        <f t="shared" si="491"/>
        <v>0</v>
      </c>
      <c r="BC387" s="94">
        <f t="shared" si="491"/>
        <v>0</v>
      </c>
      <c r="BD387" s="94">
        <f t="shared" si="491"/>
        <v>0</v>
      </c>
      <c r="BE387" s="94">
        <f t="shared" si="491"/>
        <v>0</v>
      </c>
      <c r="BF387" s="94">
        <f t="shared" si="491"/>
        <v>0</v>
      </c>
    </row>
    <row r="388" spans="1:58" ht="14.1" customHeight="1">
      <c r="A388" s="75">
        <f t="shared" si="447"/>
        <v>382</v>
      </c>
      <c r="B388" s="89"/>
      <c r="C388" s="126"/>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row>
    <row r="389" spans="1:58" ht="14.1" customHeight="1">
      <c r="A389" s="75">
        <f t="shared" si="447"/>
        <v>383</v>
      </c>
      <c r="B389" s="81" t="s">
        <v>551</v>
      </c>
      <c r="C389" s="129"/>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87"/>
      <c r="AH389" s="87"/>
      <c r="AI389" s="87"/>
      <c r="AJ389" s="87"/>
      <c r="AK389" s="87"/>
      <c r="AL389" s="87"/>
      <c r="AM389" s="87"/>
      <c r="AN389" s="87"/>
      <c r="AO389" s="87"/>
      <c r="AP389" s="87"/>
      <c r="AQ389" s="87"/>
      <c r="AR389" s="87"/>
      <c r="AS389" s="87"/>
      <c r="AT389" s="87"/>
      <c r="AU389" s="87"/>
      <c r="AV389" s="87"/>
      <c r="AW389" s="87"/>
      <c r="AX389" s="87"/>
      <c r="AY389" s="87"/>
      <c r="AZ389" s="87"/>
      <c r="BA389" s="87"/>
      <c r="BB389" s="87"/>
      <c r="BC389" s="87"/>
      <c r="BD389" s="87"/>
      <c r="BE389" s="87"/>
      <c r="BF389" s="87"/>
    </row>
    <row r="390" spans="1:58" ht="14.1" customHeight="1">
      <c r="A390" s="75">
        <f t="shared" si="447"/>
        <v>384</v>
      </c>
      <c r="B390" s="76" t="s">
        <v>552</v>
      </c>
      <c r="C390" s="80">
        <f t="shared" ref="C390:C395" si="492">SUM(D390:BF390)</f>
        <v>-0.13999999999941792</v>
      </c>
      <c r="D390" s="87">
        <v>0</v>
      </c>
      <c r="E390" s="87">
        <v>0</v>
      </c>
      <c r="F390" s="87">
        <v>0</v>
      </c>
      <c r="G390" s="87">
        <v>0</v>
      </c>
      <c r="H390" s="87">
        <v>0</v>
      </c>
      <c r="I390" s="87">
        <v>0</v>
      </c>
      <c r="J390" s="87">
        <v>0</v>
      </c>
      <c r="K390" s="87">
        <v>0</v>
      </c>
      <c r="L390" s="87">
        <v>0</v>
      </c>
      <c r="M390" s="87">
        <v>0</v>
      </c>
      <c r="N390" s="87">
        <v>0</v>
      </c>
      <c r="O390" s="87">
        <v>0</v>
      </c>
      <c r="P390" s="87">
        <v>0</v>
      </c>
      <c r="Q390" s="87">
        <v>0</v>
      </c>
      <c r="R390" s="87">
        <v>0</v>
      </c>
      <c r="S390" s="87">
        <v>0</v>
      </c>
      <c r="T390" s="87">
        <v>0</v>
      </c>
      <c r="U390" s="87">
        <v>-0.13999999999941792</v>
      </c>
      <c r="V390" s="87">
        <v>0</v>
      </c>
      <c r="W390" s="87">
        <v>0</v>
      </c>
      <c r="X390" s="87">
        <v>0</v>
      </c>
      <c r="Y390" s="87">
        <v>0</v>
      </c>
      <c r="Z390" s="87">
        <v>0</v>
      </c>
      <c r="AA390" s="87">
        <v>0</v>
      </c>
      <c r="AB390" s="87">
        <v>0</v>
      </c>
      <c r="AC390" s="87">
        <v>0</v>
      </c>
      <c r="AD390" s="87">
        <v>0</v>
      </c>
      <c r="AE390" s="87">
        <v>0</v>
      </c>
      <c r="AF390" s="87">
        <v>0</v>
      </c>
      <c r="AG390" s="87">
        <v>0</v>
      </c>
      <c r="AH390" s="87">
        <v>0</v>
      </c>
      <c r="AI390" s="87">
        <v>0</v>
      </c>
      <c r="AJ390" s="87">
        <v>0</v>
      </c>
      <c r="AK390" s="87">
        <v>0</v>
      </c>
      <c r="AL390" s="87">
        <v>0</v>
      </c>
      <c r="AM390" s="87">
        <v>0</v>
      </c>
      <c r="AN390" s="87">
        <v>0</v>
      </c>
      <c r="AO390" s="87">
        <v>0</v>
      </c>
      <c r="AP390" s="87">
        <v>0</v>
      </c>
      <c r="AQ390" s="87">
        <v>0</v>
      </c>
      <c r="AR390" s="87">
        <v>0</v>
      </c>
      <c r="AS390" s="87">
        <v>0</v>
      </c>
      <c r="AT390" s="87">
        <v>0</v>
      </c>
      <c r="AU390" s="87">
        <v>0</v>
      </c>
      <c r="AV390" s="87">
        <v>0</v>
      </c>
      <c r="AW390" s="87">
        <v>0</v>
      </c>
      <c r="AX390" s="87">
        <v>0</v>
      </c>
      <c r="AY390" s="87">
        <v>0</v>
      </c>
      <c r="AZ390" s="87">
        <v>0</v>
      </c>
      <c r="BA390" s="87">
        <v>0</v>
      </c>
      <c r="BB390" s="87">
        <v>0</v>
      </c>
      <c r="BC390" s="87">
        <v>0</v>
      </c>
      <c r="BD390" s="87">
        <v>0</v>
      </c>
      <c r="BE390" s="87">
        <v>0</v>
      </c>
      <c r="BF390" s="87">
        <v>0</v>
      </c>
    </row>
    <row r="391" spans="1:58" ht="14.1" customHeight="1">
      <c r="A391" s="75">
        <f t="shared" si="447"/>
        <v>385</v>
      </c>
      <c r="B391" s="76" t="s">
        <v>555</v>
      </c>
      <c r="C391" s="80">
        <f t="shared" si="492"/>
        <v>30898.460000000057</v>
      </c>
      <c r="D391" s="87">
        <v>0</v>
      </c>
      <c r="E391" s="87">
        <v>0</v>
      </c>
      <c r="F391" s="87">
        <v>0</v>
      </c>
      <c r="G391" s="87">
        <v>0</v>
      </c>
      <c r="H391" s="87">
        <v>0</v>
      </c>
      <c r="I391" s="87">
        <v>0</v>
      </c>
      <c r="J391" s="87">
        <v>0</v>
      </c>
      <c r="K391" s="87">
        <v>0</v>
      </c>
      <c r="L391" s="87">
        <v>0</v>
      </c>
      <c r="M391" s="87">
        <v>0</v>
      </c>
      <c r="N391" s="87">
        <v>0</v>
      </c>
      <c r="O391" s="87">
        <v>0</v>
      </c>
      <c r="P391" s="87">
        <v>0</v>
      </c>
      <c r="Q391" s="87">
        <v>0</v>
      </c>
      <c r="R391" s="87">
        <v>0</v>
      </c>
      <c r="S391" s="87">
        <v>0</v>
      </c>
      <c r="T391" s="87">
        <v>0</v>
      </c>
      <c r="U391" s="87">
        <v>4.440000000060536</v>
      </c>
      <c r="V391" s="87">
        <v>0</v>
      </c>
      <c r="W391" s="87">
        <v>0</v>
      </c>
      <c r="X391" s="87">
        <v>0</v>
      </c>
      <c r="Y391" s="87">
        <v>0</v>
      </c>
      <c r="Z391" s="87">
        <v>0</v>
      </c>
      <c r="AA391" s="87">
        <v>0</v>
      </c>
      <c r="AB391" s="87">
        <v>5321.99</v>
      </c>
      <c r="AC391" s="87">
        <v>0</v>
      </c>
      <c r="AD391" s="87">
        <v>0</v>
      </c>
      <c r="AE391" s="87">
        <v>0</v>
      </c>
      <c r="AF391" s="87">
        <v>0</v>
      </c>
      <c r="AG391" s="87">
        <v>25572.03</v>
      </c>
      <c r="AH391" s="87">
        <v>0</v>
      </c>
      <c r="AI391" s="87">
        <v>0</v>
      </c>
      <c r="AJ391" s="87">
        <v>0</v>
      </c>
      <c r="AK391" s="87">
        <v>0</v>
      </c>
      <c r="AL391" s="87">
        <v>0</v>
      </c>
      <c r="AM391" s="87">
        <v>0</v>
      </c>
      <c r="AN391" s="87">
        <v>0</v>
      </c>
      <c r="AO391" s="87">
        <v>0</v>
      </c>
      <c r="AP391" s="87">
        <v>0</v>
      </c>
      <c r="AQ391" s="87">
        <v>0</v>
      </c>
      <c r="AR391" s="87">
        <v>0</v>
      </c>
      <c r="AS391" s="87">
        <v>0</v>
      </c>
      <c r="AT391" s="87">
        <v>0</v>
      </c>
      <c r="AU391" s="87">
        <v>0</v>
      </c>
      <c r="AV391" s="87">
        <v>0</v>
      </c>
      <c r="AW391" s="87">
        <v>0</v>
      </c>
      <c r="AX391" s="87">
        <v>0</v>
      </c>
      <c r="AY391" s="87">
        <v>0</v>
      </c>
      <c r="AZ391" s="87">
        <v>0</v>
      </c>
      <c r="BA391" s="87">
        <v>0</v>
      </c>
      <c r="BB391" s="87">
        <v>0</v>
      </c>
      <c r="BC391" s="87">
        <v>0</v>
      </c>
      <c r="BD391" s="87">
        <v>0</v>
      </c>
      <c r="BE391" s="87">
        <v>0</v>
      </c>
      <c r="BF391" s="87">
        <v>0</v>
      </c>
    </row>
    <row r="392" spans="1:58" ht="14.1" customHeight="1">
      <c r="A392" s="75">
        <f t="shared" si="447"/>
        <v>386</v>
      </c>
      <c r="B392" s="76" t="s">
        <v>557</v>
      </c>
      <c r="C392" s="80">
        <f t="shared" si="492"/>
        <v>78715.400000000067</v>
      </c>
      <c r="D392" s="87">
        <v>0</v>
      </c>
      <c r="E392" s="87">
        <v>0</v>
      </c>
      <c r="F392" s="87">
        <v>0</v>
      </c>
      <c r="G392" s="87">
        <v>0</v>
      </c>
      <c r="H392" s="87">
        <v>0</v>
      </c>
      <c r="I392" s="87">
        <v>0</v>
      </c>
      <c r="J392" s="87">
        <v>0</v>
      </c>
      <c r="K392" s="87">
        <v>0</v>
      </c>
      <c r="L392" s="87">
        <v>0</v>
      </c>
      <c r="M392" s="87">
        <v>0</v>
      </c>
      <c r="N392" s="87">
        <v>0</v>
      </c>
      <c r="O392" s="87">
        <v>0</v>
      </c>
      <c r="P392" s="87">
        <v>0</v>
      </c>
      <c r="Q392" s="87">
        <v>0</v>
      </c>
      <c r="R392" s="87">
        <v>0</v>
      </c>
      <c r="S392" s="87">
        <v>0</v>
      </c>
      <c r="T392" s="87">
        <v>0</v>
      </c>
      <c r="U392" s="87">
        <v>57.080000000074506</v>
      </c>
      <c r="V392" s="87">
        <v>0</v>
      </c>
      <c r="W392" s="87">
        <v>0</v>
      </c>
      <c r="X392" s="87">
        <v>0</v>
      </c>
      <c r="Y392" s="87">
        <v>0</v>
      </c>
      <c r="Z392" s="87">
        <v>0</v>
      </c>
      <c r="AA392" s="87">
        <v>0</v>
      </c>
      <c r="AB392" s="87">
        <v>2868.0599999999995</v>
      </c>
      <c r="AC392" s="87">
        <v>0</v>
      </c>
      <c r="AD392" s="87">
        <v>0</v>
      </c>
      <c r="AE392" s="87">
        <v>0</v>
      </c>
      <c r="AF392" s="87">
        <v>0</v>
      </c>
      <c r="AG392" s="87">
        <v>75790.259999999995</v>
      </c>
      <c r="AH392" s="87">
        <v>0</v>
      </c>
      <c r="AI392" s="87">
        <v>0</v>
      </c>
      <c r="AJ392" s="87">
        <v>0</v>
      </c>
      <c r="AK392" s="87">
        <v>0</v>
      </c>
      <c r="AL392" s="87">
        <v>0</v>
      </c>
      <c r="AM392" s="87">
        <v>0</v>
      </c>
      <c r="AN392" s="87">
        <v>0</v>
      </c>
      <c r="AO392" s="87">
        <v>0</v>
      </c>
      <c r="AP392" s="87">
        <v>0</v>
      </c>
      <c r="AQ392" s="87">
        <v>0</v>
      </c>
      <c r="AR392" s="87">
        <v>0</v>
      </c>
      <c r="AS392" s="87">
        <v>0</v>
      </c>
      <c r="AT392" s="87">
        <v>0</v>
      </c>
      <c r="AU392" s="87">
        <v>0</v>
      </c>
      <c r="AV392" s="87">
        <v>0</v>
      </c>
      <c r="AW392" s="87">
        <v>0</v>
      </c>
      <c r="AX392" s="87">
        <v>0</v>
      </c>
      <c r="AY392" s="87">
        <v>0</v>
      </c>
      <c r="AZ392" s="87">
        <v>0</v>
      </c>
      <c r="BA392" s="87">
        <v>0</v>
      </c>
      <c r="BB392" s="87">
        <v>0</v>
      </c>
      <c r="BC392" s="87">
        <v>0</v>
      </c>
      <c r="BD392" s="87">
        <v>0</v>
      </c>
      <c r="BE392" s="87">
        <v>0</v>
      </c>
      <c r="BF392" s="87">
        <v>0</v>
      </c>
    </row>
    <row r="393" spans="1:58" ht="14.1" customHeight="1">
      <c r="A393" s="75">
        <f t="shared" si="447"/>
        <v>387</v>
      </c>
      <c r="B393" s="76" t="s">
        <v>559</v>
      </c>
      <c r="C393" s="80">
        <f t="shared" si="492"/>
        <v>0</v>
      </c>
      <c r="D393" s="87">
        <v>0</v>
      </c>
      <c r="E393" s="87">
        <v>0</v>
      </c>
      <c r="F393" s="87">
        <v>0</v>
      </c>
      <c r="G393" s="87">
        <v>0</v>
      </c>
      <c r="H393" s="87">
        <v>0</v>
      </c>
      <c r="I393" s="87">
        <v>0</v>
      </c>
      <c r="J393" s="87">
        <v>0</v>
      </c>
      <c r="K393" s="87">
        <v>0</v>
      </c>
      <c r="L393" s="87">
        <v>0</v>
      </c>
      <c r="M393" s="87">
        <v>0</v>
      </c>
      <c r="N393" s="87">
        <v>0</v>
      </c>
      <c r="O393" s="87">
        <v>0</v>
      </c>
      <c r="P393" s="87">
        <v>0</v>
      </c>
      <c r="Q393" s="87">
        <v>0</v>
      </c>
      <c r="R393" s="87">
        <v>0</v>
      </c>
      <c r="S393" s="87">
        <v>0</v>
      </c>
      <c r="T393" s="87">
        <v>0</v>
      </c>
      <c r="U393" s="87">
        <v>0</v>
      </c>
      <c r="V393" s="87">
        <v>0</v>
      </c>
      <c r="W393" s="87">
        <v>0</v>
      </c>
      <c r="X393" s="87">
        <v>0</v>
      </c>
      <c r="Y393" s="87">
        <v>0</v>
      </c>
      <c r="Z393" s="87">
        <v>0</v>
      </c>
      <c r="AA393" s="87">
        <v>0</v>
      </c>
      <c r="AB393" s="87">
        <v>0</v>
      </c>
      <c r="AC393" s="87">
        <v>0</v>
      </c>
      <c r="AD393" s="87">
        <v>0</v>
      </c>
      <c r="AE393" s="87">
        <v>0</v>
      </c>
      <c r="AF393" s="87">
        <v>0</v>
      </c>
      <c r="AG393" s="87">
        <v>0</v>
      </c>
      <c r="AH393" s="87">
        <v>0</v>
      </c>
      <c r="AI393" s="87">
        <v>0</v>
      </c>
      <c r="AJ393" s="87">
        <v>0</v>
      </c>
      <c r="AK393" s="87">
        <v>0</v>
      </c>
      <c r="AL393" s="87">
        <v>0</v>
      </c>
      <c r="AM393" s="87">
        <v>0</v>
      </c>
      <c r="AN393" s="87">
        <v>0</v>
      </c>
      <c r="AO393" s="87">
        <v>0</v>
      </c>
      <c r="AP393" s="87">
        <v>0</v>
      </c>
      <c r="AQ393" s="87">
        <v>0</v>
      </c>
      <c r="AR393" s="87">
        <v>0</v>
      </c>
      <c r="AS393" s="87">
        <v>0</v>
      </c>
      <c r="AT393" s="87">
        <v>0</v>
      </c>
      <c r="AU393" s="87">
        <v>0</v>
      </c>
      <c r="AV393" s="87">
        <v>0</v>
      </c>
      <c r="AW393" s="87">
        <v>0</v>
      </c>
      <c r="AX393" s="87">
        <v>0</v>
      </c>
      <c r="AY393" s="87">
        <v>0</v>
      </c>
      <c r="AZ393" s="87">
        <v>0</v>
      </c>
      <c r="BA393" s="87">
        <v>0</v>
      </c>
      <c r="BB393" s="87">
        <v>0</v>
      </c>
      <c r="BC393" s="87">
        <v>0</v>
      </c>
      <c r="BD393" s="87">
        <v>0</v>
      </c>
      <c r="BE393" s="87">
        <v>0</v>
      </c>
      <c r="BF393" s="87">
        <v>0</v>
      </c>
    </row>
    <row r="394" spans="1:58" s="89" customFormat="1" ht="14.1" customHeight="1">
      <c r="A394" s="75">
        <f t="shared" si="447"/>
        <v>388</v>
      </c>
      <c r="B394" s="76" t="s">
        <v>560</v>
      </c>
      <c r="C394" s="80">
        <f t="shared" si="492"/>
        <v>-0.54000000000087311</v>
      </c>
      <c r="D394" s="87">
        <v>0</v>
      </c>
      <c r="E394" s="87">
        <v>0</v>
      </c>
      <c r="F394" s="87">
        <v>0</v>
      </c>
      <c r="G394" s="87">
        <v>0</v>
      </c>
      <c r="H394" s="87">
        <v>0</v>
      </c>
      <c r="I394" s="87">
        <v>0</v>
      </c>
      <c r="J394" s="87">
        <v>0</v>
      </c>
      <c r="K394" s="87">
        <v>0</v>
      </c>
      <c r="L394" s="87">
        <v>0</v>
      </c>
      <c r="M394" s="87">
        <v>0</v>
      </c>
      <c r="N394" s="87">
        <v>0</v>
      </c>
      <c r="O394" s="87">
        <v>0</v>
      </c>
      <c r="P394" s="87">
        <v>0</v>
      </c>
      <c r="Q394" s="87">
        <v>0</v>
      </c>
      <c r="R394" s="87">
        <v>0</v>
      </c>
      <c r="S394" s="87">
        <v>0</v>
      </c>
      <c r="T394" s="87">
        <v>0</v>
      </c>
      <c r="U394" s="87">
        <v>-0.54000000000087311</v>
      </c>
      <c r="V394" s="87">
        <v>0</v>
      </c>
      <c r="W394" s="87">
        <v>0</v>
      </c>
      <c r="X394" s="87">
        <v>0</v>
      </c>
      <c r="Y394" s="87">
        <v>0</v>
      </c>
      <c r="Z394" s="87">
        <v>0</v>
      </c>
      <c r="AA394" s="87">
        <v>0</v>
      </c>
      <c r="AB394" s="87">
        <v>0</v>
      </c>
      <c r="AC394" s="87">
        <v>0</v>
      </c>
      <c r="AD394" s="87">
        <v>0</v>
      </c>
      <c r="AE394" s="87">
        <v>0</v>
      </c>
      <c r="AF394" s="87">
        <v>0</v>
      </c>
      <c r="AG394" s="87">
        <v>0</v>
      </c>
      <c r="AH394" s="87">
        <v>0</v>
      </c>
      <c r="AI394" s="87">
        <v>0</v>
      </c>
      <c r="AJ394" s="87">
        <v>0</v>
      </c>
      <c r="AK394" s="87">
        <v>0</v>
      </c>
      <c r="AL394" s="87">
        <v>0</v>
      </c>
      <c r="AM394" s="87">
        <v>0</v>
      </c>
      <c r="AN394" s="87">
        <v>0</v>
      </c>
      <c r="AO394" s="87">
        <v>0</v>
      </c>
      <c r="AP394" s="87">
        <v>0</v>
      </c>
      <c r="AQ394" s="87">
        <v>0</v>
      </c>
      <c r="AR394" s="87">
        <v>0</v>
      </c>
      <c r="AS394" s="87">
        <v>0</v>
      </c>
      <c r="AT394" s="87">
        <v>0</v>
      </c>
      <c r="AU394" s="87">
        <v>0</v>
      </c>
      <c r="AV394" s="87">
        <v>0</v>
      </c>
      <c r="AW394" s="87">
        <v>0</v>
      </c>
      <c r="AX394" s="87">
        <v>0</v>
      </c>
      <c r="AY394" s="87">
        <v>0</v>
      </c>
      <c r="AZ394" s="87">
        <v>0</v>
      </c>
      <c r="BA394" s="87">
        <v>0</v>
      </c>
      <c r="BB394" s="87">
        <v>0</v>
      </c>
      <c r="BC394" s="87">
        <v>0</v>
      </c>
      <c r="BD394" s="87">
        <v>0</v>
      </c>
      <c r="BE394" s="87">
        <v>0</v>
      </c>
      <c r="BF394" s="87">
        <v>0</v>
      </c>
    </row>
    <row r="395" spans="1:58" ht="14.1" customHeight="1">
      <c r="A395" s="75">
        <f t="shared" ref="A395:A458" si="493">+A394+1</f>
        <v>389</v>
      </c>
      <c r="B395" s="90" t="s">
        <v>562</v>
      </c>
      <c r="C395" s="80">
        <f t="shared" si="492"/>
        <v>0.24000000000160071</v>
      </c>
      <c r="D395" s="87">
        <v>0</v>
      </c>
      <c r="E395" s="87">
        <v>0</v>
      </c>
      <c r="F395" s="87">
        <v>0</v>
      </c>
      <c r="G395" s="87">
        <v>0</v>
      </c>
      <c r="H395" s="87">
        <v>0</v>
      </c>
      <c r="I395" s="87">
        <v>0</v>
      </c>
      <c r="J395" s="87">
        <v>0</v>
      </c>
      <c r="K395" s="87">
        <v>0</v>
      </c>
      <c r="L395" s="87">
        <v>0</v>
      </c>
      <c r="M395" s="87">
        <v>0</v>
      </c>
      <c r="N395" s="87">
        <v>0</v>
      </c>
      <c r="O395" s="87">
        <v>0</v>
      </c>
      <c r="P395" s="87">
        <v>0</v>
      </c>
      <c r="Q395" s="87">
        <v>0</v>
      </c>
      <c r="R395" s="87">
        <v>0</v>
      </c>
      <c r="S395" s="87">
        <v>0</v>
      </c>
      <c r="T395" s="87">
        <v>0</v>
      </c>
      <c r="U395" s="87">
        <v>0.24000000000160071</v>
      </c>
      <c r="V395" s="87">
        <v>0</v>
      </c>
      <c r="W395" s="87">
        <v>0</v>
      </c>
      <c r="X395" s="87">
        <v>0</v>
      </c>
      <c r="Y395" s="87">
        <v>0</v>
      </c>
      <c r="Z395" s="87">
        <v>0</v>
      </c>
      <c r="AA395" s="87">
        <v>0</v>
      </c>
      <c r="AB395" s="87">
        <v>0</v>
      </c>
      <c r="AC395" s="87">
        <v>0</v>
      </c>
      <c r="AD395" s="87">
        <v>0</v>
      </c>
      <c r="AE395" s="87">
        <v>0</v>
      </c>
      <c r="AF395" s="87">
        <v>0</v>
      </c>
      <c r="AG395" s="87">
        <v>0</v>
      </c>
      <c r="AH395" s="87">
        <v>0</v>
      </c>
      <c r="AI395" s="87">
        <v>0</v>
      </c>
      <c r="AJ395" s="87">
        <v>0</v>
      </c>
      <c r="AK395" s="87">
        <v>0</v>
      </c>
      <c r="AL395" s="87">
        <v>0</v>
      </c>
      <c r="AM395" s="87">
        <v>0</v>
      </c>
      <c r="AN395" s="87">
        <v>0</v>
      </c>
      <c r="AO395" s="87">
        <v>0</v>
      </c>
      <c r="AP395" s="87">
        <v>0</v>
      </c>
      <c r="AQ395" s="87">
        <v>0</v>
      </c>
      <c r="AR395" s="87">
        <v>0</v>
      </c>
      <c r="AS395" s="87">
        <v>0</v>
      </c>
      <c r="AT395" s="87">
        <v>0</v>
      </c>
      <c r="AU395" s="87">
        <v>0</v>
      </c>
      <c r="AV395" s="87">
        <v>0</v>
      </c>
      <c r="AW395" s="87">
        <v>0</v>
      </c>
      <c r="AX395" s="87">
        <v>0</v>
      </c>
      <c r="AY395" s="87">
        <v>0</v>
      </c>
      <c r="AZ395" s="87">
        <v>0</v>
      </c>
      <c r="BA395" s="87">
        <v>0</v>
      </c>
      <c r="BB395" s="87">
        <v>0</v>
      </c>
      <c r="BC395" s="87">
        <v>0</v>
      </c>
      <c r="BD395" s="87">
        <v>0</v>
      </c>
      <c r="BE395" s="87">
        <v>0</v>
      </c>
      <c r="BF395" s="87">
        <v>0</v>
      </c>
    </row>
    <row r="396" spans="1:58" ht="14.1" customHeight="1">
      <c r="A396" s="75">
        <f t="shared" si="493"/>
        <v>390</v>
      </c>
      <c r="B396" s="108" t="s">
        <v>564</v>
      </c>
      <c r="C396" s="97">
        <f t="shared" ref="C396:V396" si="494">SUM(C390:C395)</f>
        <v>109613.42000000011</v>
      </c>
      <c r="D396" s="97">
        <f t="shared" si="494"/>
        <v>0</v>
      </c>
      <c r="E396" s="97">
        <f t="shared" si="494"/>
        <v>0</v>
      </c>
      <c r="F396" s="97">
        <f t="shared" si="494"/>
        <v>0</v>
      </c>
      <c r="G396" s="97">
        <f t="shared" si="494"/>
        <v>0</v>
      </c>
      <c r="H396" s="97">
        <f t="shared" si="494"/>
        <v>0</v>
      </c>
      <c r="I396" s="97">
        <f t="shared" si="494"/>
        <v>0</v>
      </c>
      <c r="J396" s="97">
        <f t="shared" si="494"/>
        <v>0</v>
      </c>
      <c r="K396" s="97">
        <f t="shared" si="494"/>
        <v>0</v>
      </c>
      <c r="L396" s="97">
        <f t="shared" si="494"/>
        <v>0</v>
      </c>
      <c r="M396" s="97">
        <f t="shared" si="494"/>
        <v>0</v>
      </c>
      <c r="N396" s="97">
        <f t="shared" si="494"/>
        <v>0</v>
      </c>
      <c r="O396" s="97">
        <f t="shared" si="494"/>
        <v>0</v>
      </c>
      <c r="P396" s="97">
        <f t="shared" si="494"/>
        <v>0</v>
      </c>
      <c r="Q396" s="97">
        <f t="shared" si="494"/>
        <v>0</v>
      </c>
      <c r="R396" s="97">
        <f t="shared" si="494"/>
        <v>0</v>
      </c>
      <c r="S396" s="97">
        <f t="shared" si="494"/>
        <v>0</v>
      </c>
      <c r="T396" s="97">
        <f t="shared" si="494"/>
        <v>0</v>
      </c>
      <c r="U396" s="97">
        <f t="shared" si="494"/>
        <v>61.080000000136351</v>
      </c>
      <c r="V396" s="97">
        <f t="shared" si="494"/>
        <v>0</v>
      </c>
      <c r="W396" s="97">
        <f>SUM(W390:W395)</f>
        <v>0</v>
      </c>
      <c r="X396" s="97">
        <f t="shared" ref="X396:AD396" si="495">SUM(X390:X395)</f>
        <v>0</v>
      </c>
      <c r="Y396" s="97">
        <f>SUM(Y390:Y395)</f>
        <v>0</v>
      </c>
      <c r="Z396" s="97">
        <f t="shared" si="495"/>
        <v>0</v>
      </c>
      <c r="AA396" s="97">
        <f t="shared" si="495"/>
        <v>0</v>
      </c>
      <c r="AB396" s="97">
        <f t="shared" si="495"/>
        <v>8190.0499999999993</v>
      </c>
      <c r="AC396" s="97">
        <f t="shared" si="495"/>
        <v>0</v>
      </c>
      <c r="AD396" s="97">
        <f t="shared" si="495"/>
        <v>0</v>
      </c>
      <c r="AE396" s="97">
        <f>SUM(AE390:AE395)</f>
        <v>0</v>
      </c>
      <c r="AF396" s="97">
        <f>SUM(AF390:AF395)</f>
        <v>0</v>
      </c>
      <c r="AG396" s="97">
        <f>SUM(AG390:AG395)</f>
        <v>101362.29</v>
      </c>
      <c r="AH396" s="97">
        <f t="shared" ref="AH396:AL396" si="496">SUM(AH390:AH395)</f>
        <v>0</v>
      </c>
      <c r="AI396" s="97">
        <f t="shared" si="496"/>
        <v>0</v>
      </c>
      <c r="AJ396" s="97">
        <f t="shared" si="496"/>
        <v>0</v>
      </c>
      <c r="AK396" s="97">
        <f t="shared" si="496"/>
        <v>0</v>
      </c>
      <c r="AL396" s="97">
        <f t="shared" si="496"/>
        <v>0</v>
      </c>
      <c r="AM396" s="97">
        <f>SUM(AM390:AM395)</f>
        <v>0</v>
      </c>
      <c r="AN396" s="97">
        <f>SUM(AN390:AN395)</f>
        <v>0</v>
      </c>
      <c r="AO396" s="97">
        <f>SUM(AO390:AO395)</f>
        <v>0</v>
      </c>
      <c r="AP396" s="97">
        <f>SUM(AP390:AP395)</f>
        <v>0</v>
      </c>
      <c r="AQ396" s="97">
        <f>SUM(AQ390:AQ395)</f>
        <v>0</v>
      </c>
      <c r="AR396" s="97">
        <f t="shared" ref="AR396" si="497">SUM(AR390:AR395)</f>
        <v>0</v>
      </c>
      <c r="AS396" s="97">
        <f>SUM(AS390:AS395)</f>
        <v>0</v>
      </c>
      <c r="AT396" s="97">
        <f t="shared" ref="AT396:AV396" si="498">SUM(AT390:AT395)</f>
        <v>0</v>
      </c>
      <c r="AU396" s="97">
        <f t="shared" si="498"/>
        <v>0</v>
      </c>
      <c r="AV396" s="97">
        <f t="shared" si="498"/>
        <v>0</v>
      </c>
      <c r="AW396" s="97">
        <f>SUM(AW390:AW395)</f>
        <v>0</v>
      </c>
      <c r="AX396" s="97">
        <f t="shared" ref="AX396:BF396" si="499">SUM(AX390:AX395)</f>
        <v>0</v>
      </c>
      <c r="AY396" s="97">
        <f t="shared" si="499"/>
        <v>0</v>
      </c>
      <c r="AZ396" s="97">
        <f t="shared" si="499"/>
        <v>0</v>
      </c>
      <c r="BA396" s="97">
        <f t="shared" si="499"/>
        <v>0</v>
      </c>
      <c r="BB396" s="97">
        <f t="shared" si="499"/>
        <v>0</v>
      </c>
      <c r="BC396" s="97">
        <f t="shared" si="499"/>
        <v>0</v>
      </c>
      <c r="BD396" s="97">
        <f t="shared" si="499"/>
        <v>0</v>
      </c>
      <c r="BE396" s="97">
        <f t="shared" si="499"/>
        <v>0</v>
      </c>
      <c r="BF396" s="97">
        <f t="shared" si="499"/>
        <v>0</v>
      </c>
    </row>
    <row r="397" spans="1:58" ht="14.1" customHeight="1">
      <c r="A397" s="75">
        <f t="shared" si="493"/>
        <v>391</v>
      </c>
      <c r="B397" s="89"/>
      <c r="C397" s="89"/>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row>
    <row r="398" spans="1:58" ht="14.1" customHeight="1">
      <c r="A398" s="75">
        <f t="shared" si="493"/>
        <v>392</v>
      </c>
      <c r="B398" s="81" t="s">
        <v>565</v>
      </c>
      <c r="C398" s="81"/>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87"/>
      <c r="AH398" s="87"/>
      <c r="AI398" s="87"/>
      <c r="AJ398" s="87"/>
      <c r="AK398" s="87"/>
      <c r="AL398" s="87"/>
      <c r="AM398" s="87"/>
      <c r="AN398" s="87"/>
      <c r="AO398" s="87"/>
      <c r="AP398" s="87"/>
      <c r="AQ398" s="87"/>
      <c r="AR398" s="87"/>
      <c r="AS398" s="87"/>
      <c r="AT398" s="87"/>
      <c r="AU398" s="87"/>
      <c r="AV398" s="87"/>
      <c r="AW398" s="87"/>
      <c r="AX398" s="87"/>
      <c r="AY398" s="87"/>
      <c r="AZ398" s="87"/>
      <c r="BA398" s="87"/>
      <c r="BB398" s="87"/>
      <c r="BC398" s="87"/>
      <c r="BD398" s="87"/>
      <c r="BE398" s="87"/>
      <c r="BF398" s="87"/>
    </row>
    <row r="399" spans="1:58" ht="14.1" customHeight="1">
      <c r="A399" s="75">
        <f t="shared" si="493"/>
        <v>393</v>
      </c>
      <c r="B399" s="76" t="s">
        <v>566</v>
      </c>
      <c r="C399" s="80">
        <f>SUM(D399:BF399)</f>
        <v>1994.3300000000024</v>
      </c>
      <c r="D399" s="87">
        <v>0</v>
      </c>
      <c r="E399" s="87">
        <v>0</v>
      </c>
      <c r="F399" s="87">
        <v>0</v>
      </c>
      <c r="G399" s="87">
        <v>0</v>
      </c>
      <c r="H399" s="87">
        <v>0</v>
      </c>
      <c r="I399" s="87">
        <v>0</v>
      </c>
      <c r="J399" s="87">
        <v>0</v>
      </c>
      <c r="K399" s="87">
        <v>0</v>
      </c>
      <c r="L399" s="87">
        <v>0</v>
      </c>
      <c r="M399" s="87">
        <v>0</v>
      </c>
      <c r="N399" s="87">
        <v>0</v>
      </c>
      <c r="O399" s="87">
        <v>0</v>
      </c>
      <c r="P399" s="87">
        <v>0</v>
      </c>
      <c r="Q399" s="87">
        <v>0</v>
      </c>
      <c r="R399" s="87">
        <v>0</v>
      </c>
      <c r="S399" s="87">
        <v>0</v>
      </c>
      <c r="T399" s="87">
        <v>0</v>
      </c>
      <c r="U399" s="87">
        <v>0.62000000000261934</v>
      </c>
      <c r="V399" s="87">
        <v>0</v>
      </c>
      <c r="W399" s="87">
        <v>0</v>
      </c>
      <c r="X399" s="87">
        <v>0</v>
      </c>
      <c r="Y399" s="87">
        <v>0</v>
      </c>
      <c r="Z399" s="87">
        <v>0</v>
      </c>
      <c r="AA399" s="87">
        <v>0</v>
      </c>
      <c r="AB399" s="87">
        <v>-21.43</v>
      </c>
      <c r="AC399" s="87">
        <v>0</v>
      </c>
      <c r="AD399" s="87">
        <v>0</v>
      </c>
      <c r="AE399" s="87">
        <v>0</v>
      </c>
      <c r="AF399" s="87">
        <v>0</v>
      </c>
      <c r="AG399" s="87">
        <v>2015.1399999999999</v>
      </c>
      <c r="AH399" s="87">
        <v>0</v>
      </c>
      <c r="AI399" s="87">
        <v>0</v>
      </c>
      <c r="AJ399" s="87">
        <v>0</v>
      </c>
      <c r="AK399" s="87">
        <v>0</v>
      </c>
      <c r="AL399" s="87">
        <v>0</v>
      </c>
      <c r="AM399" s="87">
        <v>0</v>
      </c>
      <c r="AN399" s="87">
        <v>0</v>
      </c>
      <c r="AO399" s="87">
        <v>0</v>
      </c>
      <c r="AP399" s="87">
        <v>0</v>
      </c>
      <c r="AQ399" s="87">
        <v>0</v>
      </c>
      <c r="AR399" s="87">
        <v>0</v>
      </c>
      <c r="AS399" s="87">
        <v>0</v>
      </c>
      <c r="AT399" s="87">
        <v>0</v>
      </c>
      <c r="AU399" s="87">
        <v>0</v>
      </c>
      <c r="AV399" s="87">
        <v>0</v>
      </c>
      <c r="AW399" s="87">
        <v>0</v>
      </c>
      <c r="AX399" s="87">
        <v>0</v>
      </c>
      <c r="AY399" s="87">
        <v>0</v>
      </c>
      <c r="AZ399" s="87">
        <v>0</v>
      </c>
      <c r="BA399" s="87">
        <v>0</v>
      </c>
      <c r="BB399" s="87">
        <v>0</v>
      </c>
      <c r="BC399" s="87">
        <v>0</v>
      </c>
      <c r="BD399" s="87">
        <v>0</v>
      </c>
      <c r="BE399" s="87">
        <v>0</v>
      </c>
      <c r="BF399" s="87">
        <v>0</v>
      </c>
    </row>
    <row r="400" spans="1:58" ht="13.5" customHeight="1">
      <c r="A400" s="75">
        <f t="shared" si="493"/>
        <v>394</v>
      </c>
      <c r="B400" s="76" t="s">
        <v>568</v>
      </c>
      <c r="C400" s="80">
        <f>SUM(D400:BF400)</f>
        <v>-1489654.74</v>
      </c>
      <c r="D400" s="87">
        <v>0</v>
      </c>
      <c r="E400" s="87">
        <v>0</v>
      </c>
      <c r="F400" s="87">
        <v>0</v>
      </c>
      <c r="G400" s="87">
        <v>0</v>
      </c>
      <c r="H400" s="87">
        <v>0</v>
      </c>
      <c r="I400" s="87">
        <v>0</v>
      </c>
      <c r="J400" s="87">
        <v>0</v>
      </c>
      <c r="K400" s="87">
        <v>0</v>
      </c>
      <c r="L400" s="87">
        <v>0</v>
      </c>
      <c r="M400" s="87">
        <v>0</v>
      </c>
      <c r="N400" s="131">
        <v>-515763.11999999994</v>
      </c>
      <c r="O400" s="131">
        <v>-628079.1</v>
      </c>
      <c r="P400" s="131">
        <v>-373893.79</v>
      </c>
      <c r="Q400" s="87">
        <v>0</v>
      </c>
      <c r="R400" s="87">
        <v>0</v>
      </c>
      <c r="S400" s="87">
        <v>0</v>
      </c>
      <c r="T400" s="87">
        <v>0</v>
      </c>
      <c r="U400" s="87">
        <v>20.790000000037253</v>
      </c>
      <c r="V400" s="87">
        <v>0</v>
      </c>
      <c r="W400" s="87">
        <v>0</v>
      </c>
      <c r="X400" s="87">
        <v>0</v>
      </c>
      <c r="Y400" s="87">
        <v>0</v>
      </c>
      <c r="Z400" s="87">
        <v>0</v>
      </c>
      <c r="AA400" s="87">
        <v>0</v>
      </c>
      <c r="AB400" s="87">
        <v>77.71999999999997</v>
      </c>
      <c r="AC400" s="87">
        <v>0</v>
      </c>
      <c r="AD400" s="87">
        <v>0</v>
      </c>
      <c r="AE400" s="87">
        <v>0</v>
      </c>
      <c r="AF400" s="87">
        <v>0</v>
      </c>
      <c r="AG400" s="87">
        <v>27982.760000000002</v>
      </c>
      <c r="AH400" s="87">
        <v>0</v>
      </c>
      <c r="AI400" s="87">
        <v>0</v>
      </c>
      <c r="AJ400" s="87">
        <v>0</v>
      </c>
      <c r="AK400" s="87">
        <v>0</v>
      </c>
      <c r="AL400" s="87">
        <v>0</v>
      </c>
      <c r="AM400" s="87">
        <v>0</v>
      </c>
      <c r="AN400" s="87">
        <v>0</v>
      </c>
      <c r="AO400" s="87">
        <v>0</v>
      </c>
      <c r="AP400" s="87">
        <v>0</v>
      </c>
      <c r="AQ400" s="87">
        <v>0</v>
      </c>
      <c r="AR400" s="87">
        <v>0</v>
      </c>
      <c r="AS400" s="87">
        <v>0</v>
      </c>
      <c r="AT400" s="87">
        <v>0</v>
      </c>
      <c r="AU400" s="87">
        <v>0</v>
      </c>
      <c r="AV400" s="87">
        <v>0</v>
      </c>
      <c r="AW400" s="87">
        <v>0</v>
      </c>
      <c r="AX400" s="87">
        <v>0</v>
      </c>
      <c r="AY400" s="87">
        <v>0</v>
      </c>
      <c r="AZ400" s="87">
        <v>0</v>
      </c>
      <c r="BA400" s="87">
        <v>0</v>
      </c>
      <c r="BB400" s="87">
        <v>0</v>
      </c>
      <c r="BC400" s="87">
        <v>0</v>
      </c>
      <c r="BD400" s="87">
        <v>0</v>
      </c>
      <c r="BE400" s="87">
        <v>0</v>
      </c>
      <c r="BF400" s="87">
        <v>0</v>
      </c>
    </row>
    <row r="401" spans="1:58" ht="14.1" customHeight="1">
      <c r="A401" s="75">
        <f t="shared" si="493"/>
        <v>395</v>
      </c>
      <c r="B401" s="76" t="s">
        <v>570</v>
      </c>
      <c r="C401" s="80">
        <f>SUM(D401:BF401)</f>
        <v>0</v>
      </c>
      <c r="D401" s="87">
        <v>0</v>
      </c>
      <c r="E401" s="87">
        <v>0</v>
      </c>
      <c r="F401" s="87">
        <v>0</v>
      </c>
      <c r="G401" s="87">
        <v>0</v>
      </c>
      <c r="H401" s="87">
        <v>0</v>
      </c>
      <c r="I401" s="87">
        <v>0</v>
      </c>
      <c r="J401" s="87">
        <v>0</v>
      </c>
      <c r="K401" s="87">
        <v>0</v>
      </c>
      <c r="L401" s="87">
        <v>0</v>
      </c>
      <c r="M401" s="87">
        <v>0</v>
      </c>
      <c r="N401" s="87">
        <v>0</v>
      </c>
      <c r="O401" s="87">
        <v>0</v>
      </c>
      <c r="P401" s="87">
        <v>0</v>
      </c>
      <c r="Q401" s="87">
        <v>0</v>
      </c>
      <c r="R401" s="87">
        <v>0</v>
      </c>
      <c r="S401" s="87">
        <v>0</v>
      </c>
      <c r="T401" s="87">
        <v>0</v>
      </c>
      <c r="U401" s="87">
        <v>0</v>
      </c>
      <c r="V401" s="87">
        <v>0</v>
      </c>
      <c r="W401" s="87">
        <v>0</v>
      </c>
      <c r="X401" s="87">
        <v>0</v>
      </c>
      <c r="Y401" s="87">
        <v>0</v>
      </c>
      <c r="Z401" s="87">
        <v>0</v>
      </c>
      <c r="AA401" s="87">
        <v>0</v>
      </c>
      <c r="AB401" s="87">
        <v>0</v>
      </c>
      <c r="AC401" s="87">
        <v>0</v>
      </c>
      <c r="AD401" s="87">
        <v>0</v>
      </c>
      <c r="AE401" s="87">
        <v>0</v>
      </c>
      <c r="AF401" s="87">
        <v>0</v>
      </c>
      <c r="AG401" s="87">
        <v>0</v>
      </c>
      <c r="AH401" s="87">
        <v>0</v>
      </c>
      <c r="AI401" s="87">
        <v>0</v>
      </c>
      <c r="AJ401" s="87">
        <v>0</v>
      </c>
      <c r="AK401" s="87">
        <v>0</v>
      </c>
      <c r="AL401" s="87">
        <v>0</v>
      </c>
      <c r="AM401" s="87">
        <v>0</v>
      </c>
      <c r="AN401" s="87">
        <v>0</v>
      </c>
      <c r="AO401" s="87">
        <v>0</v>
      </c>
      <c r="AP401" s="87">
        <v>0</v>
      </c>
      <c r="AQ401" s="87">
        <v>0</v>
      </c>
      <c r="AR401" s="87">
        <v>0</v>
      </c>
      <c r="AS401" s="87">
        <v>0</v>
      </c>
      <c r="AT401" s="87">
        <v>0</v>
      </c>
      <c r="AU401" s="87">
        <v>0</v>
      </c>
      <c r="AV401" s="87">
        <v>0</v>
      </c>
      <c r="AW401" s="87">
        <v>0</v>
      </c>
      <c r="AX401" s="87">
        <v>0</v>
      </c>
      <c r="AY401" s="87">
        <v>0</v>
      </c>
      <c r="AZ401" s="87">
        <v>0</v>
      </c>
      <c r="BA401" s="87">
        <v>0</v>
      </c>
      <c r="BB401" s="87">
        <v>0</v>
      </c>
      <c r="BC401" s="87">
        <v>0</v>
      </c>
      <c r="BD401" s="87">
        <v>0</v>
      </c>
      <c r="BE401" s="87">
        <v>0</v>
      </c>
      <c r="BF401" s="87">
        <v>0</v>
      </c>
    </row>
    <row r="402" spans="1:58" ht="14.1" customHeight="1">
      <c r="A402" s="75">
        <f t="shared" si="493"/>
        <v>396</v>
      </c>
      <c r="B402" s="90" t="s">
        <v>571</v>
      </c>
      <c r="C402" s="80">
        <f>SUM(D402:BF402)</f>
        <v>-7886.8900000000012</v>
      </c>
      <c r="D402" s="87">
        <v>0</v>
      </c>
      <c r="E402" s="87">
        <v>0</v>
      </c>
      <c r="F402" s="87">
        <v>0</v>
      </c>
      <c r="G402" s="87">
        <v>0</v>
      </c>
      <c r="H402" s="87">
        <v>0</v>
      </c>
      <c r="I402" s="87">
        <v>0</v>
      </c>
      <c r="J402" s="87">
        <v>0</v>
      </c>
      <c r="K402" s="87">
        <v>0</v>
      </c>
      <c r="L402" s="87">
        <v>0</v>
      </c>
      <c r="M402" s="87">
        <v>0</v>
      </c>
      <c r="N402" s="87">
        <v>0</v>
      </c>
      <c r="O402" s="87">
        <v>0</v>
      </c>
      <c r="P402" s="87">
        <v>0</v>
      </c>
      <c r="Q402" s="87">
        <v>0</v>
      </c>
      <c r="R402" s="87">
        <v>0</v>
      </c>
      <c r="S402" s="87">
        <v>0</v>
      </c>
      <c r="T402" s="87">
        <v>0</v>
      </c>
      <c r="U402" s="87">
        <v>0.59999999999854481</v>
      </c>
      <c r="V402" s="87">
        <v>0</v>
      </c>
      <c r="W402" s="87">
        <v>0</v>
      </c>
      <c r="X402" s="87">
        <v>0</v>
      </c>
      <c r="Y402" s="87">
        <v>0</v>
      </c>
      <c r="Z402" s="87">
        <v>0</v>
      </c>
      <c r="AA402" s="87">
        <v>0</v>
      </c>
      <c r="AB402" s="87">
        <v>0</v>
      </c>
      <c r="AC402" s="87">
        <v>0</v>
      </c>
      <c r="AD402" s="87">
        <v>0</v>
      </c>
      <c r="AE402" s="87">
        <v>0</v>
      </c>
      <c r="AF402" s="87">
        <v>0</v>
      </c>
      <c r="AG402" s="87">
        <v>0</v>
      </c>
      <c r="AH402" s="87">
        <v>-7887.49</v>
      </c>
      <c r="AI402" s="87">
        <v>0</v>
      </c>
      <c r="AJ402" s="87">
        <v>0</v>
      </c>
      <c r="AK402" s="87">
        <v>0</v>
      </c>
      <c r="AL402" s="87">
        <v>0</v>
      </c>
      <c r="AM402" s="87">
        <v>0</v>
      </c>
      <c r="AN402" s="87">
        <v>0</v>
      </c>
      <c r="AO402" s="87">
        <v>0</v>
      </c>
      <c r="AP402" s="87">
        <v>0</v>
      </c>
      <c r="AQ402" s="87">
        <v>0</v>
      </c>
      <c r="AR402" s="87">
        <v>0</v>
      </c>
      <c r="AS402" s="87">
        <v>0</v>
      </c>
      <c r="AT402" s="87">
        <v>0</v>
      </c>
      <c r="AU402" s="87">
        <v>0</v>
      </c>
      <c r="AV402" s="87">
        <v>0</v>
      </c>
      <c r="AW402" s="87">
        <v>0</v>
      </c>
      <c r="AX402" s="87">
        <v>0</v>
      </c>
      <c r="AY402" s="87">
        <v>0</v>
      </c>
      <c r="AZ402" s="87">
        <v>0</v>
      </c>
      <c r="BA402" s="87">
        <v>0</v>
      </c>
      <c r="BB402" s="87">
        <v>0</v>
      </c>
      <c r="BC402" s="87">
        <v>0</v>
      </c>
      <c r="BD402" s="87">
        <v>0</v>
      </c>
      <c r="BE402" s="87">
        <v>0</v>
      </c>
      <c r="BF402" s="87">
        <v>0</v>
      </c>
    </row>
    <row r="403" spans="1:58" ht="14.1" customHeight="1">
      <c r="A403" s="75">
        <f t="shared" si="493"/>
        <v>397</v>
      </c>
      <c r="B403" s="108" t="s">
        <v>573</v>
      </c>
      <c r="C403" s="97">
        <f t="shared" ref="C403:V403" si="500">SUM(C399:C402)</f>
        <v>-1495547.2999999998</v>
      </c>
      <c r="D403" s="97">
        <f t="shared" si="500"/>
        <v>0</v>
      </c>
      <c r="E403" s="97">
        <f t="shared" si="500"/>
        <v>0</v>
      </c>
      <c r="F403" s="97">
        <f t="shared" si="500"/>
        <v>0</v>
      </c>
      <c r="G403" s="97">
        <f t="shared" si="500"/>
        <v>0</v>
      </c>
      <c r="H403" s="97">
        <f t="shared" si="500"/>
        <v>0</v>
      </c>
      <c r="I403" s="97">
        <f t="shared" si="500"/>
        <v>0</v>
      </c>
      <c r="J403" s="97">
        <f t="shared" si="500"/>
        <v>0</v>
      </c>
      <c r="K403" s="97">
        <f t="shared" si="500"/>
        <v>0</v>
      </c>
      <c r="L403" s="97">
        <f t="shared" si="500"/>
        <v>0</v>
      </c>
      <c r="M403" s="97">
        <f t="shared" si="500"/>
        <v>0</v>
      </c>
      <c r="N403" s="97">
        <f t="shared" si="500"/>
        <v>-515763.11999999994</v>
      </c>
      <c r="O403" s="97">
        <f t="shared" si="500"/>
        <v>-628079.1</v>
      </c>
      <c r="P403" s="97">
        <f t="shared" si="500"/>
        <v>-373893.79</v>
      </c>
      <c r="Q403" s="97">
        <f t="shared" si="500"/>
        <v>0</v>
      </c>
      <c r="R403" s="97">
        <f t="shared" si="500"/>
        <v>0</v>
      </c>
      <c r="S403" s="97">
        <f t="shared" si="500"/>
        <v>0</v>
      </c>
      <c r="T403" s="97">
        <f t="shared" si="500"/>
        <v>0</v>
      </c>
      <c r="U403" s="97">
        <f t="shared" si="500"/>
        <v>22.010000000038417</v>
      </c>
      <c r="V403" s="97">
        <f t="shared" si="500"/>
        <v>0</v>
      </c>
      <c r="W403" s="97">
        <f>SUM(W399:W402)</f>
        <v>0</v>
      </c>
      <c r="X403" s="97">
        <f t="shared" ref="X403:AD403" si="501">SUM(X399:X402)</f>
        <v>0</v>
      </c>
      <c r="Y403" s="97">
        <f>SUM(Y399:Y402)</f>
        <v>0</v>
      </c>
      <c r="Z403" s="97">
        <f t="shared" si="501"/>
        <v>0</v>
      </c>
      <c r="AA403" s="97">
        <f t="shared" si="501"/>
        <v>0</v>
      </c>
      <c r="AB403" s="97">
        <f t="shared" si="501"/>
        <v>56.289999999999971</v>
      </c>
      <c r="AC403" s="97">
        <f t="shared" si="501"/>
        <v>0</v>
      </c>
      <c r="AD403" s="97">
        <f t="shared" si="501"/>
        <v>0</v>
      </c>
      <c r="AE403" s="97">
        <f>SUM(AE399:AE402)</f>
        <v>0</v>
      </c>
      <c r="AF403" s="97">
        <f>SUM(AF399:AF402)</f>
        <v>0</v>
      </c>
      <c r="AG403" s="97">
        <f>SUM(AG399:AG402)</f>
        <v>29997.9</v>
      </c>
      <c r="AH403" s="97">
        <f t="shared" ref="AH403:AL403" si="502">SUM(AH399:AH402)</f>
        <v>-7887.49</v>
      </c>
      <c r="AI403" s="97">
        <f t="shared" si="502"/>
        <v>0</v>
      </c>
      <c r="AJ403" s="97">
        <f t="shared" si="502"/>
        <v>0</v>
      </c>
      <c r="AK403" s="97">
        <f t="shared" si="502"/>
        <v>0</v>
      </c>
      <c r="AL403" s="97">
        <f t="shared" si="502"/>
        <v>0</v>
      </c>
      <c r="AM403" s="97">
        <f>SUM(AM399:AM402)</f>
        <v>0</v>
      </c>
      <c r="AN403" s="97">
        <f>SUM(AN399:AN402)</f>
        <v>0</v>
      </c>
      <c r="AO403" s="97">
        <f>SUM(AO399:AO402)</f>
        <v>0</v>
      </c>
      <c r="AP403" s="97">
        <f>SUM(AP399:AP402)</f>
        <v>0</v>
      </c>
      <c r="AQ403" s="97">
        <f>SUM(AQ399:AQ402)</f>
        <v>0</v>
      </c>
      <c r="AR403" s="97">
        <f t="shared" ref="AR403" si="503">SUM(AR399:AR402)</f>
        <v>0</v>
      </c>
      <c r="AS403" s="97">
        <f>SUM(AS399:AS402)</f>
        <v>0</v>
      </c>
      <c r="AT403" s="97">
        <f t="shared" ref="AT403:AV403" si="504">SUM(AT399:AT402)</f>
        <v>0</v>
      </c>
      <c r="AU403" s="97">
        <f t="shared" si="504"/>
        <v>0</v>
      </c>
      <c r="AV403" s="97">
        <f t="shared" si="504"/>
        <v>0</v>
      </c>
      <c r="AW403" s="97">
        <f>SUM(AW399:AW402)</f>
        <v>0</v>
      </c>
      <c r="AX403" s="97">
        <f t="shared" ref="AX403:BF403" si="505">SUM(AX399:AX402)</f>
        <v>0</v>
      </c>
      <c r="AY403" s="97">
        <f t="shared" si="505"/>
        <v>0</v>
      </c>
      <c r="AZ403" s="97">
        <f t="shared" si="505"/>
        <v>0</v>
      </c>
      <c r="BA403" s="97">
        <f t="shared" si="505"/>
        <v>0</v>
      </c>
      <c r="BB403" s="97">
        <f t="shared" si="505"/>
        <v>0</v>
      </c>
      <c r="BC403" s="97">
        <f t="shared" si="505"/>
        <v>0</v>
      </c>
      <c r="BD403" s="97">
        <f t="shared" si="505"/>
        <v>0</v>
      </c>
      <c r="BE403" s="97">
        <f t="shared" si="505"/>
        <v>0</v>
      </c>
      <c r="BF403" s="97">
        <f t="shared" si="505"/>
        <v>0</v>
      </c>
    </row>
    <row r="404" spans="1:58" ht="14.1" customHeight="1">
      <c r="A404" s="75">
        <f t="shared" si="493"/>
        <v>398</v>
      </c>
      <c r="B404" s="89"/>
      <c r="C404" s="89"/>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row>
    <row r="405" spans="1:58" ht="14.1" customHeight="1">
      <c r="A405" s="75">
        <f t="shared" si="493"/>
        <v>399</v>
      </c>
      <c r="B405" s="81" t="s">
        <v>574</v>
      </c>
      <c r="C405" s="81"/>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87"/>
      <c r="AH405" s="87"/>
      <c r="AI405" s="87"/>
      <c r="AJ405" s="87"/>
      <c r="AK405" s="87"/>
      <c r="AL405" s="87"/>
      <c r="AM405" s="87"/>
      <c r="AN405" s="87"/>
      <c r="AO405" s="87"/>
      <c r="AP405" s="87"/>
      <c r="AQ405" s="87"/>
      <c r="AR405" s="87"/>
      <c r="AS405" s="87"/>
      <c r="AT405" s="87"/>
      <c r="AU405" s="87"/>
      <c r="AV405" s="87"/>
      <c r="AW405" s="87"/>
      <c r="AX405" s="87"/>
      <c r="AY405" s="87"/>
      <c r="AZ405" s="87"/>
      <c r="BA405" s="87"/>
      <c r="BB405" s="87"/>
      <c r="BC405" s="87"/>
      <c r="BD405" s="87"/>
      <c r="BE405" s="87"/>
      <c r="BF405" s="87"/>
    </row>
    <row r="406" spans="1:58" ht="14.1" customHeight="1">
      <c r="A406" s="75">
        <f t="shared" si="493"/>
        <v>400</v>
      </c>
      <c r="B406" s="76" t="s">
        <v>575</v>
      </c>
      <c r="C406" s="80">
        <f>SUM(D406:BF406)</f>
        <v>0</v>
      </c>
      <c r="D406" s="87">
        <v>0</v>
      </c>
      <c r="E406" s="87">
        <v>0</v>
      </c>
      <c r="F406" s="87">
        <v>0</v>
      </c>
      <c r="G406" s="87">
        <v>0</v>
      </c>
      <c r="H406" s="87">
        <v>0</v>
      </c>
      <c r="I406" s="87">
        <v>0</v>
      </c>
      <c r="J406" s="87">
        <v>0</v>
      </c>
      <c r="K406" s="87">
        <v>0</v>
      </c>
      <c r="L406" s="87">
        <v>0</v>
      </c>
      <c r="M406" s="87">
        <v>0</v>
      </c>
      <c r="N406" s="87">
        <v>0</v>
      </c>
      <c r="O406" s="87">
        <v>0</v>
      </c>
      <c r="P406" s="87">
        <v>0</v>
      </c>
      <c r="Q406" s="87">
        <v>0</v>
      </c>
      <c r="R406" s="87">
        <v>0</v>
      </c>
      <c r="S406" s="87">
        <v>0</v>
      </c>
      <c r="T406" s="87">
        <v>0</v>
      </c>
      <c r="U406" s="87">
        <v>0</v>
      </c>
      <c r="V406" s="87">
        <v>0</v>
      </c>
      <c r="W406" s="87">
        <v>0</v>
      </c>
      <c r="X406" s="87">
        <v>0</v>
      </c>
      <c r="Y406" s="87">
        <v>0</v>
      </c>
      <c r="Z406" s="87">
        <v>0</v>
      </c>
      <c r="AA406" s="87">
        <v>0</v>
      </c>
      <c r="AB406" s="87">
        <v>0</v>
      </c>
      <c r="AC406" s="87">
        <v>0</v>
      </c>
      <c r="AD406" s="87">
        <v>0</v>
      </c>
      <c r="AE406" s="87">
        <v>0</v>
      </c>
      <c r="AF406" s="87">
        <v>0</v>
      </c>
      <c r="AG406" s="87">
        <v>0</v>
      </c>
      <c r="AH406" s="87">
        <v>0</v>
      </c>
      <c r="AI406" s="87">
        <v>0</v>
      </c>
      <c r="AJ406" s="87">
        <v>0</v>
      </c>
      <c r="AK406" s="87">
        <v>0</v>
      </c>
      <c r="AL406" s="87">
        <v>0</v>
      </c>
      <c r="AM406" s="87">
        <v>0</v>
      </c>
      <c r="AN406" s="87">
        <v>0</v>
      </c>
      <c r="AO406" s="87">
        <v>0</v>
      </c>
      <c r="AP406" s="87">
        <v>0</v>
      </c>
      <c r="AQ406" s="87">
        <v>0</v>
      </c>
      <c r="AR406" s="87">
        <v>0</v>
      </c>
      <c r="AS406" s="87">
        <v>0</v>
      </c>
      <c r="AT406" s="87">
        <v>0</v>
      </c>
      <c r="AU406" s="87">
        <v>0</v>
      </c>
      <c r="AV406" s="87">
        <v>0</v>
      </c>
      <c r="AW406" s="87">
        <v>0</v>
      </c>
      <c r="AX406" s="87">
        <v>0</v>
      </c>
      <c r="AY406" s="87">
        <v>0</v>
      </c>
      <c r="AZ406" s="87">
        <v>0</v>
      </c>
      <c r="BA406" s="87">
        <v>0</v>
      </c>
      <c r="BB406" s="87">
        <v>0</v>
      </c>
      <c r="BC406" s="87">
        <v>0</v>
      </c>
      <c r="BD406" s="87">
        <v>0</v>
      </c>
      <c r="BE406" s="87">
        <v>0</v>
      </c>
      <c r="BF406" s="87">
        <v>0</v>
      </c>
    </row>
    <row r="407" spans="1:58" ht="14.1" customHeight="1">
      <c r="A407" s="75">
        <f t="shared" si="493"/>
        <v>401</v>
      </c>
      <c r="B407" s="76" t="s">
        <v>577</v>
      </c>
      <c r="C407" s="80">
        <f>SUM(D407:BF407)</f>
        <v>0</v>
      </c>
      <c r="D407" s="87">
        <v>0</v>
      </c>
      <c r="E407" s="87">
        <v>0</v>
      </c>
      <c r="F407" s="87">
        <v>0</v>
      </c>
      <c r="G407" s="87">
        <v>0</v>
      </c>
      <c r="H407" s="87">
        <v>0</v>
      </c>
      <c r="I407" s="87">
        <v>0</v>
      </c>
      <c r="J407" s="87">
        <v>0</v>
      </c>
      <c r="K407" s="87">
        <v>0</v>
      </c>
      <c r="L407" s="87">
        <v>0</v>
      </c>
      <c r="M407" s="87">
        <v>0</v>
      </c>
      <c r="N407" s="87">
        <v>0</v>
      </c>
      <c r="O407" s="87">
        <v>0</v>
      </c>
      <c r="P407" s="87">
        <v>0</v>
      </c>
      <c r="Q407" s="87">
        <v>0</v>
      </c>
      <c r="R407" s="87">
        <v>0</v>
      </c>
      <c r="S407" s="87">
        <v>0</v>
      </c>
      <c r="T407" s="87">
        <v>0</v>
      </c>
      <c r="U407" s="87">
        <v>0</v>
      </c>
      <c r="V407" s="87">
        <v>0</v>
      </c>
      <c r="W407" s="87">
        <v>0</v>
      </c>
      <c r="X407" s="87">
        <v>0</v>
      </c>
      <c r="Y407" s="87">
        <v>0</v>
      </c>
      <c r="Z407" s="87">
        <v>0</v>
      </c>
      <c r="AA407" s="87">
        <v>0</v>
      </c>
      <c r="AB407" s="87">
        <v>0</v>
      </c>
      <c r="AC407" s="87">
        <v>0</v>
      </c>
      <c r="AD407" s="87">
        <v>0</v>
      </c>
      <c r="AE407" s="87">
        <v>0</v>
      </c>
      <c r="AF407" s="87">
        <v>0</v>
      </c>
      <c r="AG407" s="87">
        <v>0</v>
      </c>
      <c r="AH407" s="87">
        <v>0</v>
      </c>
      <c r="AI407" s="87">
        <v>0</v>
      </c>
      <c r="AJ407" s="87">
        <v>0</v>
      </c>
      <c r="AK407" s="87">
        <v>0</v>
      </c>
      <c r="AL407" s="87">
        <v>0</v>
      </c>
      <c r="AM407" s="87">
        <v>0</v>
      </c>
      <c r="AN407" s="87">
        <v>0</v>
      </c>
      <c r="AO407" s="87">
        <v>0</v>
      </c>
      <c r="AP407" s="87">
        <v>0</v>
      </c>
      <c r="AQ407" s="87">
        <v>0</v>
      </c>
      <c r="AR407" s="87">
        <v>0</v>
      </c>
      <c r="AS407" s="87">
        <v>0</v>
      </c>
      <c r="AT407" s="87">
        <v>0</v>
      </c>
      <c r="AU407" s="87">
        <v>0</v>
      </c>
      <c r="AV407" s="87">
        <v>0</v>
      </c>
      <c r="AW407" s="87">
        <v>0</v>
      </c>
      <c r="AX407" s="87">
        <v>0</v>
      </c>
      <c r="AY407" s="87">
        <v>0</v>
      </c>
      <c r="AZ407" s="87">
        <v>0</v>
      </c>
      <c r="BA407" s="87">
        <v>0</v>
      </c>
      <c r="BB407" s="87">
        <v>0</v>
      </c>
      <c r="BC407" s="87">
        <v>0</v>
      </c>
      <c r="BD407" s="87">
        <v>0</v>
      </c>
      <c r="BE407" s="87">
        <v>0</v>
      </c>
      <c r="BF407" s="87">
        <v>0</v>
      </c>
    </row>
    <row r="408" spans="1:58" ht="14.1" customHeight="1">
      <c r="A408" s="75">
        <f t="shared" si="493"/>
        <v>402</v>
      </c>
      <c r="B408" s="76" t="s">
        <v>579</v>
      </c>
      <c r="C408" s="80">
        <f>SUM(D408:BF408)</f>
        <v>0</v>
      </c>
      <c r="D408" s="87">
        <v>0</v>
      </c>
      <c r="E408" s="87">
        <v>0</v>
      </c>
      <c r="F408" s="87">
        <v>0</v>
      </c>
      <c r="G408" s="87">
        <v>0</v>
      </c>
      <c r="H408" s="87">
        <v>0</v>
      </c>
      <c r="I408" s="87">
        <v>0</v>
      </c>
      <c r="J408" s="87">
        <v>0</v>
      </c>
      <c r="K408" s="87">
        <v>0</v>
      </c>
      <c r="L408" s="87">
        <v>0</v>
      </c>
      <c r="M408" s="87">
        <v>0</v>
      </c>
      <c r="N408" s="87">
        <v>0</v>
      </c>
      <c r="O408" s="87">
        <v>0</v>
      </c>
      <c r="P408" s="87">
        <v>0</v>
      </c>
      <c r="Q408" s="87">
        <v>0</v>
      </c>
      <c r="R408" s="87">
        <v>0</v>
      </c>
      <c r="S408" s="87">
        <v>0</v>
      </c>
      <c r="T408" s="87">
        <v>0</v>
      </c>
      <c r="U408" s="87">
        <v>0</v>
      </c>
      <c r="V408" s="87">
        <v>0</v>
      </c>
      <c r="W408" s="87">
        <v>0</v>
      </c>
      <c r="X408" s="87">
        <v>0</v>
      </c>
      <c r="Y408" s="87">
        <v>0</v>
      </c>
      <c r="Z408" s="87">
        <v>0</v>
      </c>
      <c r="AA408" s="87">
        <v>0</v>
      </c>
      <c r="AB408" s="87">
        <v>0</v>
      </c>
      <c r="AC408" s="87">
        <v>0</v>
      </c>
      <c r="AD408" s="87">
        <v>0</v>
      </c>
      <c r="AE408" s="87">
        <v>0</v>
      </c>
      <c r="AF408" s="87">
        <v>0</v>
      </c>
      <c r="AG408" s="87">
        <v>0</v>
      </c>
      <c r="AH408" s="87">
        <v>0</v>
      </c>
      <c r="AI408" s="87">
        <v>0</v>
      </c>
      <c r="AJ408" s="87">
        <v>0</v>
      </c>
      <c r="AK408" s="87">
        <v>0</v>
      </c>
      <c r="AL408" s="87">
        <v>0</v>
      </c>
      <c r="AM408" s="87">
        <v>0</v>
      </c>
      <c r="AN408" s="87">
        <v>0</v>
      </c>
      <c r="AO408" s="87">
        <v>0</v>
      </c>
      <c r="AP408" s="87">
        <v>0</v>
      </c>
      <c r="AQ408" s="87">
        <v>0</v>
      </c>
      <c r="AR408" s="87">
        <v>0</v>
      </c>
      <c r="AS408" s="87">
        <v>0</v>
      </c>
      <c r="AT408" s="87">
        <v>0</v>
      </c>
      <c r="AU408" s="87">
        <v>0</v>
      </c>
      <c r="AV408" s="87">
        <v>0</v>
      </c>
      <c r="AW408" s="87">
        <v>0</v>
      </c>
      <c r="AX408" s="87">
        <v>0</v>
      </c>
      <c r="AY408" s="87">
        <v>0</v>
      </c>
      <c r="AZ408" s="87">
        <v>0</v>
      </c>
      <c r="BA408" s="87">
        <v>0</v>
      </c>
      <c r="BB408" s="87">
        <v>0</v>
      </c>
      <c r="BC408" s="87">
        <v>0</v>
      </c>
      <c r="BD408" s="87">
        <v>0</v>
      </c>
      <c r="BE408" s="87">
        <v>0</v>
      </c>
      <c r="BF408" s="87">
        <v>0</v>
      </c>
    </row>
    <row r="409" spans="1:58" ht="14.1" customHeight="1">
      <c r="A409" s="75">
        <f t="shared" si="493"/>
        <v>403</v>
      </c>
      <c r="B409" s="90" t="s">
        <v>581</v>
      </c>
      <c r="C409" s="80">
        <f>SUM(D409:BF409)</f>
        <v>0</v>
      </c>
      <c r="D409" s="87">
        <v>0</v>
      </c>
      <c r="E409" s="87">
        <v>0</v>
      </c>
      <c r="F409" s="87">
        <v>0</v>
      </c>
      <c r="G409" s="87">
        <v>0</v>
      </c>
      <c r="H409" s="87">
        <v>0</v>
      </c>
      <c r="I409" s="87">
        <v>0</v>
      </c>
      <c r="J409" s="87">
        <v>0</v>
      </c>
      <c r="K409" s="87">
        <v>0</v>
      </c>
      <c r="L409" s="87">
        <v>0</v>
      </c>
      <c r="M409" s="87">
        <v>0</v>
      </c>
      <c r="N409" s="87">
        <v>0</v>
      </c>
      <c r="O409" s="87">
        <v>0</v>
      </c>
      <c r="P409" s="87">
        <v>0</v>
      </c>
      <c r="Q409" s="87">
        <v>0</v>
      </c>
      <c r="R409" s="87">
        <v>0</v>
      </c>
      <c r="S409" s="87">
        <v>0</v>
      </c>
      <c r="T409" s="87">
        <v>0</v>
      </c>
      <c r="U409" s="87">
        <v>0</v>
      </c>
      <c r="V409" s="87">
        <v>0</v>
      </c>
      <c r="W409" s="87">
        <v>0</v>
      </c>
      <c r="X409" s="87">
        <v>0</v>
      </c>
      <c r="Y409" s="87">
        <v>0</v>
      </c>
      <c r="Z409" s="87">
        <v>0</v>
      </c>
      <c r="AA409" s="87">
        <v>0</v>
      </c>
      <c r="AB409" s="87">
        <v>0</v>
      </c>
      <c r="AC409" s="87">
        <v>0</v>
      </c>
      <c r="AD409" s="87">
        <v>0</v>
      </c>
      <c r="AE409" s="87">
        <v>0</v>
      </c>
      <c r="AF409" s="87">
        <v>0</v>
      </c>
      <c r="AG409" s="87">
        <v>0</v>
      </c>
      <c r="AH409" s="87">
        <v>0</v>
      </c>
      <c r="AI409" s="87">
        <v>0</v>
      </c>
      <c r="AJ409" s="87">
        <v>0</v>
      </c>
      <c r="AK409" s="87">
        <v>0</v>
      </c>
      <c r="AL409" s="87">
        <v>0</v>
      </c>
      <c r="AM409" s="87">
        <v>0</v>
      </c>
      <c r="AN409" s="87">
        <v>0</v>
      </c>
      <c r="AO409" s="87">
        <v>0</v>
      </c>
      <c r="AP409" s="87">
        <v>0</v>
      </c>
      <c r="AQ409" s="87">
        <v>0</v>
      </c>
      <c r="AR409" s="87">
        <v>0</v>
      </c>
      <c r="AS409" s="87">
        <v>0</v>
      </c>
      <c r="AT409" s="87">
        <v>0</v>
      </c>
      <c r="AU409" s="87">
        <v>0</v>
      </c>
      <c r="AV409" s="87">
        <v>0</v>
      </c>
      <c r="AW409" s="87">
        <v>0</v>
      </c>
      <c r="AX409" s="87">
        <v>0</v>
      </c>
      <c r="AY409" s="87">
        <v>0</v>
      </c>
      <c r="AZ409" s="87">
        <v>0</v>
      </c>
      <c r="BA409" s="87">
        <v>0</v>
      </c>
      <c r="BB409" s="87">
        <v>0</v>
      </c>
      <c r="BC409" s="87">
        <v>0</v>
      </c>
      <c r="BD409" s="87">
        <v>0</v>
      </c>
      <c r="BE409" s="87">
        <v>0</v>
      </c>
      <c r="BF409" s="87">
        <v>0</v>
      </c>
    </row>
    <row r="410" spans="1:58" ht="14.1" customHeight="1">
      <c r="A410" s="75">
        <f t="shared" si="493"/>
        <v>404</v>
      </c>
      <c r="B410" s="108" t="s">
        <v>582</v>
      </c>
      <c r="C410" s="97">
        <f t="shared" ref="C410:V410" si="506">SUM(C405:C409)</f>
        <v>0</v>
      </c>
      <c r="D410" s="97">
        <f t="shared" si="506"/>
        <v>0</v>
      </c>
      <c r="E410" s="97">
        <f t="shared" si="506"/>
        <v>0</v>
      </c>
      <c r="F410" s="97">
        <f t="shared" si="506"/>
        <v>0</v>
      </c>
      <c r="G410" s="97">
        <f t="shared" si="506"/>
        <v>0</v>
      </c>
      <c r="H410" s="97">
        <f t="shared" si="506"/>
        <v>0</v>
      </c>
      <c r="I410" s="97">
        <f t="shared" si="506"/>
        <v>0</v>
      </c>
      <c r="J410" s="97">
        <f t="shared" si="506"/>
        <v>0</v>
      </c>
      <c r="K410" s="97">
        <f t="shared" si="506"/>
        <v>0</v>
      </c>
      <c r="L410" s="97">
        <f t="shared" si="506"/>
        <v>0</v>
      </c>
      <c r="M410" s="97">
        <f t="shared" si="506"/>
        <v>0</v>
      </c>
      <c r="N410" s="97">
        <f t="shared" si="506"/>
        <v>0</v>
      </c>
      <c r="O410" s="97">
        <f t="shared" si="506"/>
        <v>0</v>
      </c>
      <c r="P410" s="97">
        <f t="shared" si="506"/>
        <v>0</v>
      </c>
      <c r="Q410" s="97">
        <f t="shared" si="506"/>
        <v>0</v>
      </c>
      <c r="R410" s="97">
        <f t="shared" si="506"/>
        <v>0</v>
      </c>
      <c r="S410" s="97">
        <f t="shared" si="506"/>
        <v>0</v>
      </c>
      <c r="T410" s="97">
        <f t="shared" si="506"/>
        <v>0</v>
      </c>
      <c r="U410" s="97">
        <f t="shared" si="506"/>
        <v>0</v>
      </c>
      <c r="V410" s="97">
        <f t="shared" si="506"/>
        <v>0</v>
      </c>
      <c r="W410" s="97">
        <f>SUM(W405:W409)</f>
        <v>0</v>
      </c>
      <c r="X410" s="97">
        <f t="shared" ref="X410:AD410" si="507">SUM(X405:X409)</f>
        <v>0</v>
      </c>
      <c r="Y410" s="97">
        <f>SUM(Y405:Y409)</f>
        <v>0</v>
      </c>
      <c r="Z410" s="97">
        <f t="shared" si="507"/>
        <v>0</v>
      </c>
      <c r="AA410" s="97">
        <f t="shared" si="507"/>
        <v>0</v>
      </c>
      <c r="AB410" s="97">
        <f t="shared" si="507"/>
        <v>0</v>
      </c>
      <c r="AC410" s="97">
        <f t="shared" si="507"/>
        <v>0</v>
      </c>
      <c r="AD410" s="97">
        <f t="shared" si="507"/>
        <v>0</v>
      </c>
      <c r="AE410" s="97">
        <f>SUM(AE405:AE409)</f>
        <v>0</v>
      </c>
      <c r="AF410" s="97">
        <f>SUM(AF405:AF409)</f>
        <v>0</v>
      </c>
      <c r="AG410" s="97">
        <f>SUM(AG405:AG409)</f>
        <v>0</v>
      </c>
      <c r="AH410" s="97">
        <f t="shared" ref="AH410:AL410" si="508">SUM(AH405:AH409)</f>
        <v>0</v>
      </c>
      <c r="AI410" s="97">
        <f t="shared" si="508"/>
        <v>0</v>
      </c>
      <c r="AJ410" s="97">
        <f t="shared" si="508"/>
        <v>0</v>
      </c>
      <c r="AK410" s="97">
        <f t="shared" si="508"/>
        <v>0</v>
      </c>
      <c r="AL410" s="97">
        <f t="shared" si="508"/>
        <v>0</v>
      </c>
      <c r="AM410" s="97">
        <f>SUM(AM405:AM409)</f>
        <v>0</v>
      </c>
      <c r="AN410" s="97">
        <f>SUM(AN405:AN409)</f>
        <v>0</v>
      </c>
      <c r="AO410" s="97">
        <f>SUM(AO405:AO409)</f>
        <v>0</v>
      </c>
      <c r="AP410" s="97">
        <f>SUM(AP405:AP409)</f>
        <v>0</v>
      </c>
      <c r="AQ410" s="97">
        <f>SUM(AQ405:AQ409)</f>
        <v>0</v>
      </c>
      <c r="AR410" s="97">
        <f t="shared" ref="AR410" si="509">SUM(AR405:AR409)</f>
        <v>0</v>
      </c>
      <c r="AS410" s="97">
        <f>SUM(AS405:AS409)</f>
        <v>0</v>
      </c>
      <c r="AT410" s="97">
        <f t="shared" ref="AT410:AV410" si="510">SUM(AT405:AT409)</f>
        <v>0</v>
      </c>
      <c r="AU410" s="97">
        <f t="shared" si="510"/>
        <v>0</v>
      </c>
      <c r="AV410" s="97">
        <f t="shared" si="510"/>
        <v>0</v>
      </c>
      <c r="AW410" s="97">
        <f>SUM(AW405:AW409)</f>
        <v>0</v>
      </c>
      <c r="AX410" s="97">
        <f t="shared" ref="AX410:BF410" si="511">SUM(AX405:AX409)</f>
        <v>0</v>
      </c>
      <c r="AY410" s="97">
        <f t="shared" si="511"/>
        <v>0</v>
      </c>
      <c r="AZ410" s="97">
        <f t="shared" si="511"/>
        <v>0</v>
      </c>
      <c r="BA410" s="97">
        <f t="shared" si="511"/>
        <v>0</v>
      </c>
      <c r="BB410" s="97">
        <f t="shared" si="511"/>
        <v>0</v>
      </c>
      <c r="BC410" s="97">
        <f t="shared" si="511"/>
        <v>0</v>
      </c>
      <c r="BD410" s="97">
        <f t="shared" si="511"/>
        <v>0</v>
      </c>
      <c r="BE410" s="97">
        <f t="shared" si="511"/>
        <v>0</v>
      </c>
      <c r="BF410" s="97">
        <f t="shared" si="511"/>
        <v>0</v>
      </c>
    </row>
    <row r="411" spans="1:58" ht="14.1" customHeight="1">
      <c r="A411" s="75">
        <f t="shared" si="493"/>
        <v>405</v>
      </c>
      <c r="B411" s="89"/>
      <c r="C411" s="89"/>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row>
    <row r="412" spans="1:58" ht="14.1" customHeight="1">
      <c r="A412" s="75">
        <f t="shared" si="493"/>
        <v>406</v>
      </c>
      <c r="B412" s="81" t="s">
        <v>583</v>
      </c>
      <c r="C412" s="81"/>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87"/>
      <c r="AH412" s="87"/>
      <c r="AI412" s="87"/>
      <c r="AJ412" s="87"/>
      <c r="AK412" s="87"/>
      <c r="AL412" s="87"/>
      <c r="AM412" s="87"/>
      <c r="AN412" s="87"/>
      <c r="AO412" s="87"/>
      <c r="AP412" s="87"/>
      <c r="AQ412" s="87"/>
      <c r="AR412" s="87"/>
      <c r="AS412" s="87"/>
      <c r="AT412" s="87"/>
      <c r="AU412" s="87"/>
      <c r="AV412" s="87"/>
      <c r="AW412" s="87"/>
      <c r="AX412" s="87"/>
      <c r="AY412" s="87"/>
      <c r="AZ412" s="87"/>
      <c r="BA412" s="87"/>
      <c r="BB412" s="87"/>
      <c r="BC412" s="87"/>
      <c r="BD412" s="87"/>
      <c r="BE412" s="87"/>
      <c r="BF412" s="87"/>
    </row>
    <row r="413" spans="1:58" ht="14.1" customHeight="1">
      <c r="A413" s="75">
        <f t="shared" si="493"/>
        <v>407</v>
      </c>
      <c r="B413" s="76" t="s">
        <v>584</v>
      </c>
      <c r="C413" s="80">
        <f t="shared" ref="C413:C426" si="512">SUM(D413:BF413)</f>
        <v>447411.36999999895</v>
      </c>
      <c r="D413" s="87">
        <v>0</v>
      </c>
      <c r="E413" s="87">
        <v>0</v>
      </c>
      <c r="F413" s="87">
        <v>0</v>
      </c>
      <c r="G413" s="87">
        <v>0</v>
      </c>
      <c r="H413" s="87">
        <v>0</v>
      </c>
      <c r="I413" s="87">
        <v>0</v>
      </c>
      <c r="J413" s="80">
        <v>0</v>
      </c>
      <c r="K413" s="87">
        <v>0</v>
      </c>
      <c r="L413" s="87">
        <v>0</v>
      </c>
      <c r="M413" s="87">
        <v>0</v>
      </c>
      <c r="N413" s="87">
        <v>0</v>
      </c>
      <c r="O413" s="80">
        <v>0</v>
      </c>
      <c r="P413" s="80">
        <v>0</v>
      </c>
      <c r="Q413" s="87">
        <v>0</v>
      </c>
      <c r="R413" s="87">
        <v>0</v>
      </c>
      <c r="S413" s="87">
        <v>0</v>
      </c>
      <c r="T413" s="87">
        <v>0</v>
      </c>
      <c r="U413" s="87">
        <v>169194.37999999896</v>
      </c>
      <c r="V413" s="87">
        <v>0</v>
      </c>
      <c r="W413" s="80">
        <v>0</v>
      </c>
      <c r="X413" s="87">
        <v>0</v>
      </c>
      <c r="Y413" s="80">
        <v>0</v>
      </c>
      <c r="Z413" s="87">
        <v>0</v>
      </c>
      <c r="AA413" s="87">
        <v>0</v>
      </c>
      <c r="AB413" s="87">
        <v>748.18000000000006</v>
      </c>
      <c r="AC413" s="87">
        <v>0</v>
      </c>
      <c r="AD413" s="87">
        <v>0</v>
      </c>
      <c r="AE413" s="87">
        <v>0</v>
      </c>
      <c r="AF413" s="87">
        <v>-87305</v>
      </c>
      <c r="AG413" s="87">
        <v>364773.81</v>
      </c>
      <c r="AH413" s="80">
        <v>0</v>
      </c>
      <c r="AI413" s="87">
        <v>0</v>
      </c>
      <c r="AJ413" s="87">
        <v>0</v>
      </c>
      <c r="AK413" s="87">
        <v>0</v>
      </c>
      <c r="AL413" s="80">
        <v>0</v>
      </c>
      <c r="AM413" s="87">
        <v>0</v>
      </c>
      <c r="AN413" s="87">
        <v>0</v>
      </c>
      <c r="AO413" s="87">
        <v>0</v>
      </c>
      <c r="AP413" s="87">
        <v>0</v>
      </c>
      <c r="AQ413" s="87">
        <v>0</v>
      </c>
      <c r="AR413" s="87">
        <v>0</v>
      </c>
      <c r="AS413" s="87">
        <v>0</v>
      </c>
      <c r="AT413" s="87">
        <v>0</v>
      </c>
      <c r="AU413" s="87">
        <v>0</v>
      </c>
      <c r="AV413" s="87">
        <v>0</v>
      </c>
      <c r="AW413" s="87">
        <v>0</v>
      </c>
      <c r="AX413" s="87">
        <v>0</v>
      </c>
      <c r="AY413" s="87">
        <v>0</v>
      </c>
      <c r="AZ413" s="87">
        <v>0</v>
      </c>
      <c r="BA413" s="87">
        <v>0</v>
      </c>
      <c r="BB413" s="87">
        <v>0</v>
      </c>
      <c r="BC413" s="87">
        <v>0</v>
      </c>
      <c r="BD413" s="87">
        <v>0</v>
      </c>
      <c r="BE413" s="87">
        <v>0</v>
      </c>
      <c r="BF413" s="87">
        <v>0</v>
      </c>
    </row>
    <row r="414" spans="1:58" ht="14.1" customHeight="1">
      <c r="A414" s="75">
        <f t="shared" si="493"/>
        <v>408</v>
      </c>
      <c r="B414" s="76" t="s">
        <v>587</v>
      </c>
      <c r="C414" s="80">
        <f t="shared" si="512"/>
        <v>8023.5199999999859</v>
      </c>
      <c r="D414" s="87">
        <v>0</v>
      </c>
      <c r="E414" s="87">
        <v>0</v>
      </c>
      <c r="F414" s="87">
        <v>0</v>
      </c>
      <c r="G414" s="87">
        <v>0</v>
      </c>
      <c r="H414" s="87">
        <v>0</v>
      </c>
      <c r="I414" s="87">
        <v>0</v>
      </c>
      <c r="J414" s="80">
        <v>0</v>
      </c>
      <c r="K414" s="87">
        <v>0</v>
      </c>
      <c r="L414" s="87">
        <v>0</v>
      </c>
      <c r="M414" s="87">
        <v>0</v>
      </c>
      <c r="N414" s="87">
        <v>0</v>
      </c>
      <c r="O414" s="80">
        <v>0</v>
      </c>
      <c r="P414" s="80">
        <v>0</v>
      </c>
      <c r="Q414" s="87">
        <v>0</v>
      </c>
      <c r="R414" s="87">
        <v>0</v>
      </c>
      <c r="S414" s="87">
        <v>0</v>
      </c>
      <c r="T414" s="87">
        <v>0</v>
      </c>
      <c r="U414" s="87">
        <v>11917.109999999986</v>
      </c>
      <c r="V414" s="87">
        <v>0</v>
      </c>
      <c r="W414" s="80">
        <v>0</v>
      </c>
      <c r="X414" s="87">
        <v>0</v>
      </c>
      <c r="Y414" s="80">
        <v>0</v>
      </c>
      <c r="Z414" s="87">
        <v>0</v>
      </c>
      <c r="AA414" s="87">
        <v>0</v>
      </c>
      <c r="AB414" s="87">
        <v>2048.14</v>
      </c>
      <c r="AC414" s="87">
        <v>0</v>
      </c>
      <c r="AD414" s="87">
        <v>0</v>
      </c>
      <c r="AE414" s="87">
        <v>0</v>
      </c>
      <c r="AF414" s="87">
        <v>0</v>
      </c>
      <c r="AG414" s="87">
        <v>0</v>
      </c>
      <c r="AH414" s="80">
        <v>-5941.73</v>
      </c>
      <c r="AI414" s="87">
        <v>0</v>
      </c>
      <c r="AJ414" s="87">
        <v>0</v>
      </c>
      <c r="AK414" s="87">
        <v>0</v>
      </c>
      <c r="AL414" s="80">
        <v>0</v>
      </c>
      <c r="AM414" s="87">
        <v>0</v>
      </c>
      <c r="AN414" s="87">
        <v>0</v>
      </c>
      <c r="AO414" s="87">
        <v>0</v>
      </c>
      <c r="AP414" s="87">
        <v>0</v>
      </c>
      <c r="AQ414" s="87">
        <v>0</v>
      </c>
      <c r="AR414" s="87">
        <v>0</v>
      </c>
      <c r="AS414" s="87">
        <v>0</v>
      </c>
      <c r="AT414" s="87">
        <v>0</v>
      </c>
      <c r="AU414" s="87">
        <v>0</v>
      </c>
      <c r="AV414" s="87">
        <v>0</v>
      </c>
      <c r="AW414" s="87">
        <v>0</v>
      </c>
      <c r="AX414" s="87">
        <v>0</v>
      </c>
      <c r="AY414" s="87">
        <v>0</v>
      </c>
      <c r="AZ414" s="87">
        <v>0</v>
      </c>
      <c r="BA414" s="87">
        <v>0</v>
      </c>
      <c r="BB414" s="87">
        <v>0</v>
      </c>
      <c r="BC414" s="87">
        <v>0</v>
      </c>
      <c r="BD414" s="87">
        <v>0</v>
      </c>
      <c r="BE414" s="87">
        <v>0</v>
      </c>
      <c r="BF414" s="87">
        <v>0</v>
      </c>
    </row>
    <row r="415" spans="1:58" ht="14.1" customHeight="1">
      <c r="A415" s="75">
        <f t="shared" si="493"/>
        <v>409</v>
      </c>
      <c r="B415" s="76" t="s">
        <v>589</v>
      </c>
      <c r="C415" s="80">
        <f t="shared" si="512"/>
        <v>-73495.830399999904</v>
      </c>
      <c r="D415" s="87">
        <v>0</v>
      </c>
      <c r="E415" s="87">
        <v>0</v>
      </c>
      <c r="F415" s="87">
        <v>0</v>
      </c>
      <c r="G415" s="87">
        <v>0</v>
      </c>
      <c r="H415" s="87">
        <v>0</v>
      </c>
      <c r="I415" s="87">
        <v>0</v>
      </c>
      <c r="J415" s="80">
        <v>0</v>
      </c>
      <c r="K415" s="87">
        <v>0</v>
      </c>
      <c r="L415" s="87">
        <v>0</v>
      </c>
      <c r="M415" s="87">
        <v>0</v>
      </c>
      <c r="N415" s="87">
        <v>0</v>
      </c>
      <c r="O415" s="80">
        <v>0</v>
      </c>
      <c r="P415" s="80">
        <v>0</v>
      </c>
      <c r="Q415" s="87">
        <v>0</v>
      </c>
      <c r="R415" s="87">
        <v>0</v>
      </c>
      <c r="S415" s="87">
        <v>0</v>
      </c>
      <c r="T415" s="87">
        <v>0</v>
      </c>
      <c r="U415" s="87">
        <v>-24095.380399999907</v>
      </c>
      <c r="V415" s="87">
        <v>0</v>
      </c>
      <c r="W415" s="80">
        <v>0</v>
      </c>
      <c r="X415" s="87">
        <v>0</v>
      </c>
      <c r="Y415" s="80">
        <v>0</v>
      </c>
      <c r="Z415" s="87">
        <v>0</v>
      </c>
      <c r="AA415" s="87">
        <v>0</v>
      </c>
      <c r="AB415" s="87">
        <v>0</v>
      </c>
      <c r="AC415" s="87">
        <v>0</v>
      </c>
      <c r="AD415" s="87">
        <v>0</v>
      </c>
      <c r="AE415" s="87">
        <v>0</v>
      </c>
      <c r="AF415" s="87">
        <v>0</v>
      </c>
      <c r="AG415" s="87">
        <v>-49400.45</v>
      </c>
      <c r="AH415" s="80">
        <v>0</v>
      </c>
      <c r="AI415" s="87">
        <v>0</v>
      </c>
      <c r="AJ415" s="87">
        <v>0</v>
      </c>
      <c r="AK415" s="87">
        <v>0</v>
      </c>
      <c r="AL415" s="80">
        <v>0</v>
      </c>
      <c r="AM415" s="87">
        <v>0</v>
      </c>
      <c r="AN415" s="87">
        <v>0</v>
      </c>
      <c r="AO415" s="87">
        <v>0</v>
      </c>
      <c r="AP415" s="87">
        <v>0</v>
      </c>
      <c r="AQ415" s="87">
        <v>0</v>
      </c>
      <c r="AR415" s="87">
        <v>0</v>
      </c>
      <c r="AS415" s="87">
        <v>0</v>
      </c>
      <c r="AT415" s="87">
        <v>0</v>
      </c>
      <c r="AU415" s="87">
        <v>0</v>
      </c>
      <c r="AV415" s="87">
        <v>0</v>
      </c>
      <c r="AW415" s="87">
        <v>0</v>
      </c>
      <c r="AX415" s="87">
        <v>0</v>
      </c>
      <c r="AY415" s="87">
        <v>0</v>
      </c>
      <c r="AZ415" s="87">
        <v>0</v>
      </c>
      <c r="BA415" s="87">
        <v>0</v>
      </c>
      <c r="BB415" s="87">
        <v>0</v>
      </c>
      <c r="BC415" s="87">
        <v>0</v>
      </c>
      <c r="BD415" s="87">
        <v>0</v>
      </c>
      <c r="BE415" s="87">
        <v>0</v>
      </c>
      <c r="BF415" s="87">
        <v>0</v>
      </c>
    </row>
    <row r="416" spans="1:58" s="89" customFormat="1" ht="14.1" customHeight="1">
      <c r="A416" s="75">
        <f t="shared" si="493"/>
        <v>410</v>
      </c>
      <c r="B416" s="76" t="s">
        <v>591</v>
      </c>
      <c r="C416" s="80">
        <f t="shared" si="512"/>
        <v>83201.191360000521</v>
      </c>
      <c r="D416" s="87">
        <v>0</v>
      </c>
      <c r="E416" s="87">
        <v>0</v>
      </c>
      <c r="F416" s="87">
        <v>0</v>
      </c>
      <c r="G416" s="87">
        <v>0</v>
      </c>
      <c r="H416" s="87">
        <v>0</v>
      </c>
      <c r="I416" s="87">
        <v>0</v>
      </c>
      <c r="J416" s="80">
        <v>0</v>
      </c>
      <c r="K416" s="87">
        <v>0</v>
      </c>
      <c r="L416" s="87">
        <v>0</v>
      </c>
      <c r="M416" s="87">
        <v>0</v>
      </c>
      <c r="N416" s="87">
        <v>0</v>
      </c>
      <c r="O416" s="80">
        <v>0</v>
      </c>
      <c r="P416" s="80">
        <v>0</v>
      </c>
      <c r="Q416" s="87">
        <v>0</v>
      </c>
      <c r="R416" s="87">
        <v>0</v>
      </c>
      <c r="S416" s="87">
        <v>0</v>
      </c>
      <c r="T416" s="87">
        <v>0</v>
      </c>
      <c r="U416" s="87">
        <v>83201.191360000521</v>
      </c>
      <c r="V416" s="87">
        <v>0</v>
      </c>
      <c r="W416" s="80">
        <v>0</v>
      </c>
      <c r="X416" s="87">
        <v>0</v>
      </c>
      <c r="Y416" s="80">
        <v>0</v>
      </c>
      <c r="Z416" s="87">
        <v>0</v>
      </c>
      <c r="AA416" s="87">
        <v>0</v>
      </c>
      <c r="AB416" s="87">
        <v>0</v>
      </c>
      <c r="AC416" s="87">
        <v>0</v>
      </c>
      <c r="AD416" s="87">
        <v>0</v>
      </c>
      <c r="AE416" s="87">
        <v>0</v>
      </c>
      <c r="AF416" s="87">
        <v>0</v>
      </c>
      <c r="AG416" s="87">
        <v>0</v>
      </c>
      <c r="AH416" s="80">
        <v>0</v>
      </c>
      <c r="AI416" s="87">
        <v>0</v>
      </c>
      <c r="AJ416" s="87">
        <v>0</v>
      </c>
      <c r="AK416" s="87">
        <v>0</v>
      </c>
      <c r="AL416" s="80">
        <v>0</v>
      </c>
      <c r="AM416" s="87">
        <v>0</v>
      </c>
      <c r="AN416" s="87">
        <v>0</v>
      </c>
      <c r="AO416" s="87">
        <v>0</v>
      </c>
      <c r="AP416" s="87">
        <v>0</v>
      </c>
      <c r="AQ416" s="87">
        <v>0</v>
      </c>
      <c r="AR416" s="87">
        <v>0</v>
      </c>
      <c r="AS416" s="87">
        <v>0</v>
      </c>
      <c r="AT416" s="87">
        <v>0</v>
      </c>
      <c r="AU416" s="87">
        <v>0</v>
      </c>
      <c r="AV416" s="87">
        <v>0</v>
      </c>
      <c r="AW416" s="87">
        <v>0</v>
      </c>
      <c r="AX416" s="87">
        <v>0</v>
      </c>
      <c r="AY416" s="87">
        <v>0</v>
      </c>
      <c r="AZ416" s="87">
        <v>0</v>
      </c>
      <c r="BA416" s="87">
        <v>0</v>
      </c>
      <c r="BB416" s="87">
        <v>0</v>
      </c>
      <c r="BC416" s="87">
        <v>0</v>
      </c>
      <c r="BD416" s="87">
        <v>0</v>
      </c>
      <c r="BE416" s="87">
        <v>0</v>
      </c>
      <c r="BF416" s="87">
        <v>0</v>
      </c>
    </row>
    <row r="417" spans="1:58" s="89" customFormat="1" ht="14.1" customHeight="1">
      <c r="A417" s="75">
        <f t="shared" si="493"/>
        <v>411</v>
      </c>
      <c r="B417" s="76" t="s">
        <v>593</v>
      </c>
      <c r="C417" s="80">
        <f t="shared" si="512"/>
        <v>15569.017660000129</v>
      </c>
      <c r="D417" s="87">
        <v>0</v>
      </c>
      <c r="E417" s="87">
        <v>0</v>
      </c>
      <c r="F417" s="87">
        <v>0</v>
      </c>
      <c r="G417" s="87">
        <v>0</v>
      </c>
      <c r="H417" s="87">
        <v>0</v>
      </c>
      <c r="I417" s="87">
        <v>0</v>
      </c>
      <c r="J417" s="80">
        <v>0</v>
      </c>
      <c r="K417" s="87">
        <v>0</v>
      </c>
      <c r="L417" s="87">
        <v>0</v>
      </c>
      <c r="M417" s="87">
        <v>0</v>
      </c>
      <c r="N417" s="87">
        <v>0</v>
      </c>
      <c r="O417" s="80">
        <v>0</v>
      </c>
      <c r="P417" s="80">
        <v>0</v>
      </c>
      <c r="Q417" s="87">
        <v>0</v>
      </c>
      <c r="R417" s="87">
        <v>0</v>
      </c>
      <c r="S417" s="87">
        <v>0</v>
      </c>
      <c r="T417" s="87">
        <v>0</v>
      </c>
      <c r="U417" s="87">
        <v>15569.017660000129</v>
      </c>
      <c r="V417" s="87">
        <v>0</v>
      </c>
      <c r="W417" s="80">
        <v>0</v>
      </c>
      <c r="X417" s="87">
        <v>0</v>
      </c>
      <c r="Y417" s="80">
        <v>0</v>
      </c>
      <c r="Z417" s="87">
        <v>0</v>
      </c>
      <c r="AA417" s="87">
        <v>0</v>
      </c>
      <c r="AB417" s="87">
        <v>0</v>
      </c>
      <c r="AC417" s="87">
        <v>0</v>
      </c>
      <c r="AD417" s="87">
        <v>0</v>
      </c>
      <c r="AE417" s="87">
        <v>0</v>
      </c>
      <c r="AF417" s="87">
        <v>0</v>
      </c>
      <c r="AG417" s="87">
        <v>0</v>
      </c>
      <c r="AH417" s="80">
        <v>0</v>
      </c>
      <c r="AI417" s="87">
        <v>0</v>
      </c>
      <c r="AJ417" s="87">
        <v>0</v>
      </c>
      <c r="AK417" s="87">
        <v>0</v>
      </c>
      <c r="AL417" s="80">
        <v>0</v>
      </c>
      <c r="AM417" s="87">
        <v>0</v>
      </c>
      <c r="AN417" s="87">
        <v>0</v>
      </c>
      <c r="AO417" s="87">
        <v>0</v>
      </c>
      <c r="AP417" s="87">
        <v>0</v>
      </c>
      <c r="AQ417" s="87">
        <v>0</v>
      </c>
      <c r="AR417" s="87">
        <v>0</v>
      </c>
      <c r="AS417" s="87">
        <v>0</v>
      </c>
      <c r="AT417" s="87">
        <v>0</v>
      </c>
      <c r="AU417" s="87">
        <v>0</v>
      </c>
      <c r="AV417" s="87">
        <v>0</v>
      </c>
      <c r="AW417" s="87">
        <v>0</v>
      </c>
      <c r="AX417" s="87">
        <v>0</v>
      </c>
      <c r="AY417" s="87">
        <v>0</v>
      </c>
      <c r="AZ417" s="87">
        <v>0</v>
      </c>
      <c r="BA417" s="87">
        <v>0</v>
      </c>
      <c r="BB417" s="87">
        <v>0</v>
      </c>
      <c r="BC417" s="87">
        <v>0</v>
      </c>
      <c r="BD417" s="87">
        <v>0</v>
      </c>
      <c r="BE417" s="87">
        <v>0</v>
      </c>
      <c r="BF417" s="87">
        <v>0</v>
      </c>
    </row>
    <row r="418" spans="1:58" s="89" customFormat="1" ht="14.1" customHeight="1">
      <c r="A418" s="75">
        <f t="shared" si="493"/>
        <v>412</v>
      </c>
      <c r="B418" s="76" t="s">
        <v>594</v>
      </c>
      <c r="C418" s="80">
        <f t="shared" si="512"/>
        <v>26505.988320000004</v>
      </c>
      <c r="D418" s="87">
        <v>0</v>
      </c>
      <c r="E418" s="87">
        <v>0</v>
      </c>
      <c r="F418" s="87">
        <v>0</v>
      </c>
      <c r="G418" s="87">
        <v>0</v>
      </c>
      <c r="H418" s="87">
        <v>0</v>
      </c>
      <c r="I418" s="87">
        <v>0</v>
      </c>
      <c r="J418" s="80">
        <v>0</v>
      </c>
      <c r="K418" s="87">
        <v>0</v>
      </c>
      <c r="L418" s="87">
        <v>0</v>
      </c>
      <c r="M418" s="87">
        <v>0</v>
      </c>
      <c r="N418" s="87">
        <v>0</v>
      </c>
      <c r="O418" s="80">
        <v>0</v>
      </c>
      <c r="P418" s="80">
        <v>0</v>
      </c>
      <c r="Q418" s="87">
        <v>0</v>
      </c>
      <c r="R418" s="87">
        <v>0</v>
      </c>
      <c r="S418" s="87">
        <v>0</v>
      </c>
      <c r="T418" s="87">
        <v>0</v>
      </c>
      <c r="U418" s="87">
        <v>26505.988320000004</v>
      </c>
      <c r="V418" s="87">
        <v>0</v>
      </c>
      <c r="W418" s="80">
        <v>0</v>
      </c>
      <c r="X418" s="87">
        <v>0</v>
      </c>
      <c r="Y418" s="80">
        <v>0</v>
      </c>
      <c r="Z418" s="87">
        <v>0</v>
      </c>
      <c r="AA418" s="87">
        <v>0</v>
      </c>
      <c r="AB418" s="87">
        <v>0</v>
      </c>
      <c r="AC418" s="87">
        <v>0</v>
      </c>
      <c r="AD418" s="87">
        <v>0</v>
      </c>
      <c r="AE418" s="87">
        <v>0</v>
      </c>
      <c r="AF418" s="87">
        <v>0</v>
      </c>
      <c r="AG418" s="87">
        <v>0</v>
      </c>
      <c r="AH418" s="80">
        <v>0</v>
      </c>
      <c r="AI418" s="87">
        <v>0</v>
      </c>
      <c r="AJ418" s="87">
        <v>0</v>
      </c>
      <c r="AK418" s="87">
        <v>0</v>
      </c>
      <c r="AL418" s="80">
        <v>0</v>
      </c>
      <c r="AM418" s="87">
        <v>0</v>
      </c>
      <c r="AN418" s="87">
        <v>0</v>
      </c>
      <c r="AO418" s="87">
        <v>0</v>
      </c>
      <c r="AP418" s="87">
        <v>0</v>
      </c>
      <c r="AQ418" s="87">
        <v>0</v>
      </c>
      <c r="AR418" s="87">
        <v>0</v>
      </c>
      <c r="AS418" s="87">
        <v>0</v>
      </c>
      <c r="AT418" s="87">
        <v>0</v>
      </c>
      <c r="AU418" s="87">
        <v>0</v>
      </c>
      <c r="AV418" s="87">
        <v>0</v>
      </c>
      <c r="AW418" s="87">
        <v>0</v>
      </c>
      <c r="AX418" s="87">
        <v>0</v>
      </c>
      <c r="AY418" s="87">
        <v>0</v>
      </c>
      <c r="AZ418" s="87">
        <v>0</v>
      </c>
      <c r="BA418" s="87">
        <v>0</v>
      </c>
      <c r="BB418" s="87">
        <v>0</v>
      </c>
      <c r="BC418" s="87">
        <v>0</v>
      </c>
      <c r="BD418" s="87">
        <v>0</v>
      </c>
      <c r="BE418" s="87">
        <v>0</v>
      </c>
      <c r="BF418" s="87">
        <v>0</v>
      </c>
    </row>
    <row r="419" spans="1:58" s="89" customFormat="1" ht="14.1" customHeight="1">
      <c r="A419" s="75">
        <f t="shared" si="493"/>
        <v>413</v>
      </c>
      <c r="B419" s="76" t="s">
        <v>596</v>
      </c>
      <c r="C419" s="80">
        <f t="shared" si="512"/>
        <v>3382692.5685336012</v>
      </c>
      <c r="D419" s="87">
        <v>0</v>
      </c>
      <c r="E419" s="87">
        <v>0</v>
      </c>
      <c r="F419" s="87">
        <v>0</v>
      </c>
      <c r="G419" s="87">
        <v>0</v>
      </c>
      <c r="H419" s="87">
        <v>0</v>
      </c>
      <c r="I419" s="87">
        <v>0</v>
      </c>
      <c r="J419" s="80">
        <v>0</v>
      </c>
      <c r="K419" s="87">
        <v>0</v>
      </c>
      <c r="L419" s="87">
        <v>0</v>
      </c>
      <c r="M419" s="87">
        <v>0</v>
      </c>
      <c r="N419" s="87">
        <v>0</v>
      </c>
      <c r="O419" s="80">
        <v>0</v>
      </c>
      <c r="P419" s="80">
        <v>0</v>
      </c>
      <c r="Q419" s="87">
        <v>0</v>
      </c>
      <c r="R419" s="87">
        <v>0</v>
      </c>
      <c r="S419" s="87">
        <v>0</v>
      </c>
      <c r="T419" s="87">
        <v>0</v>
      </c>
      <c r="U419" s="87">
        <v>13949.767300000065</v>
      </c>
      <c r="V419" s="87">
        <v>0</v>
      </c>
      <c r="W419" s="80">
        <v>0</v>
      </c>
      <c r="X419" s="87">
        <v>0</v>
      </c>
      <c r="Y419" s="80">
        <v>0</v>
      </c>
      <c r="Z419" s="87">
        <v>0</v>
      </c>
      <c r="AA419" s="87">
        <v>0</v>
      </c>
      <c r="AB419" s="87">
        <v>0</v>
      </c>
      <c r="AC419" s="87">
        <v>4985006.8612336004</v>
      </c>
      <c r="AD419" s="87">
        <v>-61787</v>
      </c>
      <c r="AE419" s="87">
        <v>0</v>
      </c>
      <c r="AF419" s="87">
        <v>0</v>
      </c>
      <c r="AG419" s="87">
        <v>0</v>
      </c>
      <c r="AH419" s="80">
        <v>-5974.06</v>
      </c>
      <c r="AI419" s="87">
        <v>0</v>
      </c>
      <c r="AJ419" s="87">
        <v>0</v>
      </c>
      <c r="AK419" s="87">
        <v>0</v>
      </c>
      <c r="AL419" s="80">
        <v>0</v>
      </c>
      <c r="AM419" s="87">
        <v>0</v>
      </c>
      <c r="AN419" s="87">
        <v>0</v>
      </c>
      <c r="AO419" s="87">
        <v>0</v>
      </c>
      <c r="AP419" s="87">
        <v>0</v>
      </c>
      <c r="AQ419" s="87">
        <v>0</v>
      </c>
      <c r="AR419" s="87">
        <v>-1689276</v>
      </c>
      <c r="AS419" s="87">
        <v>140773</v>
      </c>
      <c r="AT419" s="87">
        <v>0</v>
      </c>
      <c r="AU419" s="87">
        <v>0</v>
      </c>
      <c r="AV419" s="87">
        <v>0</v>
      </c>
      <c r="AW419" s="87">
        <v>0</v>
      </c>
      <c r="AX419" s="87">
        <v>0</v>
      </c>
      <c r="AY419" s="87">
        <v>0</v>
      </c>
      <c r="AZ419" s="87">
        <v>0</v>
      </c>
      <c r="BA419" s="87">
        <v>0</v>
      </c>
      <c r="BB419" s="87">
        <v>0</v>
      </c>
      <c r="BC419" s="87">
        <v>0</v>
      </c>
      <c r="BD419" s="87">
        <v>0</v>
      </c>
      <c r="BE419" s="87">
        <v>0</v>
      </c>
      <c r="BF419" s="87">
        <v>0</v>
      </c>
    </row>
    <row r="420" spans="1:58" ht="14.1" customHeight="1">
      <c r="A420" s="75">
        <f t="shared" si="493"/>
        <v>414</v>
      </c>
      <c r="B420" s="76" t="s">
        <v>598</v>
      </c>
      <c r="C420" s="80">
        <f t="shared" si="512"/>
        <v>0</v>
      </c>
      <c r="D420" s="87">
        <v>0</v>
      </c>
      <c r="E420" s="87">
        <v>0</v>
      </c>
      <c r="F420" s="87">
        <v>0</v>
      </c>
      <c r="G420" s="87">
        <v>0</v>
      </c>
      <c r="H420" s="87">
        <v>0</v>
      </c>
      <c r="I420" s="87">
        <v>0</v>
      </c>
      <c r="J420" s="80">
        <v>0</v>
      </c>
      <c r="K420" s="87">
        <v>0</v>
      </c>
      <c r="L420" s="87">
        <v>0</v>
      </c>
      <c r="M420" s="87">
        <v>0</v>
      </c>
      <c r="N420" s="87">
        <v>0</v>
      </c>
      <c r="O420" s="80">
        <v>0</v>
      </c>
      <c r="P420" s="80">
        <v>0</v>
      </c>
      <c r="Q420" s="87">
        <v>0</v>
      </c>
      <c r="R420" s="87">
        <v>0</v>
      </c>
      <c r="S420" s="87">
        <v>0</v>
      </c>
      <c r="T420" s="87">
        <v>0</v>
      </c>
      <c r="U420" s="87">
        <v>0</v>
      </c>
      <c r="V420" s="87">
        <v>0</v>
      </c>
      <c r="W420" s="80">
        <v>0</v>
      </c>
      <c r="X420" s="87">
        <v>0</v>
      </c>
      <c r="Y420" s="80">
        <v>0</v>
      </c>
      <c r="Z420" s="87">
        <v>0</v>
      </c>
      <c r="AA420" s="87">
        <v>0</v>
      </c>
      <c r="AB420" s="87">
        <v>0</v>
      </c>
      <c r="AC420" s="87">
        <v>0</v>
      </c>
      <c r="AD420" s="87">
        <v>0</v>
      </c>
      <c r="AE420" s="87">
        <v>0</v>
      </c>
      <c r="AF420" s="87">
        <v>0</v>
      </c>
      <c r="AG420" s="87">
        <v>0</v>
      </c>
      <c r="AH420" s="80">
        <v>0</v>
      </c>
      <c r="AI420" s="87">
        <v>0</v>
      </c>
      <c r="AJ420" s="87">
        <v>0</v>
      </c>
      <c r="AK420" s="87">
        <v>0</v>
      </c>
      <c r="AL420" s="80">
        <v>0</v>
      </c>
      <c r="AM420" s="87">
        <v>0</v>
      </c>
      <c r="AN420" s="87">
        <v>0</v>
      </c>
      <c r="AO420" s="87">
        <v>0</v>
      </c>
      <c r="AP420" s="87">
        <v>0</v>
      </c>
      <c r="AQ420" s="87">
        <v>0</v>
      </c>
      <c r="AR420" s="87">
        <v>0</v>
      </c>
      <c r="AS420" s="87">
        <v>0</v>
      </c>
      <c r="AT420" s="87">
        <v>0</v>
      </c>
      <c r="AU420" s="87">
        <v>0</v>
      </c>
      <c r="AV420" s="87">
        <v>0</v>
      </c>
      <c r="AW420" s="87">
        <v>0</v>
      </c>
      <c r="AX420" s="87">
        <v>0</v>
      </c>
      <c r="AY420" s="87">
        <v>0</v>
      </c>
      <c r="AZ420" s="87">
        <v>0</v>
      </c>
      <c r="BA420" s="87">
        <v>0</v>
      </c>
      <c r="BB420" s="87">
        <v>0</v>
      </c>
      <c r="BC420" s="87">
        <v>0</v>
      </c>
      <c r="BD420" s="87">
        <v>0</v>
      </c>
      <c r="BE420" s="87">
        <v>0</v>
      </c>
      <c r="BF420" s="87">
        <v>0</v>
      </c>
    </row>
    <row r="421" spans="1:58" ht="13.5" customHeight="1">
      <c r="A421" s="75">
        <f t="shared" si="493"/>
        <v>415</v>
      </c>
      <c r="B421" s="76" t="s">
        <v>599</v>
      </c>
      <c r="C421" s="80">
        <f t="shared" si="512"/>
        <v>2275.9874199999904</v>
      </c>
      <c r="D421" s="87">
        <v>0</v>
      </c>
      <c r="E421" s="87">
        <v>0</v>
      </c>
      <c r="F421" s="87">
        <v>0</v>
      </c>
      <c r="G421" s="87">
        <v>0</v>
      </c>
      <c r="H421" s="87">
        <v>0</v>
      </c>
      <c r="I421" s="87">
        <v>0</v>
      </c>
      <c r="J421" s="80">
        <v>0</v>
      </c>
      <c r="K421" s="87">
        <v>0</v>
      </c>
      <c r="L421" s="87">
        <v>0</v>
      </c>
      <c r="M421" s="87">
        <v>0</v>
      </c>
      <c r="N421" s="87">
        <v>0</v>
      </c>
      <c r="O421" s="80">
        <v>0</v>
      </c>
      <c r="P421" s="80">
        <v>0</v>
      </c>
      <c r="Q421" s="87">
        <v>0</v>
      </c>
      <c r="R421" s="87">
        <v>0</v>
      </c>
      <c r="S421" s="87">
        <v>0</v>
      </c>
      <c r="T421" s="87">
        <v>0</v>
      </c>
      <c r="U421" s="87">
        <v>2275.9874199999904</v>
      </c>
      <c r="V421" s="87">
        <v>0</v>
      </c>
      <c r="W421" s="80">
        <v>0</v>
      </c>
      <c r="X421" s="87">
        <v>0</v>
      </c>
      <c r="Y421" s="80">
        <v>0</v>
      </c>
      <c r="Z421" s="87">
        <v>0</v>
      </c>
      <c r="AA421" s="87">
        <v>0</v>
      </c>
      <c r="AB421" s="87">
        <v>0</v>
      </c>
      <c r="AC421" s="87">
        <v>0</v>
      </c>
      <c r="AD421" s="87">
        <v>0</v>
      </c>
      <c r="AE421" s="87">
        <v>0</v>
      </c>
      <c r="AF421" s="87">
        <v>0</v>
      </c>
      <c r="AG421" s="87">
        <v>0</v>
      </c>
      <c r="AH421" s="80">
        <v>0</v>
      </c>
      <c r="AI421" s="87">
        <v>0</v>
      </c>
      <c r="AJ421" s="87">
        <v>0</v>
      </c>
      <c r="AK421" s="87">
        <v>0</v>
      </c>
      <c r="AL421" s="80">
        <v>0</v>
      </c>
      <c r="AM421" s="87">
        <v>0</v>
      </c>
      <c r="AN421" s="87">
        <v>0</v>
      </c>
      <c r="AO421" s="87">
        <v>0</v>
      </c>
      <c r="AP421" s="87">
        <v>0</v>
      </c>
      <c r="AQ421" s="87">
        <v>0</v>
      </c>
      <c r="AR421" s="87">
        <v>0</v>
      </c>
      <c r="AS421" s="87">
        <v>0</v>
      </c>
      <c r="AT421" s="87">
        <v>0</v>
      </c>
      <c r="AU421" s="87">
        <v>0</v>
      </c>
      <c r="AV421" s="87">
        <v>0</v>
      </c>
      <c r="AW421" s="87">
        <v>0</v>
      </c>
      <c r="AX421" s="87">
        <v>0</v>
      </c>
      <c r="AY421" s="87">
        <v>0</v>
      </c>
      <c r="AZ421" s="87">
        <v>0</v>
      </c>
      <c r="BA421" s="87">
        <v>0</v>
      </c>
      <c r="BB421" s="87">
        <v>0</v>
      </c>
      <c r="BC421" s="87">
        <v>0</v>
      </c>
      <c r="BD421" s="87">
        <v>0</v>
      </c>
      <c r="BE421" s="87">
        <v>0</v>
      </c>
      <c r="BF421" s="87">
        <v>0</v>
      </c>
    </row>
    <row r="422" spans="1:58" ht="14.1" customHeight="1">
      <c r="A422" s="75">
        <f t="shared" si="493"/>
        <v>416</v>
      </c>
      <c r="B422" s="76" t="s">
        <v>783</v>
      </c>
      <c r="C422" s="80">
        <f t="shared" si="512"/>
        <v>114528.90999999992</v>
      </c>
      <c r="D422" s="87">
        <v>0</v>
      </c>
      <c r="E422" s="87">
        <v>0</v>
      </c>
      <c r="F422" s="87">
        <v>0</v>
      </c>
      <c r="G422" s="87">
        <v>0</v>
      </c>
      <c r="H422" s="87">
        <v>0</v>
      </c>
      <c r="I422" s="87">
        <v>0</v>
      </c>
      <c r="J422" s="80">
        <v>0</v>
      </c>
      <c r="K422" s="87">
        <v>0</v>
      </c>
      <c r="L422" s="87">
        <v>0</v>
      </c>
      <c r="M422" s="87">
        <v>0</v>
      </c>
      <c r="N422" s="87">
        <v>0</v>
      </c>
      <c r="O422" s="80">
        <v>0</v>
      </c>
      <c r="P422" s="80">
        <v>0</v>
      </c>
      <c r="Q422" s="87">
        <v>0</v>
      </c>
      <c r="R422" s="87">
        <v>0</v>
      </c>
      <c r="S422" s="87">
        <v>0</v>
      </c>
      <c r="T422" s="87">
        <v>0</v>
      </c>
      <c r="U422" s="87">
        <v>0.18999999994412065</v>
      </c>
      <c r="V422" s="87">
        <v>0</v>
      </c>
      <c r="W422" s="80">
        <v>0</v>
      </c>
      <c r="X422" s="87">
        <v>0</v>
      </c>
      <c r="Y422" s="80">
        <v>0</v>
      </c>
      <c r="Z422" s="87">
        <v>0</v>
      </c>
      <c r="AA422" s="87">
        <v>0</v>
      </c>
      <c r="AB422" s="87">
        <v>0</v>
      </c>
      <c r="AC422" s="87">
        <v>0</v>
      </c>
      <c r="AD422" s="87">
        <v>0</v>
      </c>
      <c r="AE422" s="87">
        <v>0</v>
      </c>
      <c r="AF422" s="87">
        <v>0</v>
      </c>
      <c r="AG422" s="87">
        <v>0</v>
      </c>
      <c r="AH422" s="80">
        <v>0</v>
      </c>
      <c r="AI422" s="87">
        <v>0</v>
      </c>
      <c r="AJ422" s="87">
        <v>0</v>
      </c>
      <c r="AK422" s="87">
        <v>0</v>
      </c>
      <c r="AL422" s="80">
        <v>114528.71999999997</v>
      </c>
      <c r="AM422" s="87">
        <v>0</v>
      </c>
      <c r="AN422" s="87">
        <v>0</v>
      </c>
      <c r="AO422" s="87">
        <v>0</v>
      </c>
      <c r="AP422" s="87">
        <v>0</v>
      </c>
      <c r="AQ422" s="87">
        <v>0</v>
      </c>
      <c r="AR422" s="87">
        <v>0</v>
      </c>
      <c r="AS422" s="87">
        <v>0</v>
      </c>
      <c r="AT422" s="87">
        <v>0</v>
      </c>
      <c r="AU422" s="87">
        <v>0</v>
      </c>
      <c r="AV422" s="87">
        <v>0</v>
      </c>
      <c r="AW422" s="87">
        <v>0</v>
      </c>
      <c r="AX422" s="87">
        <v>0</v>
      </c>
      <c r="AY422" s="87">
        <v>0</v>
      </c>
      <c r="AZ422" s="87">
        <v>0</v>
      </c>
      <c r="BA422" s="87">
        <v>0</v>
      </c>
      <c r="BB422" s="87">
        <v>0</v>
      </c>
      <c r="BC422" s="87">
        <v>0</v>
      </c>
      <c r="BD422" s="87">
        <v>0</v>
      </c>
      <c r="BE422" s="87">
        <v>0</v>
      </c>
      <c r="BF422" s="87">
        <v>0</v>
      </c>
    </row>
    <row r="423" spans="1:58" ht="14.1" customHeight="1">
      <c r="A423" s="75">
        <f t="shared" si="493"/>
        <v>417</v>
      </c>
      <c r="B423" s="76" t="s">
        <v>602</v>
      </c>
      <c r="C423" s="80">
        <f t="shared" si="512"/>
        <v>262407.95</v>
      </c>
      <c r="D423" s="87">
        <v>0</v>
      </c>
      <c r="E423" s="87">
        <v>0</v>
      </c>
      <c r="F423" s="87">
        <v>0</v>
      </c>
      <c r="G423" s="87">
        <v>0</v>
      </c>
      <c r="H423" s="87">
        <v>0</v>
      </c>
      <c r="I423" s="87">
        <v>0</v>
      </c>
      <c r="J423" s="80">
        <v>0</v>
      </c>
      <c r="K423" s="87">
        <v>0</v>
      </c>
      <c r="L423" s="87">
        <v>0</v>
      </c>
      <c r="M423" s="87">
        <v>0</v>
      </c>
      <c r="N423" s="87">
        <v>0</v>
      </c>
      <c r="O423" s="80">
        <v>0</v>
      </c>
      <c r="P423" s="80">
        <v>0</v>
      </c>
      <c r="Q423" s="87">
        <v>0</v>
      </c>
      <c r="R423" s="87">
        <v>0</v>
      </c>
      <c r="S423" s="87">
        <v>0</v>
      </c>
      <c r="T423" s="87">
        <v>0</v>
      </c>
      <c r="U423" s="87">
        <v>0</v>
      </c>
      <c r="V423" s="87">
        <v>0</v>
      </c>
      <c r="W423" s="80">
        <v>0</v>
      </c>
      <c r="X423" s="87">
        <v>0</v>
      </c>
      <c r="Y423" s="80">
        <v>0</v>
      </c>
      <c r="Z423" s="87">
        <v>241938.96000000002</v>
      </c>
      <c r="AA423" s="87">
        <v>0</v>
      </c>
      <c r="AB423" s="87">
        <v>61.78</v>
      </c>
      <c r="AC423" s="87">
        <v>0</v>
      </c>
      <c r="AD423" s="87">
        <v>0</v>
      </c>
      <c r="AE423" s="87">
        <v>0</v>
      </c>
      <c r="AF423" s="87">
        <v>0</v>
      </c>
      <c r="AG423" s="87">
        <v>20407.21</v>
      </c>
      <c r="AH423" s="80">
        <v>0</v>
      </c>
      <c r="AI423" s="87">
        <v>0</v>
      </c>
      <c r="AJ423" s="87">
        <v>0</v>
      </c>
      <c r="AK423" s="87">
        <v>0</v>
      </c>
      <c r="AL423" s="80">
        <v>0</v>
      </c>
      <c r="AM423" s="87">
        <v>0</v>
      </c>
      <c r="AN423" s="87">
        <v>0</v>
      </c>
      <c r="AO423" s="87">
        <v>0</v>
      </c>
      <c r="AP423" s="87">
        <v>0</v>
      </c>
      <c r="AQ423" s="87">
        <v>0</v>
      </c>
      <c r="AR423" s="87">
        <v>0</v>
      </c>
      <c r="AS423" s="87">
        <v>0</v>
      </c>
      <c r="AT423" s="87">
        <v>0</v>
      </c>
      <c r="AU423" s="87">
        <v>0</v>
      </c>
      <c r="AV423" s="87">
        <v>0</v>
      </c>
      <c r="AW423" s="87">
        <v>0</v>
      </c>
      <c r="AX423" s="87">
        <v>0</v>
      </c>
      <c r="AY423" s="87">
        <v>0</v>
      </c>
      <c r="AZ423" s="87">
        <v>0</v>
      </c>
      <c r="BA423" s="87">
        <v>0</v>
      </c>
      <c r="BB423" s="87">
        <v>0</v>
      </c>
      <c r="BC423" s="87">
        <v>0</v>
      </c>
      <c r="BD423" s="87">
        <v>0</v>
      </c>
      <c r="BE423" s="87">
        <v>0</v>
      </c>
      <c r="BF423" s="87">
        <v>0</v>
      </c>
    </row>
    <row r="424" spans="1:58" ht="14.1" customHeight="1">
      <c r="A424" s="75">
        <f t="shared" si="493"/>
        <v>418</v>
      </c>
      <c r="B424" s="76" t="s">
        <v>605</v>
      </c>
      <c r="C424" s="80">
        <f t="shared" si="512"/>
        <v>-52701.833559999999</v>
      </c>
      <c r="D424" s="87">
        <v>0</v>
      </c>
      <c r="E424" s="87">
        <v>0</v>
      </c>
      <c r="F424" s="87">
        <v>0</v>
      </c>
      <c r="G424" s="87">
        <v>0</v>
      </c>
      <c r="H424" s="87">
        <v>0</v>
      </c>
      <c r="I424" s="87">
        <v>0</v>
      </c>
      <c r="J424" s="80">
        <v>0</v>
      </c>
      <c r="K424" s="87">
        <v>0</v>
      </c>
      <c r="L424" s="87">
        <v>0</v>
      </c>
      <c r="M424" s="87">
        <v>0</v>
      </c>
      <c r="N424" s="87">
        <v>0</v>
      </c>
      <c r="O424" s="80">
        <v>0</v>
      </c>
      <c r="P424" s="80">
        <v>0</v>
      </c>
      <c r="Q424" s="87">
        <v>0</v>
      </c>
      <c r="R424" s="87">
        <v>0</v>
      </c>
      <c r="S424" s="87">
        <v>0</v>
      </c>
      <c r="T424" s="87">
        <v>0</v>
      </c>
      <c r="U424" s="87">
        <v>1474.6964399999997</v>
      </c>
      <c r="V424" s="87">
        <v>0</v>
      </c>
      <c r="W424" s="80">
        <v>0</v>
      </c>
      <c r="X424" s="87">
        <v>0</v>
      </c>
      <c r="Y424" s="80">
        <v>0</v>
      </c>
      <c r="Z424" s="87">
        <v>0</v>
      </c>
      <c r="AA424" s="87">
        <v>-54803.77</v>
      </c>
      <c r="AB424" s="87">
        <v>627.2399999999999</v>
      </c>
      <c r="AC424" s="87">
        <v>0</v>
      </c>
      <c r="AD424" s="87">
        <v>0</v>
      </c>
      <c r="AE424" s="87">
        <v>0</v>
      </c>
      <c r="AF424" s="87">
        <v>0</v>
      </c>
      <c r="AG424" s="87">
        <v>0</v>
      </c>
      <c r="AH424" s="80">
        <v>0</v>
      </c>
      <c r="AI424" s="87">
        <v>0</v>
      </c>
      <c r="AJ424" s="87">
        <v>0</v>
      </c>
      <c r="AK424" s="87">
        <v>0</v>
      </c>
      <c r="AL424" s="80">
        <v>0</v>
      </c>
      <c r="AM424" s="87">
        <v>0</v>
      </c>
      <c r="AN424" s="87">
        <v>0</v>
      </c>
      <c r="AO424" s="87">
        <v>0</v>
      </c>
      <c r="AP424" s="87">
        <v>0</v>
      </c>
      <c r="AQ424" s="87">
        <v>0</v>
      </c>
      <c r="AR424" s="87">
        <v>0</v>
      </c>
      <c r="AS424" s="87">
        <v>0</v>
      </c>
      <c r="AT424" s="87">
        <v>0</v>
      </c>
      <c r="AU424" s="87">
        <v>0</v>
      </c>
      <c r="AV424" s="87">
        <v>0</v>
      </c>
      <c r="AW424" s="87">
        <v>0</v>
      </c>
      <c r="AX424" s="87">
        <v>0</v>
      </c>
      <c r="AY424" s="87">
        <v>0</v>
      </c>
      <c r="AZ424" s="87">
        <v>0</v>
      </c>
      <c r="BA424" s="87">
        <v>0</v>
      </c>
      <c r="BB424" s="87">
        <v>0</v>
      </c>
      <c r="BC424" s="87">
        <v>0</v>
      </c>
      <c r="BD424" s="87">
        <v>0</v>
      </c>
      <c r="BE424" s="87">
        <v>0</v>
      </c>
      <c r="BF424" s="87">
        <v>0</v>
      </c>
    </row>
    <row r="425" spans="1:58" ht="14.1" customHeight="1">
      <c r="A425" s="75">
        <f t="shared" si="493"/>
        <v>419</v>
      </c>
      <c r="B425" s="76" t="s">
        <v>607</v>
      </c>
      <c r="C425" s="80">
        <f t="shared" si="512"/>
        <v>9056.6872000000203</v>
      </c>
      <c r="D425" s="87">
        <v>0</v>
      </c>
      <c r="E425" s="87">
        <v>0</v>
      </c>
      <c r="F425" s="87">
        <v>0</v>
      </c>
      <c r="G425" s="87">
        <v>0</v>
      </c>
      <c r="H425" s="87">
        <v>0</v>
      </c>
      <c r="I425" s="87">
        <v>0</v>
      </c>
      <c r="J425" s="80">
        <v>0</v>
      </c>
      <c r="K425" s="87">
        <v>0</v>
      </c>
      <c r="L425" s="87">
        <v>0</v>
      </c>
      <c r="M425" s="87">
        <v>0</v>
      </c>
      <c r="N425" s="87">
        <v>0</v>
      </c>
      <c r="O425" s="80">
        <v>0</v>
      </c>
      <c r="P425" s="80">
        <v>0</v>
      </c>
      <c r="Q425" s="87">
        <v>0</v>
      </c>
      <c r="R425" s="87">
        <v>0</v>
      </c>
      <c r="S425" s="87">
        <v>0</v>
      </c>
      <c r="T425" s="87">
        <v>0</v>
      </c>
      <c r="U425" s="87">
        <v>8291.2872000000207</v>
      </c>
      <c r="V425" s="87">
        <v>0</v>
      </c>
      <c r="W425" s="80">
        <v>0</v>
      </c>
      <c r="X425" s="87">
        <v>0</v>
      </c>
      <c r="Y425" s="80">
        <v>0</v>
      </c>
      <c r="Z425" s="87">
        <v>0</v>
      </c>
      <c r="AA425" s="87">
        <v>0</v>
      </c>
      <c r="AB425" s="87">
        <v>0</v>
      </c>
      <c r="AC425" s="87">
        <v>0</v>
      </c>
      <c r="AD425" s="87">
        <v>0</v>
      </c>
      <c r="AE425" s="87">
        <v>0</v>
      </c>
      <c r="AF425" s="87">
        <v>0</v>
      </c>
      <c r="AG425" s="87">
        <v>765.40000000000009</v>
      </c>
      <c r="AH425" s="80">
        <v>0</v>
      </c>
      <c r="AI425" s="87">
        <v>0</v>
      </c>
      <c r="AJ425" s="87">
        <v>0</v>
      </c>
      <c r="AK425" s="87">
        <v>0</v>
      </c>
      <c r="AL425" s="80">
        <v>0</v>
      </c>
      <c r="AM425" s="87">
        <v>0</v>
      </c>
      <c r="AN425" s="87">
        <v>0</v>
      </c>
      <c r="AO425" s="87">
        <v>0</v>
      </c>
      <c r="AP425" s="87">
        <v>0</v>
      </c>
      <c r="AQ425" s="87">
        <v>0</v>
      </c>
      <c r="AR425" s="87">
        <v>0</v>
      </c>
      <c r="AS425" s="87">
        <v>0</v>
      </c>
      <c r="AT425" s="87">
        <v>0</v>
      </c>
      <c r="AU425" s="87">
        <v>0</v>
      </c>
      <c r="AV425" s="87">
        <v>0</v>
      </c>
      <c r="AW425" s="87">
        <v>0</v>
      </c>
      <c r="AX425" s="87">
        <v>0</v>
      </c>
      <c r="AY425" s="87">
        <v>0</v>
      </c>
      <c r="AZ425" s="87">
        <v>0</v>
      </c>
      <c r="BA425" s="87">
        <v>0</v>
      </c>
      <c r="BB425" s="87">
        <v>0</v>
      </c>
      <c r="BC425" s="87">
        <v>0</v>
      </c>
      <c r="BD425" s="87">
        <v>0</v>
      </c>
      <c r="BE425" s="87">
        <v>0</v>
      </c>
      <c r="BF425" s="87">
        <v>0</v>
      </c>
    </row>
    <row r="426" spans="1:58" ht="14.1" customHeight="1">
      <c r="A426" s="75">
        <f t="shared" si="493"/>
        <v>420</v>
      </c>
      <c r="B426" s="90" t="s">
        <v>609</v>
      </c>
      <c r="C426" s="80">
        <f t="shared" si="512"/>
        <v>-175.95000000000346</v>
      </c>
      <c r="D426" s="87">
        <v>0</v>
      </c>
      <c r="E426" s="87">
        <v>0</v>
      </c>
      <c r="F426" s="87">
        <v>0</v>
      </c>
      <c r="G426" s="87">
        <v>0</v>
      </c>
      <c r="H426" s="87">
        <v>0</v>
      </c>
      <c r="I426" s="87">
        <v>0</v>
      </c>
      <c r="J426" s="91">
        <v>0</v>
      </c>
      <c r="K426" s="87">
        <v>0</v>
      </c>
      <c r="L426" s="87">
        <v>0</v>
      </c>
      <c r="M426" s="87">
        <v>0</v>
      </c>
      <c r="N426" s="87">
        <v>0</v>
      </c>
      <c r="O426" s="91">
        <v>0</v>
      </c>
      <c r="P426" s="91">
        <v>0</v>
      </c>
      <c r="Q426" s="87">
        <v>0</v>
      </c>
      <c r="R426" s="87">
        <v>0</v>
      </c>
      <c r="S426" s="87">
        <v>0</v>
      </c>
      <c r="T426" s="87">
        <v>0</v>
      </c>
      <c r="U426" s="87">
        <v>972.83999999999651</v>
      </c>
      <c r="V426" s="87">
        <v>0</v>
      </c>
      <c r="W426" s="91">
        <v>0</v>
      </c>
      <c r="X426" s="87">
        <v>0</v>
      </c>
      <c r="Y426" s="91">
        <v>0</v>
      </c>
      <c r="Z426" s="87">
        <v>0</v>
      </c>
      <c r="AA426" s="87">
        <v>0</v>
      </c>
      <c r="AB426" s="87">
        <v>-1148.79</v>
      </c>
      <c r="AC426" s="87">
        <v>0</v>
      </c>
      <c r="AD426" s="87">
        <v>0</v>
      </c>
      <c r="AE426" s="87">
        <v>0</v>
      </c>
      <c r="AF426" s="87">
        <v>0</v>
      </c>
      <c r="AG426" s="87">
        <v>0</v>
      </c>
      <c r="AH426" s="91">
        <v>0</v>
      </c>
      <c r="AI426" s="87">
        <v>0</v>
      </c>
      <c r="AJ426" s="87">
        <v>0</v>
      </c>
      <c r="AK426" s="87">
        <v>0</v>
      </c>
      <c r="AL426" s="91">
        <v>0</v>
      </c>
      <c r="AM426" s="87">
        <v>0</v>
      </c>
      <c r="AN426" s="87">
        <v>0</v>
      </c>
      <c r="AO426" s="87">
        <v>0</v>
      </c>
      <c r="AP426" s="87">
        <v>0</v>
      </c>
      <c r="AQ426" s="87">
        <v>0</v>
      </c>
      <c r="AR426" s="87">
        <v>0</v>
      </c>
      <c r="AS426" s="87">
        <v>0</v>
      </c>
      <c r="AT426" s="87">
        <v>0</v>
      </c>
      <c r="AU426" s="87">
        <v>0</v>
      </c>
      <c r="AV426" s="87">
        <v>0</v>
      </c>
      <c r="AW426" s="87">
        <v>0</v>
      </c>
      <c r="AX426" s="87">
        <v>0</v>
      </c>
      <c r="AY426" s="87">
        <v>0</v>
      </c>
      <c r="AZ426" s="87">
        <v>0</v>
      </c>
      <c r="BA426" s="87">
        <v>0</v>
      </c>
      <c r="BB426" s="87">
        <v>0</v>
      </c>
      <c r="BC426" s="87">
        <v>0</v>
      </c>
      <c r="BD426" s="87">
        <v>0</v>
      </c>
      <c r="BE426" s="87">
        <v>0</v>
      </c>
      <c r="BF426" s="87">
        <v>0</v>
      </c>
    </row>
    <row r="427" spans="1:58" ht="14.1" customHeight="1">
      <c r="A427" s="75">
        <f t="shared" si="493"/>
        <v>421</v>
      </c>
      <c r="B427" s="108" t="s">
        <v>611</v>
      </c>
      <c r="C427" s="97">
        <f t="shared" ref="C427:V427" si="513">SUM(C413:C426)</f>
        <v>4225299.5765336007</v>
      </c>
      <c r="D427" s="97">
        <f t="shared" si="513"/>
        <v>0</v>
      </c>
      <c r="E427" s="97">
        <f t="shared" si="513"/>
        <v>0</v>
      </c>
      <c r="F427" s="97">
        <f t="shared" si="513"/>
        <v>0</v>
      </c>
      <c r="G427" s="97">
        <f t="shared" si="513"/>
        <v>0</v>
      </c>
      <c r="H427" s="97">
        <f t="shared" si="513"/>
        <v>0</v>
      </c>
      <c r="I427" s="97">
        <f t="shared" si="513"/>
        <v>0</v>
      </c>
      <c r="J427" s="80">
        <f t="shared" si="513"/>
        <v>0</v>
      </c>
      <c r="K427" s="97">
        <f t="shared" si="513"/>
        <v>0</v>
      </c>
      <c r="L427" s="97">
        <f t="shared" si="513"/>
        <v>0</v>
      </c>
      <c r="M427" s="97">
        <f t="shared" si="513"/>
        <v>0</v>
      </c>
      <c r="N427" s="97">
        <f t="shared" si="513"/>
        <v>0</v>
      </c>
      <c r="O427" s="80">
        <f t="shared" si="513"/>
        <v>0</v>
      </c>
      <c r="P427" s="80">
        <f t="shared" si="513"/>
        <v>0</v>
      </c>
      <c r="Q427" s="97">
        <f t="shared" si="513"/>
        <v>0</v>
      </c>
      <c r="R427" s="97">
        <f t="shared" si="513"/>
        <v>0</v>
      </c>
      <c r="S427" s="97">
        <f t="shared" si="513"/>
        <v>0</v>
      </c>
      <c r="T427" s="97">
        <f t="shared" si="513"/>
        <v>0</v>
      </c>
      <c r="U427" s="97">
        <f t="shared" si="513"/>
        <v>309257.07529999968</v>
      </c>
      <c r="V427" s="97">
        <f t="shared" si="513"/>
        <v>0</v>
      </c>
      <c r="W427" s="80">
        <f>SUM(W413:W426)</f>
        <v>0</v>
      </c>
      <c r="X427" s="97">
        <f t="shared" ref="X427:AD427" si="514">SUM(X413:X426)</f>
        <v>0</v>
      </c>
      <c r="Y427" s="80">
        <f>SUM(Y413:Y426)</f>
        <v>0</v>
      </c>
      <c r="Z427" s="97">
        <f t="shared" si="514"/>
        <v>241938.96000000002</v>
      </c>
      <c r="AA427" s="97">
        <f t="shared" si="514"/>
        <v>-54803.77</v>
      </c>
      <c r="AB427" s="97">
        <f t="shared" si="514"/>
        <v>2336.5499999999997</v>
      </c>
      <c r="AC427" s="97">
        <f t="shared" si="514"/>
        <v>4985006.8612336004</v>
      </c>
      <c r="AD427" s="97">
        <f t="shared" si="514"/>
        <v>-61787</v>
      </c>
      <c r="AE427" s="97">
        <f>SUM(AE413:AE426)</f>
        <v>0</v>
      </c>
      <c r="AF427" s="97">
        <f>SUM(AF413:AF426)</f>
        <v>-87305</v>
      </c>
      <c r="AG427" s="97">
        <f>SUM(AG413:AG426)</f>
        <v>336545.97000000003</v>
      </c>
      <c r="AH427" s="80">
        <f t="shared" ref="AH427:AL427" si="515">SUM(AH413:AH426)</f>
        <v>-11915.79</v>
      </c>
      <c r="AI427" s="97">
        <f t="shared" si="515"/>
        <v>0</v>
      </c>
      <c r="AJ427" s="97">
        <f t="shared" si="515"/>
        <v>0</v>
      </c>
      <c r="AK427" s="97">
        <f t="shared" si="515"/>
        <v>0</v>
      </c>
      <c r="AL427" s="80">
        <f t="shared" si="515"/>
        <v>114528.71999999997</v>
      </c>
      <c r="AM427" s="97">
        <f>SUM(AM413:AM426)</f>
        <v>0</v>
      </c>
      <c r="AN427" s="97">
        <f>SUM(AN413:AN426)</f>
        <v>0</v>
      </c>
      <c r="AO427" s="97">
        <f>SUM(AO413:AO426)</f>
        <v>0</v>
      </c>
      <c r="AP427" s="97">
        <f>SUM(AP413:AP426)</f>
        <v>0</v>
      </c>
      <c r="AQ427" s="97">
        <f>SUM(AQ413:AQ426)</f>
        <v>0</v>
      </c>
      <c r="AR427" s="97">
        <f t="shared" ref="AR427" si="516">SUM(AR413:AR426)</f>
        <v>-1689276</v>
      </c>
      <c r="AS427" s="97">
        <f>SUM(AS413:AS426)</f>
        <v>140773</v>
      </c>
      <c r="AT427" s="97">
        <f t="shared" ref="AT427:AV427" si="517">SUM(AT413:AT426)</f>
        <v>0</v>
      </c>
      <c r="AU427" s="97">
        <f t="shared" si="517"/>
        <v>0</v>
      </c>
      <c r="AV427" s="97">
        <f t="shared" si="517"/>
        <v>0</v>
      </c>
      <c r="AW427" s="97">
        <f>SUM(AW413:AW426)</f>
        <v>0</v>
      </c>
      <c r="AX427" s="97">
        <f t="shared" ref="AX427:BF427" si="518">SUM(AX413:AX426)</f>
        <v>0</v>
      </c>
      <c r="AY427" s="97">
        <f t="shared" si="518"/>
        <v>0</v>
      </c>
      <c r="AZ427" s="97">
        <f t="shared" si="518"/>
        <v>0</v>
      </c>
      <c r="BA427" s="97">
        <f t="shared" si="518"/>
        <v>0</v>
      </c>
      <c r="BB427" s="97">
        <f t="shared" si="518"/>
        <v>0</v>
      </c>
      <c r="BC427" s="97">
        <f t="shared" si="518"/>
        <v>0</v>
      </c>
      <c r="BD427" s="97">
        <f t="shared" si="518"/>
        <v>0</v>
      </c>
      <c r="BE427" s="97">
        <f t="shared" si="518"/>
        <v>0</v>
      </c>
      <c r="BF427" s="97">
        <f t="shared" si="518"/>
        <v>0</v>
      </c>
    </row>
    <row r="428" spans="1:58" ht="14.1" customHeight="1">
      <c r="A428" s="75">
        <f t="shared" si="493"/>
        <v>422</v>
      </c>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row>
    <row r="429" spans="1:58" ht="14.1" customHeight="1">
      <c r="A429" s="75">
        <f t="shared" si="493"/>
        <v>423</v>
      </c>
      <c r="B429" s="89" t="s">
        <v>612</v>
      </c>
      <c r="C429" s="80">
        <f>SUM(D429:BF429)</f>
        <v>67953.57710000017</v>
      </c>
      <c r="D429" s="87">
        <v>0</v>
      </c>
      <c r="E429" s="87">
        <v>0</v>
      </c>
      <c r="F429" s="87">
        <v>0</v>
      </c>
      <c r="G429" s="87">
        <v>0</v>
      </c>
      <c r="H429" s="87">
        <v>0</v>
      </c>
      <c r="I429" s="87">
        <v>0</v>
      </c>
      <c r="J429" s="87">
        <v>0</v>
      </c>
      <c r="K429" s="87">
        <v>0</v>
      </c>
      <c r="L429" s="87">
        <v>0</v>
      </c>
      <c r="M429" s="87">
        <v>0</v>
      </c>
      <c r="N429" s="87">
        <v>0</v>
      </c>
      <c r="O429" s="87">
        <v>0</v>
      </c>
      <c r="P429" s="87">
        <v>0</v>
      </c>
      <c r="Q429" s="87">
        <v>0</v>
      </c>
      <c r="R429" s="87">
        <v>0</v>
      </c>
      <c r="S429" s="87">
        <v>0</v>
      </c>
      <c r="T429" s="87">
        <v>0</v>
      </c>
      <c r="U429" s="87">
        <v>31713.397100000177</v>
      </c>
      <c r="V429" s="87">
        <v>0</v>
      </c>
      <c r="W429" s="87">
        <v>0</v>
      </c>
      <c r="X429" s="87">
        <v>0</v>
      </c>
      <c r="Y429" s="87">
        <v>0</v>
      </c>
      <c r="Z429" s="87">
        <v>0</v>
      </c>
      <c r="AA429" s="87">
        <v>0</v>
      </c>
      <c r="AB429" s="87">
        <v>1808.25</v>
      </c>
      <c r="AC429" s="87">
        <v>0</v>
      </c>
      <c r="AD429" s="87">
        <v>0</v>
      </c>
      <c r="AE429" s="87">
        <v>0</v>
      </c>
      <c r="AF429" s="87">
        <v>0</v>
      </c>
      <c r="AG429" s="87">
        <v>34431.93</v>
      </c>
      <c r="AH429" s="87">
        <v>0</v>
      </c>
      <c r="AI429" s="87">
        <v>0</v>
      </c>
      <c r="AJ429" s="87">
        <v>0</v>
      </c>
      <c r="AK429" s="87">
        <v>0</v>
      </c>
      <c r="AL429" s="87">
        <v>0</v>
      </c>
      <c r="AM429" s="87">
        <v>0</v>
      </c>
      <c r="AN429" s="87">
        <v>0</v>
      </c>
      <c r="AO429" s="87">
        <v>0</v>
      </c>
      <c r="AP429" s="87">
        <v>0</v>
      </c>
      <c r="AQ429" s="87">
        <v>0</v>
      </c>
      <c r="AR429" s="87">
        <v>0</v>
      </c>
      <c r="AS429" s="87">
        <v>0</v>
      </c>
      <c r="AT429" s="87">
        <v>0</v>
      </c>
      <c r="AU429" s="87">
        <v>0</v>
      </c>
      <c r="AV429" s="87">
        <v>0</v>
      </c>
      <c r="AW429" s="87">
        <v>0</v>
      </c>
      <c r="AX429" s="87">
        <v>0</v>
      </c>
      <c r="AY429" s="87">
        <v>0</v>
      </c>
      <c r="AZ429" s="87">
        <v>0</v>
      </c>
      <c r="BA429" s="87">
        <v>0</v>
      </c>
      <c r="BB429" s="87">
        <v>0</v>
      </c>
      <c r="BC429" s="87">
        <v>0</v>
      </c>
      <c r="BD429" s="87">
        <v>0</v>
      </c>
      <c r="BE429" s="87">
        <v>0</v>
      </c>
      <c r="BF429" s="87">
        <v>0</v>
      </c>
    </row>
    <row r="430" spans="1:58" ht="14.1" customHeight="1">
      <c r="A430" s="75">
        <f t="shared" si="493"/>
        <v>424</v>
      </c>
      <c r="B430" s="121" t="s">
        <v>784</v>
      </c>
      <c r="C430" s="80">
        <f>SUM(D430:BF430)</f>
        <v>0</v>
      </c>
      <c r="D430" s="87">
        <v>0</v>
      </c>
      <c r="E430" s="87">
        <v>0</v>
      </c>
      <c r="F430" s="87">
        <v>0</v>
      </c>
      <c r="G430" s="87">
        <v>0</v>
      </c>
      <c r="H430" s="87">
        <v>0</v>
      </c>
      <c r="I430" s="87">
        <v>0</v>
      </c>
      <c r="J430" s="87">
        <v>0</v>
      </c>
      <c r="K430" s="87">
        <v>0</v>
      </c>
      <c r="L430" s="87">
        <v>0</v>
      </c>
      <c r="M430" s="87">
        <v>0</v>
      </c>
      <c r="N430" s="87">
        <v>0</v>
      </c>
      <c r="O430" s="87">
        <v>0</v>
      </c>
      <c r="P430" s="87">
        <v>0</v>
      </c>
      <c r="Q430" s="87">
        <v>0</v>
      </c>
      <c r="R430" s="87">
        <v>0</v>
      </c>
      <c r="S430" s="87">
        <v>0</v>
      </c>
      <c r="T430" s="87">
        <v>0</v>
      </c>
      <c r="U430" s="87">
        <v>0</v>
      </c>
      <c r="V430" s="87">
        <v>0</v>
      </c>
      <c r="W430" s="87">
        <v>0</v>
      </c>
      <c r="X430" s="87">
        <v>0</v>
      </c>
      <c r="Y430" s="87">
        <v>0</v>
      </c>
      <c r="Z430" s="87">
        <v>0</v>
      </c>
      <c r="AA430" s="87">
        <v>0</v>
      </c>
      <c r="AB430" s="87">
        <v>0</v>
      </c>
      <c r="AC430" s="87">
        <v>0</v>
      </c>
      <c r="AD430" s="87">
        <v>0</v>
      </c>
      <c r="AE430" s="87">
        <v>0</v>
      </c>
      <c r="AF430" s="87">
        <v>0</v>
      </c>
      <c r="AG430" s="87">
        <v>0</v>
      </c>
      <c r="AH430" s="87">
        <v>0</v>
      </c>
      <c r="AI430" s="87">
        <v>0</v>
      </c>
      <c r="AJ430" s="87">
        <v>0</v>
      </c>
      <c r="AK430" s="87">
        <v>0</v>
      </c>
      <c r="AL430" s="87">
        <v>0</v>
      </c>
      <c r="AM430" s="87">
        <v>0</v>
      </c>
      <c r="AN430" s="87">
        <v>0</v>
      </c>
      <c r="AO430" s="87">
        <v>0</v>
      </c>
      <c r="AP430" s="87">
        <v>0</v>
      </c>
      <c r="AQ430" s="87">
        <v>0</v>
      </c>
      <c r="AR430" s="87">
        <v>0</v>
      </c>
      <c r="AS430" s="87">
        <v>0</v>
      </c>
      <c r="AT430" s="87">
        <v>0</v>
      </c>
      <c r="AU430" s="87">
        <v>0</v>
      </c>
      <c r="AV430" s="87">
        <v>0</v>
      </c>
      <c r="AW430" s="87">
        <v>0</v>
      </c>
      <c r="AX430" s="87">
        <v>0</v>
      </c>
      <c r="AY430" s="87">
        <v>0</v>
      </c>
      <c r="AZ430" s="87">
        <v>0</v>
      </c>
      <c r="BA430" s="87">
        <v>0</v>
      </c>
      <c r="BB430" s="87">
        <v>0</v>
      </c>
      <c r="BC430" s="87">
        <v>0</v>
      </c>
      <c r="BD430" s="87">
        <v>0</v>
      </c>
      <c r="BE430" s="87">
        <v>0</v>
      </c>
      <c r="BF430" s="87">
        <v>0</v>
      </c>
    </row>
    <row r="431" spans="1:58" ht="14.1" customHeight="1">
      <c r="A431" s="75">
        <f t="shared" si="493"/>
        <v>425</v>
      </c>
      <c r="B431" s="108" t="s">
        <v>615</v>
      </c>
      <c r="C431" s="97">
        <f t="shared" ref="C431" si="519">C427+SUM(C429:C430)</f>
        <v>4293253.153633601</v>
      </c>
      <c r="D431" s="97">
        <f t="shared" ref="D431:W431" si="520">D427+SUM(D429:D430)</f>
        <v>0</v>
      </c>
      <c r="E431" s="97">
        <f t="shared" si="520"/>
        <v>0</v>
      </c>
      <c r="F431" s="97">
        <f t="shared" si="520"/>
        <v>0</v>
      </c>
      <c r="G431" s="97">
        <f t="shared" si="520"/>
        <v>0</v>
      </c>
      <c r="H431" s="97">
        <f t="shared" si="520"/>
        <v>0</v>
      </c>
      <c r="I431" s="97">
        <f t="shared" si="520"/>
        <v>0</v>
      </c>
      <c r="J431" s="97">
        <f t="shared" si="520"/>
        <v>0</v>
      </c>
      <c r="K431" s="97">
        <f t="shared" si="520"/>
        <v>0</v>
      </c>
      <c r="L431" s="97">
        <f t="shared" si="520"/>
        <v>0</v>
      </c>
      <c r="M431" s="97">
        <f t="shared" si="520"/>
        <v>0</v>
      </c>
      <c r="N431" s="97">
        <f t="shared" si="520"/>
        <v>0</v>
      </c>
      <c r="O431" s="97">
        <f t="shared" si="520"/>
        <v>0</v>
      </c>
      <c r="P431" s="97">
        <f t="shared" si="520"/>
        <v>0</v>
      </c>
      <c r="Q431" s="97">
        <f t="shared" si="520"/>
        <v>0</v>
      </c>
      <c r="R431" s="97">
        <f t="shared" si="520"/>
        <v>0</v>
      </c>
      <c r="S431" s="97">
        <f t="shared" si="520"/>
        <v>0</v>
      </c>
      <c r="T431" s="97">
        <f t="shared" si="520"/>
        <v>0</v>
      </c>
      <c r="U431" s="97">
        <f t="shared" si="520"/>
        <v>340970.47239999985</v>
      </c>
      <c r="V431" s="97">
        <f t="shared" si="520"/>
        <v>0</v>
      </c>
      <c r="W431" s="97">
        <f t="shared" si="520"/>
        <v>0</v>
      </c>
      <c r="X431" s="97">
        <f t="shared" ref="X431:AD431" si="521">X427+SUM(X429:X430)</f>
        <v>0</v>
      </c>
      <c r="Y431" s="97">
        <f>Y427+SUM(Y429:Y430)</f>
        <v>0</v>
      </c>
      <c r="Z431" s="97">
        <f t="shared" si="521"/>
        <v>241938.96000000002</v>
      </c>
      <c r="AA431" s="97">
        <f t="shared" si="521"/>
        <v>-54803.77</v>
      </c>
      <c r="AB431" s="97">
        <f t="shared" si="521"/>
        <v>4144.7999999999993</v>
      </c>
      <c r="AC431" s="97">
        <f t="shared" si="521"/>
        <v>4985006.8612336004</v>
      </c>
      <c r="AD431" s="97">
        <f t="shared" si="521"/>
        <v>-61787</v>
      </c>
      <c r="AE431" s="97">
        <f>AE427+SUM(AE429:AE430)</f>
        <v>0</v>
      </c>
      <c r="AF431" s="97">
        <f>AF427+SUM(AF429:AF430)</f>
        <v>-87305</v>
      </c>
      <c r="AG431" s="97">
        <f>AG427+SUM(AG429:AG430)</f>
        <v>370977.9</v>
      </c>
      <c r="AH431" s="97">
        <f t="shared" ref="AH431:AL431" si="522">AH427+SUM(AH429:AH430)</f>
        <v>-11915.79</v>
      </c>
      <c r="AI431" s="97">
        <f t="shared" si="522"/>
        <v>0</v>
      </c>
      <c r="AJ431" s="97">
        <f t="shared" si="522"/>
        <v>0</v>
      </c>
      <c r="AK431" s="97">
        <f t="shared" si="522"/>
        <v>0</v>
      </c>
      <c r="AL431" s="97">
        <f t="shared" si="522"/>
        <v>114528.71999999997</v>
      </c>
      <c r="AM431" s="97">
        <f>AM427+SUM(AM429:AM430)</f>
        <v>0</v>
      </c>
      <c r="AN431" s="97">
        <f>AN427+SUM(AN429:AN430)</f>
        <v>0</v>
      </c>
      <c r="AO431" s="97">
        <f>AO427+SUM(AO429:AO430)</f>
        <v>0</v>
      </c>
      <c r="AP431" s="97">
        <f>AP427+SUM(AP429:AP430)</f>
        <v>0</v>
      </c>
      <c r="AQ431" s="97">
        <f>AQ427+SUM(AQ429:AQ430)</f>
        <v>0</v>
      </c>
      <c r="AR431" s="97">
        <f t="shared" ref="AR431" si="523">AR427+SUM(AR429:AR430)</f>
        <v>-1689276</v>
      </c>
      <c r="AS431" s="97">
        <f>AS427+SUM(AS429:AS430)</f>
        <v>140773</v>
      </c>
      <c r="AT431" s="97">
        <f t="shared" ref="AT431:AV431" si="524">AT427+SUM(AT429:AT430)</f>
        <v>0</v>
      </c>
      <c r="AU431" s="97">
        <f t="shared" si="524"/>
        <v>0</v>
      </c>
      <c r="AV431" s="97">
        <f t="shared" si="524"/>
        <v>0</v>
      </c>
      <c r="AW431" s="97">
        <f>AW427+SUM(AW429:AW430)</f>
        <v>0</v>
      </c>
      <c r="AX431" s="97">
        <f t="shared" ref="AX431:BF431" si="525">AX427+SUM(AX429:AX430)</f>
        <v>0</v>
      </c>
      <c r="AY431" s="97">
        <f t="shared" si="525"/>
        <v>0</v>
      </c>
      <c r="AZ431" s="97">
        <f t="shared" si="525"/>
        <v>0</v>
      </c>
      <c r="BA431" s="97">
        <f t="shared" si="525"/>
        <v>0</v>
      </c>
      <c r="BB431" s="97">
        <f t="shared" si="525"/>
        <v>0</v>
      </c>
      <c r="BC431" s="97">
        <f t="shared" si="525"/>
        <v>0</v>
      </c>
      <c r="BD431" s="97">
        <f t="shared" si="525"/>
        <v>0</v>
      </c>
      <c r="BE431" s="97">
        <f t="shared" si="525"/>
        <v>0</v>
      </c>
      <c r="BF431" s="97">
        <f t="shared" si="525"/>
        <v>0</v>
      </c>
    </row>
    <row r="432" spans="1:58" ht="14.1" customHeight="1">
      <c r="A432" s="75">
        <f t="shared" si="493"/>
        <v>426</v>
      </c>
      <c r="B432" s="121"/>
      <c r="C432" s="115"/>
      <c r="D432" s="115"/>
      <c r="E432" s="115"/>
      <c r="F432" s="115"/>
      <c r="G432" s="115"/>
      <c r="H432" s="115"/>
      <c r="I432" s="115"/>
      <c r="J432" s="115"/>
      <c r="K432" s="115"/>
      <c r="L432" s="115"/>
      <c r="M432" s="115"/>
      <c r="N432" s="115"/>
      <c r="O432" s="115"/>
      <c r="P432" s="115"/>
      <c r="Q432" s="115"/>
      <c r="R432" s="115"/>
      <c r="S432" s="115"/>
      <c r="T432" s="115"/>
      <c r="U432" s="115"/>
      <c r="V432" s="115"/>
      <c r="W432" s="115"/>
      <c r="X432" s="115"/>
      <c r="Y432" s="115"/>
      <c r="Z432" s="115"/>
      <c r="AA432" s="115"/>
      <c r="AB432" s="115"/>
      <c r="AC432" s="115"/>
      <c r="AD432" s="115"/>
      <c r="AE432" s="115"/>
      <c r="AF432" s="115"/>
      <c r="AG432" s="115"/>
      <c r="AH432" s="115"/>
      <c r="AI432" s="115"/>
      <c r="AJ432" s="115"/>
      <c r="AK432" s="115"/>
      <c r="AL432" s="115"/>
      <c r="AM432" s="115"/>
      <c r="AN432" s="115"/>
      <c r="AO432" s="115"/>
      <c r="AP432" s="115"/>
      <c r="AQ432" s="115"/>
      <c r="AR432" s="115"/>
      <c r="AS432" s="115"/>
      <c r="AT432" s="115"/>
      <c r="AU432" s="115"/>
      <c r="AV432" s="115"/>
      <c r="AW432" s="115"/>
      <c r="AX432" s="115"/>
      <c r="AY432" s="115"/>
      <c r="AZ432" s="115"/>
      <c r="BA432" s="115"/>
      <c r="BB432" s="115"/>
      <c r="BC432" s="115"/>
      <c r="BD432" s="115"/>
      <c r="BE432" s="115"/>
      <c r="BF432" s="115"/>
    </row>
    <row r="433" spans="1:58" s="89" customFormat="1" ht="14.1" customHeight="1">
      <c r="A433" s="75">
        <f t="shared" si="493"/>
        <v>427</v>
      </c>
      <c r="B433" s="108" t="s">
        <v>616</v>
      </c>
      <c r="C433" s="128">
        <f t="shared" ref="C433:V433" si="526">C431+C410+C403+C396+C387+C359+C332</f>
        <v>-43550166.70901572</v>
      </c>
      <c r="D433" s="128">
        <f t="shared" si="526"/>
        <v>0</v>
      </c>
      <c r="E433" s="128">
        <f t="shared" si="526"/>
        <v>0</v>
      </c>
      <c r="F433" s="128">
        <f t="shared" si="526"/>
        <v>0</v>
      </c>
      <c r="G433" s="128">
        <f t="shared" si="526"/>
        <v>0</v>
      </c>
      <c r="H433" s="128">
        <f t="shared" si="526"/>
        <v>0</v>
      </c>
      <c r="I433" s="128">
        <f t="shared" si="526"/>
        <v>0</v>
      </c>
      <c r="J433" s="128">
        <f t="shared" si="526"/>
        <v>0</v>
      </c>
      <c r="K433" s="128">
        <f t="shared" si="526"/>
        <v>0</v>
      </c>
      <c r="L433" s="128">
        <f t="shared" si="526"/>
        <v>-42632032</v>
      </c>
      <c r="M433" s="128">
        <f t="shared" si="526"/>
        <v>-3562775.15</v>
      </c>
      <c r="N433" s="128">
        <f t="shared" si="526"/>
        <v>-515763.11999999994</v>
      </c>
      <c r="O433" s="128">
        <f t="shared" si="526"/>
        <v>-628079.1</v>
      </c>
      <c r="P433" s="128">
        <f t="shared" si="526"/>
        <v>-373893.79</v>
      </c>
      <c r="Q433" s="128">
        <f t="shared" si="526"/>
        <v>-1596917.7332181961</v>
      </c>
      <c r="R433" s="128">
        <f t="shared" si="526"/>
        <v>-428368.74643115525</v>
      </c>
      <c r="S433" s="128">
        <f t="shared" si="526"/>
        <v>5725020</v>
      </c>
      <c r="T433" s="128">
        <f t="shared" si="526"/>
        <v>21148.080000000002</v>
      </c>
      <c r="U433" s="128">
        <f t="shared" si="526"/>
        <v>4901693.329400029</v>
      </c>
      <c r="V433" s="128">
        <f t="shared" si="526"/>
        <v>-3541349</v>
      </c>
      <c r="W433" s="128">
        <f>W431+W410+W403+W396+W387+W359+W332</f>
        <v>0</v>
      </c>
      <c r="X433" s="128">
        <f t="shared" ref="X433:AD433" si="527">X431+X410+X403+X396+X387+X359+X332</f>
        <v>215408.01999999955</v>
      </c>
      <c r="Y433" s="128">
        <f>Y431+Y410+Y403+Y396+Y387+Y359+Y332</f>
        <v>0</v>
      </c>
      <c r="Z433" s="128">
        <f t="shared" si="527"/>
        <v>241938.96000000002</v>
      </c>
      <c r="AA433" s="128">
        <f t="shared" si="527"/>
        <v>-54803.77</v>
      </c>
      <c r="AB433" s="128">
        <f t="shared" si="527"/>
        <v>116943.45999999996</v>
      </c>
      <c r="AC433" s="128">
        <f t="shared" si="527"/>
        <v>4985006.8612336004</v>
      </c>
      <c r="AD433" s="128">
        <f t="shared" si="527"/>
        <v>-61787</v>
      </c>
      <c r="AE433" s="128">
        <f>AE431+AE410+AE403+AE396+AE387+AE359+AE332</f>
        <v>0</v>
      </c>
      <c r="AF433" s="128">
        <f>AF431+AF410+AF403+AF396+AF387+AF359+AF332</f>
        <v>-3086549</v>
      </c>
      <c r="AG433" s="128">
        <f>AG431+AG410+AG403+AG396+AG387+AG359+AG332</f>
        <v>3130902.8</v>
      </c>
      <c r="AH433" s="128">
        <f t="shared" ref="AH433:AL433" si="528">AH431+AH410+AH403+AH396+AH387+AH359+AH332</f>
        <v>-24171.379999999997</v>
      </c>
      <c r="AI433" s="128">
        <f t="shared" si="528"/>
        <v>0</v>
      </c>
      <c r="AJ433" s="128">
        <f t="shared" si="528"/>
        <v>0</v>
      </c>
      <c r="AK433" s="128">
        <f t="shared" si="528"/>
        <v>0</v>
      </c>
      <c r="AL433" s="128">
        <f t="shared" si="528"/>
        <v>114528.71999999997</v>
      </c>
      <c r="AM433" s="128">
        <f>AM431+AM410+AM403+AM396+AM387+AM359+AM332</f>
        <v>0</v>
      </c>
      <c r="AN433" s="128">
        <f>AN431+AN410+AN403+AN396+AN387+AN359+AN332</f>
        <v>0</v>
      </c>
      <c r="AO433" s="128">
        <f>AO431+AO410+AO403+AO396+AO387+AO359+AO332</f>
        <v>0</v>
      </c>
      <c r="AP433" s="128">
        <f>AP431+AP410+AP403+AP396+AP387+AP359+AP332</f>
        <v>0</v>
      </c>
      <c r="AQ433" s="128">
        <f>AQ431+AQ410+AQ403+AQ396+AQ387+AQ359+AQ332</f>
        <v>1212197.6499999999</v>
      </c>
      <c r="AR433" s="128">
        <f t="shared" ref="AR433" si="529">AR431+AR410+AR403+AR396+AR387+AR359+AR332</f>
        <v>-1689276</v>
      </c>
      <c r="AS433" s="128">
        <f>AS431+AS410+AS403+AS396+AS387+AS359+AS332</f>
        <v>140773</v>
      </c>
      <c r="AT433" s="128">
        <f t="shared" ref="AT433:AV433" si="530">AT431+AT410+AT403+AT396+AT387+AT359+AT332</f>
        <v>0</v>
      </c>
      <c r="AU433" s="128">
        <f t="shared" si="530"/>
        <v>0</v>
      </c>
      <c r="AV433" s="128">
        <f t="shared" si="530"/>
        <v>-6159961.8000000007</v>
      </c>
      <c r="AW433" s="128">
        <f>AW431+AW410+AW403+AW396+AW387+AW359+AW332</f>
        <v>0</v>
      </c>
      <c r="AX433" s="128">
        <f t="shared" ref="AX433:BF433" si="531">AX431+AX410+AX403+AX396+AX387+AX359+AX332</f>
        <v>0</v>
      </c>
      <c r="AY433" s="128">
        <f t="shared" si="531"/>
        <v>0</v>
      </c>
      <c r="AZ433" s="128">
        <f t="shared" si="531"/>
        <v>0</v>
      </c>
      <c r="BA433" s="128">
        <f t="shared" si="531"/>
        <v>0</v>
      </c>
      <c r="BB433" s="128">
        <f t="shared" si="531"/>
        <v>0</v>
      </c>
      <c r="BC433" s="128">
        <f t="shared" si="531"/>
        <v>0</v>
      </c>
      <c r="BD433" s="128">
        <f t="shared" si="531"/>
        <v>0</v>
      </c>
      <c r="BE433" s="128">
        <f t="shared" si="531"/>
        <v>0</v>
      </c>
      <c r="BF433" s="128">
        <f t="shared" si="531"/>
        <v>0</v>
      </c>
    </row>
    <row r="434" spans="1:58" s="89" customFormat="1" ht="14.1" customHeight="1">
      <c r="A434" s="75">
        <f t="shared" si="493"/>
        <v>428</v>
      </c>
      <c r="D434" s="132"/>
      <c r="E434" s="132"/>
      <c r="F434" s="132"/>
      <c r="G434" s="132"/>
      <c r="H434" s="132"/>
      <c r="I434" s="132"/>
      <c r="J434" s="132"/>
      <c r="K434" s="132"/>
      <c r="L434" s="132"/>
      <c r="M434" s="132"/>
      <c r="N434" s="132"/>
      <c r="O434" s="132"/>
      <c r="P434" s="132"/>
      <c r="Q434" s="132"/>
      <c r="R434" s="132"/>
      <c r="S434" s="132"/>
      <c r="T434" s="132"/>
      <c r="U434" s="132"/>
      <c r="V434" s="132"/>
      <c r="W434" s="132"/>
      <c r="X434" s="132"/>
      <c r="Y434" s="132"/>
      <c r="Z434" s="132"/>
      <c r="AA434" s="132"/>
      <c r="AB434" s="132"/>
      <c r="AC434" s="132"/>
      <c r="AD434" s="132"/>
      <c r="AE434" s="132"/>
      <c r="AF434" s="132"/>
      <c r="AG434" s="132"/>
      <c r="AH434" s="132"/>
      <c r="AI434" s="132"/>
      <c r="AJ434" s="132"/>
      <c r="AK434" s="132"/>
      <c r="AL434" s="132"/>
      <c r="AM434" s="132"/>
      <c r="AN434" s="132"/>
      <c r="AO434" s="132"/>
      <c r="AP434" s="132"/>
      <c r="AQ434" s="132"/>
      <c r="AR434" s="132"/>
      <c r="AS434" s="132"/>
      <c r="AT434" s="132"/>
      <c r="AU434" s="132"/>
      <c r="AV434" s="132"/>
      <c r="AW434" s="132"/>
      <c r="AX434" s="132"/>
      <c r="AY434" s="132"/>
      <c r="AZ434" s="132"/>
      <c r="BA434" s="132"/>
      <c r="BB434" s="132"/>
      <c r="BC434" s="132"/>
      <c r="BD434" s="132"/>
      <c r="BE434" s="132"/>
      <c r="BF434" s="132"/>
    </row>
    <row r="435" spans="1:58" s="89" customFormat="1" ht="14.1" customHeight="1">
      <c r="A435" s="75">
        <f t="shared" si="493"/>
        <v>429</v>
      </c>
      <c r="B435" s="108" t="s">
        <v>204</v>
      </c>
      <c r="C435" s="108"/>
      <c r="D435" s="132"/>
      <c r="E435" s="132"/>
      <c r="F435" s="132"/>
      <c r="G435" s="132"/>
      <c r="H435" s="132"/>
      <c r="I435" s="132"/>
      <c r="J435" s="132"/>
      <c r="K435" s="132"/>
      <c r="L435" s="132"/>
      <c r="M435" s="132"/>
      <c r="N435" s="132"/>
      <c r="O435" s="132"/>
      <c r="P435" s="132"/>
      <c r="Q435" s="132"/>
      <c r="R435" s="132"/>
      <c r="S435" s="132"/>
      <c r="T435" s="132"/>
      <c r="U435" s="132"/>
      <c r="V435" s="132"/>
      <c r="W435" s="132"/>
      <c r="X435" s="132"/>
      <c r="Y435" s="132"/>
      <c r="Z435" s="132"/>
      <c r="AA435" s="132"/>
      <c r="AB435" s="132"/>
      <c r="AC435" s="132"/>
      <c r="AD435" s="132"/>
      <c r="AE435" s="132"/>
      <c r="AF435" s="132"/>
      <c r="AG435" s="132"/>
      <c r="AH435" s="132"/>
      <c r="AI435" s="132"/>
      <c r="AJ435" s="132"/>
      <c r="AK435" s="132"/>
      <c r="AL435" s="132"/>
      <c r="AM435" s="132"/>
      <c r="AN435" s="132"/>
      <c r="AO435" s="132"/>
      <c r="AP435" s="132"/>
      <c r="AQ435" s="132"/>
      <c r="AR435" s="132"/>
      <c r="AS435" s="132"/>
      <c r="AT435" s="132"/>
      <c r="AU435" s="132"/>
      <c r="AV435" s="132"/>
      <c r="AW435" s="132"/>
      <c r="AX435" s="132"/>
      <c r="AY435" s="132"/>
      <c r="AZ435" s="132"/>
      <c r="BA435" s="132"/>
      <c r="BB435" s="132"/>
      <c r="BC435" s="132"/>
      <c r="BD435" s="132"/>
      <c r="BE435" s="132"/>
      <c r="BF435" s="132"/>
    </row>
    <row r="436" spans="1:58" s="89" customFormat="1" ht="14.1" customHeight="1">
      <c r="A436" s="75">
        <f t="shared" si="493"/>
        <v>430</v>
      </c>
      <c r="B436" s="76" t="s">
        <v>785</v>
      </c>
      <c r="C436" s="80">
        <f>SUM(D436:BF436)</f>
        <v>0</v>
      </c>
      <c r="D436" s="87"/>
      <c r="E436" s="87"/>
      <c r="F436" s="87"/>
      <c r="G436" s="87"/>
      <c r="H436" s="87"/>
      <c r="I436" s="87"/>
      <c r="J436" s="80"/>
      <c r="K436" s="87"/>
      <c r="L436" s="87"/>
      <c r="M436" s="87"/>
      <c r="N436" s="132"/>
      <c r="O436" s="80"/>
      <c r="P436" s="80"/>
      <c r="Q436" s="132"/>
      <c r="R436" s="87"/>
      <c r="S436" s="87"/>
      <c r="T436" s="87"/>
      <c r="U436" s="87"/>
      <c r="V436" s="87"/>
      <c r="W436" s="132"/>
      <c r="X436" s="87"/>
      <c r="Y436" s="80"/>
      <c r="Z436" s="87"/>
      <c r="AA436" s="87"/>
      <c r="AB436" s="87"/>
      <c r="AC436" s="132"/>
      <c r="AD436" s="87"/>
      <c r="AE436" s="87"/>
      <c r="AF436" s="87"/>
      <c r="AG436" s="87"/>
      <c r="AH436" s="80"/>
      <c r="AI436" s="87"/>
      <c r="AJ436" s="87"/>
      <c r="AK436" s="87"/>
      <c r="AL436" s="80"/>
      <c r="AM436" s="87"/>
      <c r="AN436" s="87"/>
      <c r="AO436" s="87"/>
      <c r="AP436" s="87"/>
      <c r="AQ436" s="87"/>
      <c r="AR436" s="87"/>
      <c r="AS436" s="87"/>
      <c r="AT436" s="87"/>
      <c r="AU436" s="87"/>
      <c r="AV436" s="87"/>
      <c r="AW436" s="87"/>
      <c r="AX436" s="87"/>
      <c r="AY436" s="87"/>
      <c r="AZ436" s="87"/>
      <c r="BA436" s="87"/>
      <c r="BB436" s="87"/>
      <c r="BC436" s="80"/>
      <c r="BD436" s="87"/>
      <c r="BE436" s="87"/>
      <c r="BF436" s="87"/>
    </row>
    <row r="437" spans="1:58" s="89" customFormat="1" ht="14.1" customHeight="1">
      <c r="A437" s="75">
        <f t="shared" si="493"/>
        <v>431</v>
      </c>
      <c r="B437" s="76" t="s">
        <v>786</v>
      </c>
      <c r="C437" s="80">
        <f>SUM(D437:BF437)</f>
        <v>0</v>
      </c>
      <c r="D437" s="80"/>
      <c r="E437" s="80"/>
      <c r="F437" s="80"/>
      <c r="G437" s="80"/>
      <c r="H437" s="80"/>
      <c r="I437" s="80"/>
      <c r="J437" s="80"/>
      <c r="K437" s="80"/>
      <c r="L437" s="80"/>
      <c r="M437" s="80"/>
      <c r="N437" s="80"/>
      <c r="O437" s="80"/>
      <c r="P437" s="80"/>
      <c r="Q437" s="80"/>
      <c r="R437" s="80"/>
      <c r="S437" s="80"/>
      <c r="T437" s="80"/>
      <c r="U437" s="80"/>
      <c r="V437" s="80"/>
      <c r="W437" s="80"/>
      <c r="X437" s="80"/>
      <c r="Y437" s="80"/>
      <c r="Z437" s="80"/>
      <c r="AA437" s="80"/>
      <c r="AB437" s="80"/>
      <c r="AC437" s="80"/>
      <c r="AD437" s="80"/>
      <c r="AE437" s="80"/>
      <c r="AF437" s="80"/>
      <c r="AG437" s="80"/>
      <c r="AH437" s="80"/>
      <c r="AI437" s="80"/>
      <c r="AJ437" s="80"/>
      <c r="AK437" s="80"/>
      <c r="AL437" s="80"/>
      <c r="AM437" s="80"/>
      <c r="AN437" s="80"/>
      <c r="AO437" s="80"/>
      <c r="AP437" s="80"/>
      <c r="AQ437" s="80"/>
      <c r="AR437" s="80"/>
      <c r="AS437" s="80"/>
      <c r="AT437" s="80"/>
      <c r="AU437" s="80"/>
      <c r="AV437" s="80"/>
      <c r="AW437" s="80"/>
      <c r="AX437" s="80"/>
      <c r="AY437" s="80"/>
      <c r="AZ437" s="80"/>
      <c r="BA437" s="80"/>
      <c r="BB437" s="80"/>
      <c r="BC437" s="80"/>
      <c r="BD437" s="80"/>
      <c r="BE437" s="80"/>
      <c r="BF437" s="80"/>
    </row>
    <row r="438" spans="1:58" s="89" customFormat="1" ht="14.1" customHeight="1">
      <c r="A438" s="75">
        <f t="shared" si="493"/>
        <v>432</v>
      </c>
      <c r="B438" s="76" t="s">
        <v>550</v>
      </c>
      <c r="C438" s="80">
        <f>SUM(D438:BF438)</f>
        <v>0</v>
      </c>
      <c r="D438" s="87"/>
      <c r="E438" s="87"/>
      <c r="F438" s="87"/>
      <c r="G438" s="87"/>
      <c r="H438" s="87"/>
      <c r="I438" s="87"/>
      <c r="J438" s="80"/>
      <c r="K438" s="87"/>
      <c r="L438" s="87"/>
      <c r="M438" s="87"/>
      <c r="N438" s="87"/>
      <c r="O438" s="80"/>
      <c r="P438" s="80"/>
      <c r="Q438" s="87"/>
      <c r="R438" s="87"/>
      <c r="S438" s="132"/>
      <c r="T438" s="87"/>
      <c r="U438" s="87"/>
      <c r="V438" s="87"/>
      <c r="W438" s="80"/>
      <c r="X438" s="132"/>
      <c r="Y438" s="80"/>
      <c r="Z438" s="87"/>
      <c r="AA438" s="87"/>
      <c r="AB438" s="132"/>
      <c r="AC438" s="87"/>
      <c r="AD438" s="87"/>
      <c r="AE438" s="87"/>
      <c r="AF438" s="87"/>
      <c r="AG438" s="87"/>
      <c r="AH438" s="80"/>
      <c r="AI438" s="87"/>
      <c r="AJ438" s="87"/>
      <c r="AK438" s="87"/>
      <c r="AL438" s="80"/>
      <c r="AM438" s="87"/>
      <c r="AN438" s="87"/>
      <c r="AO438" s="87"/>
      <c r="AP438" s="87"/>
      <c r="AQ438" s="87"/>
      <c r="AR438" s="87"/>
      <c r="AS438" s="87"/>
      <c r="AT438" s="87"/>
      <c r="AU438" s="87"/>
      <c r="AV438" s="87"/>
      <c r="AW438" s="87"/>
      <c r="AX438" s="87"/>
      <c r="AY438" s="87"/>
      <c r="AZ438" s="87"/>
      <c r="BA438" s="87"/>
      <c r="BB438" s="87"/>
      <c r="BC438" s="87"/>
      <c r="BD438" s="87"/>
      <c r="BE438" s="87"/>
      <c r="BF438" s="87"/>
    </row>
    <row r="439" spans="1:58" s="89" customFormat="1" ht="14.1" customHeight="1">
      <c r="A439" s="75">
        <f t="shared" si="493"/>
        <v>433</v>
      </c>
      <c r="B439" s="76" t="s">
        <v>620</v>
      </c>
      <c r="C439" s="80">
        <f>SUM(D439:BF439)</f>
        <v>0</v>
      </c>
      <c r="D439" s="87"/>
      <c r="E439" s="87"/>
      <c r="F439" s="87"/>
      <c r="G439" s="87"/>
      <c r="H439" s="87"/>
      <c r="I439" s="87"/>
      <c r="J439" s="80"/>
      <c r="K439" s="87"/>
      <c r="L439" s="87"/>
      <c r="M439" s="87"/>
      <c r="N439" s="87"/>
      <c r="O439" s="80"/>
      <c r="P439" s="80"/>
      <c r="Q439" s="87"/>
      <c r="R439" s="87"/>
      <c r="S439" s="87"/>
      <c r="T439" s="87"/>
      <c r="U439" s="87"/>
      <c r="V439" s="87"/>
      <c r="W439" s="80"/>
      <c r="X439" s="87"/>
      <c r="Y439" s="80"/>
      <c r="Z439" s="87"/>
      <c r="AA439" s="87"/>
      <c r="AB439" s="87"/>
      <c r="AC439" s="87"/>
      <c r="AD439" s="87"/>
      <c r="AE439" s="87"/>
      <c r="AF439" s="87"/>
      <c r="AG439" s="87"/>
      <c r="AH439" s="80"/>
      <c r="AI439" s="87"/>
      <c r="AJ439" s="87"/>
      <c r="AK439" s="87"/>
      <c r="AL439" s="80"/>
      <c r="AM439" s="87"/>
      <c r="AN439" s="87"/>
      <c r="AO439" s="87"/>
      <c r="AP439" s="87"/>
      <c r="AQ439" s="87"/>
      <c r="AR439" s="87"/>
      <c r="AS439" s="87"/>
      <c r="AT439" s="87"/>
      <c r="AU439" s="87"/>
      <c r="AV439" s="87"/>
      <c r="AW439" s="87"/>
      <c r="AX439" s="87"/>
      <c r="AY439" s="87"/>
      <c r="AZ439" s="87"/>
      <c r="BA439" s="87"/>
      <c r="BB439" s="87"/>
      <c r="BC439" s="87"/>
      <c r="BD439" s="87"/>
      <c r="BE439" s="87"/>
      <c r="BF439" s="87"/>
    </row>
    <row r="440" spans="1:58" s="89" customFormat="1" ht="14.1" customHeight="1">
      <c r="A440" s="75">
        <f t="shared" si="493"/>
        <v>434</v>
      </c>
      <c r="B440" s="90" t="s">
        <v>787</v>
      </c>
      <c r="C440" s="80">
        <f>SUM(D440:BF440)</f>
        <v>0</v>
      </c>
      <c r="D440" s="92"/>
      <c r="E440" s="92"/>
      <c r="F440" s="92"/>
      <c r="G440" s="92"/>
      <c r="H440" s="92"/>
      <c r="I440" s="92"/>
      <c r="J440" s="91"/>
      <c r="K440" s="92"/>
      <c r="L440" s="92"/>
      <c r="M440" s="92"/>
      <c r="N440" s="87"/>
      <c r="O440" s="80"/>
      <c r="P440" s="91"/>
      <c r="Q440" s="87"/>
      <c r="R440" s="92"/>
      <c r="S440" s="87"/>
      <c r="T440" s="92"/>
      <c r="U440" s="92"/>
      <c r="V440" s="92"/>
      <c r="W440" s="80"/>
      <c r="X440" s="87"/>
      <c r="Y440" s="91"/>
      <c r="Z440" s="133"/>
      <c r="AA440" s="133"/>
      <c r="AB440" s="87"/>
      <c r="AC440" s="87"/>
      <c r="AD440" s="133"/>
      <c r="AE440" s="92"/>
      <c r="AF440" s="133"/>
      <c r="AG440" s="92"/>
      <c r="AH440" s="91"/>
      <c r="AI440" s="92"/>
      <c r="AJ440" s="92"/>
      <c r="AK440" s="92"/>
      <c r="AL440" s="91"/>
      <c r="AM440" s="92"/>
      <c r="AN440" s="92"/>
      <c r="AO440" s="92"/>
      <c r="AP440" s="92"/>
      <c r="AQ440" s="92"/>
      <c r="AR440" s="92"/>
      <c r="AS440" s="92"/>
      <c r="AT440" s="92"/>
      <c r="AU440" s="92"/>
      <c r="AV440" s="92"/>
      <c r="AW440" s="92"/>
      <c r="AX440" s="92"/>
      <c r="AY440" s="92"/>
      <c r="AZ440" s="92"/>
      <c r="BA440" s="92"/>
      <c r="BB440" s="92"/>
      <c r="BC440" s="92"/>
      <c r="BD440" s="92"/>
      <c r="BE440" s="92"/>
      <c r="BF440" s="92"/>
    </row>
    <row r="441" spans="1:58" s="89" customFormat="1" ht="14.1" customHeight="1">
      <c r="A441" s="75">
        <f t="shared" si="493"/>
        <v>435</v>
      </c>
      <c r="B441" s="134" t="s">
        <v>622</v>
      </c>
      <c r="C441" s="135">
        <f t="shared" ref="C441:V441" si="532">SUM(C436:C440)</f>
        <v>0</v>
      </c>
      <c r="D441" s="92">
        <f t="shared" si="532"/>
        <v>0</v>
      </c>
      <c r="E441" s="92">
        <f t="shared" si="532"/>
        <v>0</v>
      </c>
      <c r="F441" s="92">
        <f t="shared" si="532"/>
        <v>0</v>
      </c>
      <c r="G441" s="92">
        <f t="shared" si="532"/>
        <v>0</v>
      </c>
      <c r="H441" s="92">
        <f t="shared" si="532"/>
        <v>0</v>
      </c>
      <c r="I441" s="92">
        <f t="shared" si="532"/>
        <v>0</v>
      </c>
      <c r="J441" s="136">
        <f t="shared" si="532"/>
        <v>0</v>
      </c>
      <c r="K441" s="92">
        <f t="shared" si="532"/>
        <v>0</v>
      </c>
      <c r="L441" s="137">
        <f t="shared" si="532"/>
        <v>0</v>
      </c>
      <c r="M441" s="92">
        <f t="shared" si="532"/>
        <v>0</v>
      </c>
      <c r="N441" s="135">
        <f t="shared" si="532"/>
        <v>0</v>
      </c>
      <c r="O441" s="135">
        <f t="shared" si="532"/>
        <v>0</v>
      </c>
      <c r="P441" s="91">
        <f t="shared" si="532"/>
        <v>0</v>
      </c>
      <c r="Q441" s="135">
        <f t="shared" si="532"/>
        <v>0</v>
      </c>
      <c r="R441" s="92">
        <f t="shared" si="532"/>
        <v>0</v>
      </c>
      <c r="S441" s="135">
        <f t="shared" si="532"/>
        <v>0</v>
      </c>
      <c r="T441" s="92">
        <f t="shared" si="532"/>
        <v>0</v>
      </c>
      <c r="U441" s="92">
        <f t="shared" si="532"/>
        <v>0</v>
      </c>
      <c r="V441" s="92">
        <f t="shared" si="532"/>
        <v>0</v>
      </c>
      <c r="W441" s="135">
        <f>SUM(W436:W440)</f>
        <v>0</v>
      </c>
      <c r="X441" s="135">
        <f t="shared" ref="X441:AD441" si="533">SUM(X436:X440)</f>
        <v>0</v>
      </c>
      <c r="Y441" s="91">
        <f>SUM(Y436:Y440)</f>
        <v>0</v>
      </c>
      <c r="Z441" s="135">
        <f t="shared" si="533"/>
        <v>0</v>
      </c>
      <c r="AA441" s="135">
        <f t="shared" si="533"/>
        <v>0</v>
      </c>
      <c r="AB441" s="135">
        <f t="shared" si="533"/>
        <v>0</v>
      </c>
      <c r="AC441" s="135">
        <f t="shared" si="533"/>
        <v>0</v>
      </c>
      <c r="AD441" s="135">
        <f t="shared" si="533"/>
        <v>0</v>
      </c>
      <c r="AE441" s="92">
        <f>SUM(AE436:AE440)</f>
        <v>0</v>
      </c>
      <c r="AF441" s="135">
        <f>SUM(AF436:AF440)</f>
        <v>0</v>
      </c>
      <c r="AG441" s="92">
        <f>SUM(AG436:AG440)</f>
        <v>0</v>
      </c>
      <c r="AH441" s="91">
        <f t="shared" ref="AH441:AL441" si="534">SUM(AH436:AH440)</f>
        <v>0</v>
      </c>
      <c r="AI441" s="92">
        <f t="shared" si="534"/>
        <v>0</v>
      </c>
      <c r="AJ441" s="92">
        <f t="shared" si="534"/>
        <v>0</v>
      </c>
      <c r="AK441" s="92">
        <f t="shared" si="534"/>
        <v>0</v>
      </c>
      <c r="AL441" s="91">
        <f t="shared" si="534"/>
        <v>0</v>
      </c>
      <c r="AM441" s="137">
        <f>SUM(AM436:AM440)</f>
        <v>0</v>
      </c>
      <c r="AN441" s="137">
        <f>SUM(AN436:AN440)</f>
        <v>0</v>
      </c>
      <c r="AO441" s="92">
        <f>SUM(AO436:AO440)</f>
        <v>0</v>
      </c>
      <c r="AP441" s="92">
        <f>SUM(AP436:AP440)</f>
        <v>0</v>
      </c>
      <c r="AQ441" s="92">
        <f>SUM(AQ436:AQ440)</f>
        <v>0</v>
      </c>
      <c r="AR441" s="92">
        <f t="shared" ref="AR441" si="535">SUM(AR436:AR440)</f>
        <v>0</v>
      </c>
      <c r="AS441" s="92">
        <f>SUM(AS436:AS440)</f>
        <v>0</v>
      </c>
      <c r="AT441" s="92">
        <f t="shared" ref="AT441:AV441" si="536">SUM(AT436:AT440)</f>
        <v>0</v>
      </c>
      <c r="AU441" s="92">
        <f t="shared" si="536"/>
        <v>0</v>
      </c>
      <c r="AV441" s="92">
        <f t="shared" si="536"/>
        <v>0</v>
      </c>
      <c r="AW441" s="92">
        <f>SUM(AW436:AW440)</f>
        <v>0</v>
      </c>
      <c r="AX441" s="92">
        <f t="shared" ref="AX441" si="537">SUM(AX436:AX440)</f>
        <v>0</v>
      </c>
      <c r="AY441" s="92">
        <f>SUM(AY436:AY440)</f>
        <v>0</v>
      </c>
      <c r="AZ441" s="92">
        <f>SUM(AZ436:AZ440)</f>
        <v>0</v>
      </c>
      <c r="BA441" s="92">
        <f>SUM(BA436:BA440)</f>
        <v>0</v>
      </c>
      <c r="BB441" s="92">
        <f>SUM(BB436:BB440)</f>
        <v>0</v>
      </c>
      <c r="BC441" s="92">
        <v>-60772164.879299641</v>
      </c>
      <c r="BD441" s="92">
        <f>SUM(BD436:BD440)</f>
        <v>0</v>
      </c>
      <c r="BE441" s="92">
        <f>SUM(BE436:BE440)</f>
        <v>0</v>
      </c>
      <c r="BF441" s="92">
        <f t="shared" ref="BF441" si="538">SUM(BF436:BF440)</f>
        <v>0</v>
      </c>
    </row>
    <row r="442" spans="1:58" s="89" customFormat="1" ht="14.1" customHeight="1" thickBot="1">
      <c r="A442" s="75">
        <f t="shared" si="493"/>
        <v>436</v>
      </c>
      <c r="B442" s="138" t="s">
        <v>623</v>
      </c>
      <c r="C442" s="139">
        <f t="shared" ref="C442:AU442" si="539">C441</f>
        <v>0</v>
      </c>
      <c r="D442" s="139">
        <f t="shared" si="539"/>
        <v>0</v>
      </c>
      <c r="E442" s="139">
        <f t="shared" si="539"/>
        <v>0</v>
      </c>
      <c r="F442" s="139">
        <f t="shared" si="539"/>
        <v>0</v>
      </c>
      <c r="G442" s="139">
        <f t="shared" si="539"/>
        <v>0</v>
      </c>
      <c r="H442" s="139">
        <f t="shared" si="539"/>
        <v>0</v>
      </c>
      <c r="I442" s="139">
        <f t="shared" si="539"/>
        <v>0</v>
      </c>
      <c r="J442" s="139">
        <f t="shared" si="539"/>
        <v>0</v>
      </c>
      <c r="K442" s="139">
        <f t="shared" si="539"/>
        <v>0</v>
      </c>
      <c r="L442" s="139">
        <f t="shared" si="539"/>
        <v>0</v>
      </c>
      <c r="M442" s="139">
        <f t="shared" si="539"/>
        <v>0</v>
      </c>
      <c r="N442" s="139">
        <f t="shared" si="539"/>
        <v>0</v>
      </c>
      <c r="O442" s="139">
        <f t="shared" si="539"/>
        <v>0</v>
      </c>
      <c r="P442" s="139">
        <f t="shared" si="539"/>
        <v>0</v>
      </c>
      <c r="Q442" s="139">
        <f t="shared" si="539"/>
        <v>0</v>
      </c>
      <c r="R442" s="139">
        <f t="shared" si="539"/>
        <v>0</v>
      </c>
      <c r="S442" s="139">
        <f t="shared" si="539"/>
        <v>0</v>
      </c>
      <c r="T442" s="139">
        <f t="shared" si="539"/>
        <v>0</v>
      </c>
      <c r="U442" s="139">
        <f t="shared" si="539"/>
        <v>0</v>
      </c>
      <c r="V442" s="139">
        <f t="shared" si="539"/>
        <v>0</v>
      </c>
      <c r="W442" s="139">
        <f t="shared" si="539"/>
        <v>0</v>
      </c>
      <c r="X442" s="139">
        <f t="shared" si="539"/>
        <v>0</v>
      </c>
      <c r="Y442" s="139">
        <f t="shared" si="539"/>
        <v>0</v>
      </c>
      <c r="Z442" s="139">
        <f t="shared" si="539"/>
        <v>0</v>
      </c>
      <c r="AA442" s="139">
        <f t="shared" si="539"/>
        <v>0</v>
      </c>
      <c r="AB442" s="139">
        <f t="shared" si="539"/>
        <v>0</v>
      </c>
      <c r="AC442" s="139">
        <f t="shared" si="539"/>
        <v>0</v>
      </c>
      <c r="AD442" s="139">
        <f t="shared" si="539"/>
        <v>0</v>
      </c>
      <c r="AE442" s="139">
        <f t="shared" si="539"/>
        <v>0</v>
      </c>
      <c r="AF442" s="139">
        <f t="shared" si="539"/>
        <v>0</v>
      </c>
      <c r="AG442" s="139">
        <f t="shared" si="539"/>
        <v>0</v>
      </c>
      <c r="AH442" s="139">
        <f t="shared" si="539"/>
        <v>0</v>
      </c>
      <c r="AI442" s="139">
        <f t="shared" si="539"/>
        <v>0</v>
      </c>
      <c r="AJ442" s="139">
        <f t="shared" si="539"/>
        <v>0</v>
      </c>
      <c r="AK442" s="139">
        <f t="shared" si="539"/>
        <v>0</v>
      </c>
      <c r="AL442" s="139">
        <f t="shared" si="539"/>
        <v>0</v>
      </c>
      <c r="AM442" s="139">
        <f t="shared" si="539"/>
        <v>0</v>
      </c>
      <c r="AN442" s="139">
        <f t="shared" si="539"/>
        <v>0</v>
      </c>
      <c r="AO442" s="139">
        <f t="shared" si="539"/>
        <v>0</v>
      </c>
      <c r="AP442" s="139">
        <f t="shared" si="539"/>
        <v>0</v>
      </c>
      <c r="AQ442" s="139">
        <f t="shared" si="539"/>
        <v>0</v>
      </c>
      <c r="AR442" s="139">
        <f t="shared" si="539"/>
        <v>0</v>
      </c>
      <c r="AS442" s="139">
        <f t="shared" si="539"/>
        <v>0</v>
      </c>
      <c r="AT442" s="139">
        <f t="shared" si="539"/>
        <v>0</v>
      </c>
      <c r="AU442" s="139">
        <f t="shared" si="539"/>
        <v>0</v>
      </c>
      <c r="AV442" s="139">
        <f>AV441</f>
        <v>0</v>
      </c>
      <c r="AW442" s="139">
        <f>AW441</f>
        <v>0</v>
      </c>
      <c r="AX442" s="139">
        <f t="shared" ref="AX442:BE442" si="540">AX441</f>
        <v>0</v>
      </c>
      <c r="AY442" s="139">
        <f t="shared" si="540"/>
        <v>0</v>
      </c>
      <c r="AZ442" s="139">
        <f t="shared" si="540"/>
        <v>0</v>
      </c>
      <c r="BA442" s="139">
        <f t="shared" si="540"/>
        <v>0</v>
      </c>
      <c r="BB442" s="139">
        <f t="shared" si="540"/>
        <v>0</v>
      </c>
      <c r="BC442" s="139">
        <f t="shared" si="540"/>
        <v>-60772164.879299641</v>
      </c>
      <c r="BD442" s="139">
        <f t="shared" si="540"/>
        <v>0</v>
      </c>
      <c r="BE442" s="139">
        <f t="shared" si="540"/>
        <v>0</v>
      </c>
      <c r="BF442" s="139">
        <f>BF441</f>
        <v>0</v>
      </c>
    </row>
    <row r="443" spans="1:58" s="89" customFormat="1" ht="14.1" customHeight="1" thickTop="1">
      <c r="A443" s="75">
        <f t="shared" si="493"/>
        <v>437</v>
      </c>
      <c r="D443" s="132"/>
      <c r="E443" s="132"/>
      <c r="F443" s="132"/>
      <c r="G443" s="132"/>
      <c r="H443" s="132"/>
      <c r="I443" s="132"/>
      <c r="J443" s="132"/>
      <c r="K443" s="132"/>
      <c r="L443" s="132"/>
      <c r="M443" s="132"/>
      <c r="N443" s="132"/>
      <c r="O443" s="132"/>
      <c r="P443" s="132"/>
      <c r="Q443" s="132"/>
      <c r="R443" s="132"/>
      <c r="S443" s="132"/>
      <c r="T443" s="132"/>
      <c r="U443" s="132"/>
      <c r="V443" s="132"/>
      <c r="W443" s="132"/>
      <c r="X443" s="132"/>
      <c r="Y443" s="132"/>
      <c r="Z443" s="132"/>
      <c r="AA443" s="132"/>
      <c r="AB443" s="132"/>
      <c r="AC443" s="132"/>
      <c r="AD443" s="132"/>
      <c r="AE443" s="132"/>
      <c r="AF443" s="132"/>
      <c r="AG443" s="132"/>
      <c r="AH443" s="132"/>
      <c r="AI443" s="132"/>
      <c r="AJ443" s="132"/>
      <c r="AK443" s="132"/>
      <c r="AL443" s="132"/>
      <c r="AM443" s="132"/>
      <c r="AN443" s="132"/>
      <c r="AO443" s="132"/>
      <c r="AP443" s="132"/>
      <c r="AQ443" s="132"/>
      <c r="AR443" s="132"/>
      <c r="AS443" s="132"/>
      <c r="AT443" s="132"/>
      <c r="AU443" s="132"/>
      <c r="AV443" s="132"/>
      <c r="AW443" s="132"/>
      <c r="AX443" s="132"/>
      <c r="AY443" s="132"/>
      <c r="AZ443" s="132"/>
      <c r="BA443" s="132"/>
      <c r="BB443" s="132"/>
      <c r="BC443" s="132"/>
      <c r="BD443" s="132"/>
      <c r="BE443" s="132"/>
      <c r="BF443" s="132"/>
    </row>
    <row r="444" spans="1:58" ht="14.1" customHeight="1">
      <c r="A444" s="75">
        <f t="shared" si="493"/>
        <v>438</v>
      </c>
      <c r="B444" s="81" t="s">
        <v>624</v>
      </c>
      <c r="C444" s="123"/>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c r="AE444" s="87"/>
      <c r="AF444" s="87"/>
      <c r="AG444" s="87"/>
      <c r="AH444" s="87"/>
      <c r="AI444" s="87"/>
      <c r="AJ444" s="87"/>
      <c r="AK444" s="87"/>
      <c r="AL444" s="87"/>
      <c r="AM444" s="87"/>
      <c r="AN444" s="87"/>
      <c r="AO444" s="87"/>
      <c r="AP444" s="87"/>
      <c r="AQ444" s="87"/>
      <c r="AR444" s="87"/>
      <c r="AS444" s="87"/>
      <c r="AT444" s="87"/>
      <c r="AU444" s="87"/>
      <c r="AV444" s="87"/>
      <c r="AW444" s="87"/>
      <c r="AX444" s="87"/>
      <c r="AY444" s="87"/>
      <c r="AZ444" s="87"/>
      <c r="BA444" s="87"/>
      <c r="BB444" s="87"/>
      <c r="BC444" s="87"/>
      <c r="BD444" s="87"/>
      <c r="BE444" s="87"/>
      <c r="BF444" s="87"/>
    </row>
    <row r="445" spans="1:58" ht="14.1" customHeight="1">
      <c r="A445" s="75">
        <f t="shared" si="493"/>
        <v>439</v>
      </c>
      <c r="B445" s="76" t="s">
        <v>788</v>
      </c>
      <c r="C445" s="80">
        <f>SUM(D445:BF445)</f>
        <v>-12420976.887533</v>
      </c>
      <c r="D445" s="87">
        <v>0</v>
      </c>
      <c r="E445" s="87">
        <v>0</v>
      </c>
      <c r="F445" s="87">
        <v>0</v>
      </c>
      <c r="G445" s="87">
        <v>0</v>
      </c>
      <c r="H445" s="87">
        <v>0</v>
      </c>
      <c r="I445" s="87">
        <v>0</v>
      </c>
      <c r="J445" s="87">
        <v>0</v>
      </c>
      <c r="K445" s="87">
        <v>1980517.1109499999</v>
      </c>
      <c r="L445" s="87">
        <v>0</v>
      </c>
      <c r="M445" s="87">
        <v>0</v>
      </c>
      <c r="N445" s="87">
        <v>0</v>
      </c>
      <c r="O445" s="87">
        <v>0</v>
      </c>
      <c r="P445" s="87">
        <v>0</v>
      </c>
      <c r="Q445" s="87">
        <v>0</v>
      </c>
      <c r="R445" s="87">
        <v>0</v>
      </c>
      <c r="S445" s="87">
        <v>0</v>
      </c>
      <c r="T445" s="87">
        <v>0</v>
      </c>
      <c r="U445" s="87">
        <v>545588.3599999994</v>
      </c>
      <c r="V445" s="87">
        <v>-9355669</v>
      </c>
      <c r="W445" s="87">
        <v>0</v>
      </c>
      <c r="X445" s="87">
        <v>0</v>
      </c>
      <c r="Y445" s="87">
        <v>0</v>
      </c>
      <c r="Z445" s="87">
        <v>0</v>
      </c>
      <c r="AA445" s="87">
        <v>0</v>
      </c>
      <c r="AB445" s="87">
        <v>0</v>
      </c>
      <c r="AC445" s="87">
        <v>0</v>
      </c>
      <c r="AD445" s="87">
        <v>0</v>
      </c>
      <c r="AE445" s="87">
        <v>465475.20400000003</v>
      </c>
      <c r="AF445" s="87">
        <v>0</v>
      </c>
      <c r="AG445" s="87">
        <v>0</v>
      </c>
      <c r="AH445" s="87">
        <v>0</v>
      </c>
      <c r="AI445" s="87">
        <v>716286</v>
      </c>
      <c r="AJ445" s="87">
        <v>113368.78</v>
      </c>
      <c r="AK445" s="87">
        <v>0</v>
      </c>
      <c r="AL445" s="87">
        <v>0</v>
      </c>
      <c r="AM445" s="87">
        <v>0</v>
      </c>
      <c r="AN445" s="87">
        <v>0</v>
      </c>
      <c r="AO445" s="87">
        <v>0</v>
      </c>
      <c r="AP445" s="87">
        <v>0</v>
      </c>
      <c r="AQ445" s="87">
        <v>0</v>
      </c>
      <c r="AR445" s="87">
        <v>0</v>
      </c>
      <c r="AS445" s="87">
        <v>0</v>
      </c>
      <c r="AT445" s="87">
        <v>1539352.6410000003</v>
      </c>
      <c r="AU445" s="87">
        <v>-8425895.9834829997</v>
      </c>
      <c r="AV445" s="87">
        <v>0</v>
      </c>
      <c r="AW445" s="87">
        <v>908654.05761199992</v>
      </c>
      <c r="AX445" s="87">
        <v>-908654.05761199992</v>
      </c>
      <c r="AY445" s="87">
        <v>0</v>
      </c>
      <c r="AZ445" s="87">
        <v>0</v>
      </c>
      <c r="BA445" s="87">
        <v>0</v>
      </c>
      <c r="BB445" s="87">
        <v>0</v>
      </c>
      <c r="BC445" s="87">
        <v>0</v>
      </c>
      <c r="BD445" s="87">
        <v>0</v>
      </c>
      <c r="BE445" s="87">
        <v>0</v>
      </c>
      <c r="BF445" s="87">
        <v>0</v>
      </c>
    </row>
    <row r="446" spans="1:58" ht="14.1" customHeight="1">
      <c r="A446" s="75">
        <f t="shared" si="493"/>
        <v>440</v>
      </c>
      <c r="B446" s="76" t="s">
        <v>625</v>
      </c>
      <c r="C446" s="80">
        <f>SUM(D446:BF446)</f>
        <v>-1216149.6064000004</v>
      </c>
      <c r="D446" s="87">
        <v>0</v>
      </c>
      <c r="E446" s="87">
        <v>0</v>
      </c>
      <c r="F446" s="87">
        <v>0</v>
      </c>
      <c r="G446" s="87">
        <v>0</v>
      </c>
      <c r="H446" s="87">
        <v>0</v>
      </c>
      <c r="I446" s="87">
        <v>0</v>
      </c>
      <c r="J446" s="87">
        <v>0</v>
      </c>
      <c r="K446" s="87">
        <v>0</v>
      </c>
      <c r="L446" s="87">
        <v>0</v>
      </c>
      <c r="M446" s="87">
        <v>0</v>
      </c>
      <c r="N446" s="87">
        <v>0</v>
      </c>
      <c r="O446" s="87">
        <v>0</v>
      </c>
      <c r="P446" s="87">
        <v>0</v>
      </c>
      <c r="Q446" s="87">
        <v>0</v>
      </c>
      <c r="R446" s="87">
        <v>0</v>
      </c>
      <c r="S446" s="87">
        <v>0</v>
      </c>
      <c r="T446" s="87">
        <v>0</v>
      </c>
      <c r="U446" s="87">
        <v>376194.01999999955</v>
      </c>
      <c r="V446" s="87">
        <v>0</v>
      </c>
      <c r="W446" s="87">
        <v>0</v>
      </c>
      <c r="X446" s="87">
        <v>0</v>
      </c>
      <c r="Y446" s="87">
        <v>0</v>
      </c>
      <c r="Z446" s="87">
        <v>0</v>
      </c>
      <c r="AA446" s="87">
        <v>0</v>
      </c>
      <c r="AB446" s="87">
        <v>0</v>
      </c>
      <c r="AC446" s="87">
        <v>0</v>
      </c>
      <c r="AD446" s="87">
        <v>0</v>
      </c>
      <c r="AE446" s="87">
        <v>0</v>
      </c>
      <c r="AF446" s="87">
        <v>0</v>
      </c>
      <c r="AG446" s="87">
        <v>0</v>
      </c>
      <c r="AH446" s="87">
        <v>0</v>
      </c>
      <c r="AI446" s="87">
        <v>1792005</v>
      </c>
      <c r="AJ446" s="87">
        <v>0</v>
      </c>
      <c r="AK446" s="87">
        <v>0</v>
      </c>
      <c r="AL446" s="87">
        <v>0</v>
      </c>
      <c r="AM446" s="87">
        <v>0</v>
      </c>
      <c r="AN446" s="87">
        <v>0</v>
      </c>
      <c r="AO446" s="87">
        <v>0</v>
      </c>
      <c r="AP446" s="87">
        <v>0</v>
      </c>
      <c r="AQ446" s="87">
        <v>0</v>
      </c>
      <c r="AR446" s="87">
        <v>0</v>
      </c>
      <c r="AS446" s="87">
        <v>0</v>
      </c>
      <c r="AT446" s="87">
        <v>-3384348.6264</v>
      </c>
      <c r="AU446" s="87">
        <v>0</v>
      </c>
      <c r="AV446" s="87">
        <v>0</v>
      </c>
      <c r="AW446" s="87">
        <v>0</v>
      </c>
      <c r="AX446" s="87">
        <v>0</v>
      </c>
      <c r="AY446" s="87">
        <v>0</v>
      </c>
      <c r="AZ446" s="87">
        <v>0</v>
      </c>
      <c r="BA446" s="87">
        <v>0</v>
      </c>
      <c r="BB446" s="87">
        <v>0</v>
      </c>
      <c r="BC446" s="87">
        <v>0</v>
      </c>
      <c r="BD446" s="87">
        <v>0</v>
      </c>
      <c r="BE446" s="87">
        <v>0</v>
      </c>
      <c r="BF446" s="87">
        <v>0</v>
      </c>
    </row>
    <row r="447" spans="1:58" ht="13.5" customHeight="1">
      <c r="A447" s="75">
        <f t="shared" si="493"/>
        <v>441</v>
      </c>
      <c r="B447" s="76" t="s">
        <v>626</v>
      </c>
      <c r="C447" s="80">
        <f>SUM(D447:BF447)</f>
        <v>4188.359999999986</v>
      </c>
      <c r="D447" s="87">
        <v>0</v>
      </c>
      <c r="E447" s="87">
        <v>0</v>
      </c>
      <c r="F447" s="87">
        <v>0</v>
      </c>
      <c r="G447" s="87">
        <v>0</v>
      </c>
      <c r="H447" s="87">
        <v>0</v>
      </c>
      <c r="I447" s="87">
        <v>0</v>
      </c>
      <c r="J447" s="87">
        <v>0</v>
      </c>
      <c r="K447" s="87">
        <v>0</v>
      </c>
      <c r="L447" s="87">
        <v>0</v>
      </c>
      <c r="M447" s="87">
        <v>0</v>
      </c>
      <c r="N447" s="87">
        <v>0</v>
      </c>
      <c r="O447" s="87">
        <v>0</v>
      </c>
      <c r="P447" s="87">
        <v>0</v>
      </c>
      <c r="Q447" s="87">
        <v>0</v>
      </c>
      <c r="R447" s="87">
        <v>0</v>
      </c>
      <c r="S447" s="87">
        <v>0</v>
      </c>
      <c r="T447" s="87">
        <v>0</v>
      </c>
      <c r="U447" s="87">
        <v>4188.359999999986</v>
      </c>
      <c r="V447" s="87">
        <v>0</v>
      </c>
      <c r="W447" s="87">
        <v>0</v>
      </c>
      <c r="X447" s="87">
        <v>0</v>
      </c>
      <c r="Y447" s="87">
        <v>0</v>
      </c>
      <c r="Z447" s="87">
        <v>0</v>
      </c>
      <c r="AA447" s="87">
        <v>0</v>
      </c>
      <c r="AB447" s="87">
        <v>0</v>
      </c>
      <c r="AC447" s="87">
        <v>0</v>
      </c>
      <c r="AD447" s="87">
        <v>0</v>
      </c>
      <c r="AE447" s="87">
        <v>0</v>
      </c>
      <c r="AF447" s="87">
        <v>0</v>
      </c>
      <c r="AG447" s="87">
        <v>0</v>
      </c>
      <c r="AH447" s="87">
        <v>0</v>
      </c>
      <c r="AI447" s="87">
        <v>0</v>
      </c>
      <c r="AJ447" s="87">
        <v>0</v>
      </c>
      <c r="AK447" s="87">
        <v>0</v>
      </c>
      <c r="AL447" s="87">
        <v>0</v>
      </c>
      <c r="AM447" s="87">
        <v>0</v>
      </c>
      <c r="AN447" s="87">
        <v>0</v>
      </c>
      <c r="AO447" s="87">
        <v>0</v>
      </c>
      <c r="AP447" s="87">
        <v>0</v>
      </c>
      <c r="AQ447" s="87">
        <v>0</v>
      </c>
      <c r="AR447" s="87">
        <v>0</v>
      </c>
      <c r="AS447" s="87">
        <v>0</v>
      </c>
      <c r="AT447" s="87">
        <v>0</v>
      </c>
      <c r="AU447" s="87">
        <v>0</v>
      </c>
      <c r="AV447" s="87">
        <v>0</v>
      </c>
      <c r="AW447" s="87">
        <v>0</v>
      </c>
      <c r="AX447" s="87">
        <v>0</v>
      </c>
      <c r="AY447" s="87">
        <v>0</v>
      </c>
      <c r="AZ447" s="87">
        <v>0</v>
      </c>
      <c r="BA447" s="87">
        <v>0</v>
      </c>
      <c r="BB447" s="87">
        <v>0</v>
      </c>
      <c r="BC447" s="87">
        <v>0</v>
      </c>
      <c r="BD447" s="87">
        <v>0</v>
      </c>
      <c r="BE447" s="87">
        <v>0</v>
      </c>
      <c r="BF447" s="87">
        <v>0</v>
      </c>
    </row>
    <row r="448" spans="1:58" ht="14.1" customHeight="1">
      <c r="A448" s="75">
        <f t="shared" si="493"/>
        <v>442</v>
      </c>
      <c r="B448" s="76" t="s">
        <v>336</v>
      </c>
      <c r="C448" s="80">
        <f>SUM(D448:BF448)</f>
        <v>5162605.0200999994</v>
      </c>
      <c r="D448" s="87">
        <v>0</v>
      </c>
      <c r="E448" s="87">
        <v>0</v>
      </c>
      <c r="F448" s="87">
        <v>0</v>
      </c>
      <c r="G448" s="87">
        <v>0</v>
      </c>
      <c r="H448" s="87">
        <v>0</v>
      </c>
      <c r="I448" s="87">
        <v>0</v>
      </c>
      <c r="J448" s="87">
        <v>0</v>
      </c>
      <c r="K448" s="87">
        <v>0</v>
      </c>
      <c r="L448" s="87">
        <v>0</v>
      </c>
      <c r="M448" s="87">
        <v>0</v>
      </c>
      <c r="N448" s="87">
        <v>0</v>
      </c>
      <c r="O448" s="87">
        <v>0</v>
      </c>
      <c r="P448" s="87">
        <v>0</v>
      </c>
      <c r="Q448" s="87">
        <v>0</v>
      </c>
      <c r="R448" s="87">
        <v>0</v>
      </c>
      <c r="S448" s="87">
        <v>0</v>
      </c>
      <c r="T448" s="87">
        <v>0</v>
      </c>
      <c r="U448" s="87">
        <v>41318.469999998808</v>
      </c>
      <c r="V448" s="87">
        <v>0</v>
      </c>
      <c r="W448" s="87">
        <v>0</v>
      </c>
      <c r="X448" s="87">
        <v>0</v>
      </c>
      <c r="Y448" s="87">
        <v>0</v>
      </c>
      <c r="Z448" s="87">
        <v>0</v>
      </c>
      <c r="AA448" s="87">
        <v>0</v>
      </c>
      <c r="AB448" s="87">
        <v>0</v>
      </c>
      <c r="AC448" s="87">
        <v>0</v>
      </c>
      <c r="AD448" s="87">
        <v>0</v>
      </c>
      <c r="AE448" s="87">
        <v>0</v>
      </c>
      <c r="AF448" s="87">
        <v>0</v>
      </c>
      <c r="AG448" s="87">
        <v>0</v>
      </c>
      <c r="AH448" s="87">
        <v>0</v>
      </c>
      <c r="AI448" s="87">
        <v>1659588</v>
      </c>
      <c r="AJ448" s="87">
        <v>0</v>
      </c>
      <c r="AK448" s="87">
        <v>0</v>
      </c>
      <c r="AL448" s="87">
        <v>0</v>
      </c>
      <c r="AM448" s="87">
        <v>0</v>
      </c>
      <c r="AN448" s="87">
        <v>0</v>
      </c>
      <c r="AO448" s="87">
        <v>0</v>
      </c>
      <c r="AP448" s="87">
        <v>0</v>
      </c>
      <c r="AQ448" s="87">
        <v>0</v>
      </c>
      <c r="AR448" s="87">
        <v>0</v>
      </c>
      <c r="AS448" s="87">
        <v>0</v>
      </c>
      <c r="AT448" s="87">
        <v>2876698.550100001</v>
      </c>
      <c r="AU448" s="87">
        <v>0</v>
      </c>
      <c r="AV448" s="87">
        <v>585000</v>
      </c>
      <c r="AW448" s="87">
        <v>0</v>
      </c>
      <c r="AX448" s="87">
        <v>0</v>
      </c>
      <c r="AY448" s="87">
        <v>0</v>
      </c>
      <c r="AZ448" s="87">
        <v>0</v>
      </c>
      <c r="BA448" s="87">
        <v>0</v>
      </c>
      <c r="BB448" s="87">
        <v>0</v>
      </c>
      <c r="BC448" s="87">
        <v>0</v>
      </c>
      <c r="BD448" s="87">
        <v>0</v>
      </c>
      <c r="BE448" s="87">
        <v>0</v>
      </c>
      <c r="BF448" s="87">
        <v>0</v>
      </c>
    </row>
    <row r="449" spans="1:58" s="89" customFormat="1" ht="14.1" customHeight="1">
      <c r="A449" s="75">
        <f t="shared" si="493"/>
        <v>443</v>
      </c>
      <c r="B449" s="90" t="s">
        <v>338</v>
      </c>
      <c r="C449" s="80">
        <f>SUM(D449:BF449)</f>
        <v>6447089.8078000005</v>
      </c>
      <c r="D449" s="92">
        <v>0</v>
      </c>
      <c r="E449" s="92">
        <v>0</v>
      </c>
      <c r="F449" s="92">
        <v>0</v>
      </c>
      <c r="G449" s="92">
        <v>0</v>
      </c>
      <c r="H449" s="92">
        <v>0</v>
      </c>
      <c r="I449" s="92">
        <v>0</v>
      </c>
      <c r="J449" s="92">
        <v>0</v>
      </c>
      <c r="K449" s="92">
        <v>0</v>
      </c>
      <c r="L449" s="92">
        <v>0</v>
      </c>
      <c r="M449" s="92">
        <v>0</v>
      </c>
      <c r="N449" s="92">
        <v>0</v>
      </c>
      <c r="O449" s="92">
        <v>0</v>
      </c>
      <c r="P449" s="92">
        <v>0</v>
      </c>
      <c r="Q449" s="92">
        <v>0</v>
      </c>
      <c r="R449" s="92">
        <v>0</v>
      </c>
      <c r="S449" s="92">
        <v>0</v>
      </c>
      <c r="T449" s="92">
        <v>0</v>
      </c>
      <c r="U449" s="92">
        <v>173336.47000000067</v>
      </c>
      <c r="V449" s="92">
        <v>0</v>
      </c>
      <c r="W449" s="92">
        <v>0</v>
      </c>
      <c r="X449" s="92">
        <v>0</v>
      </c>
      <c r="Y449" s="92">
        <v>0</v>
      </c>
      <c r="Z449" s="92">
        <v>0</v>
      </c>
      <c r="AA449" s="92">
        <v>0</v>
      </c>
      <c r="AB449" s="92">
        <v>0</v>
      </c>
      <c r="AC449" s="92">
        <v>0</v>
      </c>
      <c r="AD449" s="92">
        <v>0</v>
      </c>
      <c r="AE449" s="92">
        <v>0</v>
      </c>
      <c r="AF449" s="92">
        <v>0</v>
      </c>
      <c r="AG449" s="92">
        <v>0</v>
      </c>
      <c r="AH449" s="92">
        <v>0</v>
      </c>
      <c r="AI449" s="92">
        <v>6137514</v>
      </c>
      <c r="AJ449" s="92">
        <v>0</v>
      </c>
      <c r="AK449" s="92">
        <v>0</v>
      </c>
      <c r="AL449" s="92">
        <v>0</v>
      </c>
      <c r="AM449" s="92">
        <v>0</v>
      </c>
      <c r="AN449" s="92">
        <v>0</v>
      </c>
      <c r="AO449" s="92">
        <v>0</v>
      </c>
      <c r="AP449" s="92">
        <v>0</v>
      </c>
      <c r="AQ449" s="92">
        <v>0</v>
      </c>
      <c r="AR449" s="92">
        <v>0</v>
      </c>
      <c r="AS449" s="92">
        <v>0</v>
      </c>
      <c r="AT449" s="92">
        <v>136239.33780000033</v>
      </c>
      <c r="AU449" s="92">
        <v>0</v>
      </c>
      <c r="AV449" s="92">
        <v>0</v>
      </c>
      <c r="AW449" s="92">
        <v>7314.8565040000003</v>
      </c>
      <c r="AX449" s="92">
        <v>-7314.8565040000003</v>
      </c>
      <c r="AY449" s="92">
        <v>0</v>
      </c>
      <c r="AZ449" s="92">
        <v>0</v>
      </c>
      <c r="BA449" s="92">
        <v>0</v>
      </c>
      <c r="BB449" s="92">
        <v>0</v>
      </c>
      <c r="BC449" s="92">
        <v>0</v>
      </c>
      <c r="BD449" s="92">
        <v>0</v>
      </c>
      <c r="BE449" s="92">
        <v>0</v>
      </c>
      <c r="BF449" s="92">
        <v>0</v>
      </c>
    </row>
    <row r="450" spans="1:58" ht="14.1" customHeight="1">
      <c r="A450" s="75">
        <f t="shared" si="493"/>
        <v>444</v>
      </c>
      <c r="B450" s="108" t="s">
        <v>627</v>
      </c>
      <c r="C450" s="94">
        <f t="shared" ref="C450:V450" si="541">SUM(C445:C449)</f>
        <v>-2023243.3060330003</v>
      </c>
      <c r="D450" s="94">
        <f t="shared" si="541"/>
        <v>0</v>
      </c>
      <c r="E450" s="94">
        <f t="shared" si="541"/>
        <v>0</v>
      </c>
      <c r="F450" s="94">
        <f t="shared" si="541"/>
        <v>0</v>
      </c>
      <c r="G450" s="94">
        <f t="shared" si="541"/>
        <v>0</v>
      </c>
      <c r="H450" s="94">
        <f t="shared" si="541"/>
        <v>0</v>
      </c>
      <c r="I450" s="94">
        <f t="shared" si="541"/>
        <v>0</v>
      </c>
      <c r="J450" s="94">
        <f t="shared" si="541"/>
        <v>0</v>
      </c>
      <c r="K450" s="94">
        <f t="shared" si="541"/>
        <v>1980517.1109499999</v>
      </c>
      <c r="L450" s="94">
        <f t="shared" si="541"/>
        <v>0</v>
      </c>
      <c r="M450" s="94">
        <f t="shared" si="541"/>
        <v>0</v>
      </c>
      <c r="N450" s="94">
        <f t="shared" si="541"/>
        <v>0</v>
      </c>
      <c r="O450" s="94">
        <f t="shared" si="541"/>
        <v>0</v>
      </c>
      <c r="P450" s="94">
        <f t="shared" si="541"/>
        <v>0</v>
      </c>
      <c r="Q450" s="94">
        <f t="shared" si="541"/>
        <v>0</v>
      </c>
      <c r="R450" s="94">
        <f t="shared" si="541"/>
        <v>0</v>
      </c>
      <c r="S450" s="94">
        <f t="shared" si="541"/>
        <v>0</v>
      </c>
      <c r="T450" s="94">
        <f t="shared" si="541"/>
        <v>0</v>
      </c>
      <c r="U450" s="94">
        <f t="shared" si="541"/>
        <v>1140625.6799999983</v>
      </c>
      <c r="V450" s="94">
        <f t="shared" si="541"/>
        <v>-9355669</v>
      </c>
      <c r="W450" s="94">
        <f>SUM(W445:W449)</f>
        <v>0</v>
      </c>
      <c r="X450" s="94">
        <f t="shared" ref="X450:AD450" si="542">SUM(X445:X449)</f>
        <v>0</v>
      </c>
      <c r="Y450" s="94">
        <f>SUM(Y445:Y449)</f>
        <v>0</v>
      </c>
      <c r="Z450" s="94">
        <f t="shared" si="542"/>
        <v>0</v>
      </c>
      <c r="AA450" s="94">
        <f t="shared" si="542"/>
        <v>0</v>
      </c>
      <c r="AB450" s="94">
        <f t="shared" si="542"/>
        <v>0</v>
      </c>
      <c r="AC450" s="94">
        <f t="shared" si="542"/>
        <v>0</v>
      </c>
      <c r="AD450" s="94">
        <f t="shared" si="542"/>
        <v>0</v>
      </c>
      <c r="AE450" s="94">
        <f>SUM(AE445:AE449)</f>
        <v>465475.20400000003</v>
      </c>
      <c r="AF450" s="94">
        <f>SUM(AF445:AF449)</f>
        <v>0</v>
      </c>
      <c r="AG450" s="94">
        <f>SUM(AG445:AG449)</f>
        <v>0</v>
      </c>
      <c r="AH450" s="94">
        <f t="shared" ref="AH450:AL450" si="543">SUM(AH445:AH449)</f>
        <v>0</v>
      </c>
      <c r="AI450" s="94">
        <f t="shared" si="543"/>
        <v>10305393</v>
      </c>
      <c r="AJ450" s="94">
        <f t="shared" si="543"/>
        <v>113368.78</v>
      </c>
      <c r="AK450" s="94">
        <f t="shared" si="543"/>
        <v>0</v>
      </c>
      <c r="AL450" s="94">
        <f t="shared" si="543"/>
        <v>0</v>
      </c>
      <c r="AM450" s="94">
        <f>SUM(AM445:AM449)</f>
        <v>0</v>
      </c>
      <c r="AN450" s="94">
        <f>SUM(AN445:AN449)</f>
        <v>0</v>
      </c>
      <c r="AO450" s="94">
        <f>SUM(AO445:AO449)</f>
        <v>0</v>
      </c>
      <c r="AP450" s="94">
        <f>SUM(AP445:AP449)</f>
        <v>0</v>
      </c>
      <c r="AQ450" s="94">
        <f>SUM(AQ445:AQ449)</f>
        <v>0</v>
      </c>
      <c r="AR450" s="94">
        <f t="shared" ref="AR450" si="544">SUM(AR445:AR449)</f>
        <v>0</v>
      </c>
      <c r="AS450" s="94">
        <f>SUM(AS445:AS449)</f>
        <v>0</v>
      </c>
      <c r="AT450" s="94">
        <f t="shared" ref="AT450:AV450" si="545">SUM(AT445:AT449)</f>
        <v>1167941.9025000017</v>
      </c>
      <c r="AU450" s="94">
        <f t="shared" si="545"/>
        <v>-8425895.9834829997</v>
      </c>
      <c r="AV450" s="94">
        <f t="shared" si="545"/>
        <v>585000</v>
      </c>
      <c r="AW450" s="94">
        <f>SUM(AW445:AW449)</f>
        <v>915968.91411599994</v>
      </c>
      <c r="AX450" s="94">
        <f t="shared" ref="AX450:BF450" si="546">SUM(AX445:AX449)</f>
        <v>-915968.91411599994</v>
      </c>
      <c r="AY450" s="94">
        <f t="shared" si="546"/>
        <v>0</v>
      </c>
      <c r="AZ450" s="94">
        <f t="shared" si="546"/>
        <v>0</v>
      </c>
      <c r="BA450" s="94">
        <f t="shared" si="546"/>
        <v>0</v>
      </c>
      <c r="BB450" s="94">
        <f t="shared" si="546"/>
        <v>0</v>
      </c>
      <c r="BC450" s="94">
        <f t="shared" si="546"/>
        <v>0</v>
      </c>
      <c r="BD450" s="94">
        <f t="shared" si="546"/>
        <v>0</v>
      </c>
      <c r="BE450" s="94">
        <f t="shared" si="546"/>
        <v>0</v>
      </c>
      <c r="BF450" s="94">
        <f t="shared" si="546"/>
        <v>0</v>
      </c>
    </row>
    <row r="451" spans="1:58" ht="14.1" customHeight="1">
      <c r="A451" s="75">
        <f t="shared" si="493"/>
        <v>445</v>
      </c>
      <c r="B451" s="89"/>
      <c r="C451" s="89"/>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row>
    <row r="452" spans="1:58" ht="14.1" customHeight="1">
      <c r="A452" s="75">
        <f t="shared" si="493"/>
        <v>446</v>
      </c>
      <c r="B452" s="81" t="s">
        <v>629</v>
      </c>
      <c r="C452" s="81"/>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87"/>
      <c r="AH452" s="87"/>
      <c r="AI452" s="87"/>
      <c r="AJ452" s="87"/>
      <c r="AK452" s="87"/>
      <c r="AL452" s="87"/>
      <c r="AM452" s="87"/>
      <c r="AN452" s="87"/>
      <c r="AO452" s="87"/>
      <c r="AP452" s="87"/>
      <c r="AQ452" s="87"/>
      <c r="AR452" s="87"/>
      <c r="AS452" s="87"/>
      <c r="AT452" s="87"/>
      <c r="AU452" s="87"/>
      <c r="AV452" s="87"/>
      <c r="AW452" s="87"/>
      <c r="AX452" s="87"/>
      <c r="AY452" s="87"/>
      <c r="AZ452" s="87"/>
      <c r="BA452" s="87"/>
      <c r="BB452" s="87"/>
      <c r="BC452" s="87"/>
      <c r="BD452" s="87"/>
      <c r="BE452" s="87"/>
      <c r="BF452" s="87"/>
    </row>
    <row r="453" spans="1:58" ht="14.1" customHeight="1">
      <c r="A453" s="75">
        <f t="shared" si="493"/>
        <v>447</v>
      </c>
      <c r="B453" s="76" t="s">
        <v>630</v>
      </c>
      <c r="C453" s="80">
        <f>SUM(D453:BF453)</f>
        <v>-6243774.5300000003</v>
      </c>
      <c r="D453" s="87">
        <v>0</v>
      </c>
      <c r="E453" s="87">
        <v>0</v>
      </c>
      <c r="F453" s="87">
        <v>0</v>
      </c>
      <c r="G453" s="87">
        <v>0</v>
      </c>
      <c r="H453" s="87">
        <v>0</v>
      </c>
      <c r="I453" s="87">
        <v>0</v>
      </c>
      <c r="J453" s="87">
        <v>0</v>
      </c>
      <c r="K453" s="87">
        <v>0</v>
      </c>
      <c r="L453" s="87">
        <v>0</v>
      </c>
      <c r="M453" s="87">
        <v>0</v>
      </c>
      <c r="N453" s="87">
        <v>0</v>
      </c>
      <c r="O453" s="87">
        <v>0</v>
      </c>
      <c r="P453" s="87">
        <v>0</v>
      </c>
      <c r="Q453" s="87">
        <v>0</v>
      </c>
      <c r="R453" s="87">
        <v>0</v>
      </c>
      <c r="S453" s="87">
        <v>0</v>
      </c>
      <c r="T453" s="87">
        <v>0</v>
      </c>
      <c r="U453" s="87">
        <v>119168.46999999974</v>
      </c>
      <c r="V453" s="87">
        <v>0</v>
      </c>
      <c r="W453" s="87">
        <v>0</v>
      </c>
      <c r="X453" s="87">
        <v>0</v>
      </c>
      <c r="Y453" s="87">
        <v>0</v>
      </c>
      <c r="Z453" s="87">
        <v>0</v>
      </c>
      <c r="AA453" s="87">
        <v>0</v>
      </c>
      <c r="AB453" s="87">
        <v>0</v>
      </c>
      <c r="AC453" s="87">
        <v>0</v>
      </c>
      <c r="AD453" s="87">
        <v>0</v>
      </c>
      <c r="AE453" s="87">
        <v>0</v>
      </c>
      <c r="AF453" s="87">
        <v>0</v>
      </c>
      <c r="AG453" s="87">
        <v>0</v>
      </c>
      <c r="AH453" s="87">
        <v>0</v>
      </c>
      <c r="AI453" s="87">
        <v>-6362943</v>
      </c>
      <c r="AJ453" s="87">
        <v>0</v>
      </c>
      <c r="AK453" s="87">
        <v>0</v>
      </c>
      <c r="AL453" s="87">
        <v>0</v>
      </c>
      <c r="AM453" s="87">
        <v>0</v>
      </c>
      <c r="AN453" s="87">
        <v>0</v>
      </c>
      <c r="AO453" s="87">
        <v>0</v>
      </c>
      <c r="AP453" s="87">
        <v>0</v>
      </c>
      <c r="AQ453" s="87">
        <v>0</v>
      </c>
      <c r="AR453" s="87">
        <v>0</v>
      </c>
      <c r="AS453" s="87">
        <v>0</v>
      </c>
      <c r="AT453" s="87">
        <v>0</v>
      </c>
      <c r="AU453" s="87">
        <v>0</v>
      </c>
      <c r="AV453" s="87">
        <v>0</v>
      </c>
      <c r="AW453" s="87">
        <v>0</v>
      </c>
      <c r="AX453" s="87">
        <v>0</v>
      </c>
      <c r="AY453" s="87">
        <v>0</v>
      </c>
      <c r="AZ453" s="87">
        <v>0</v>
      </c>
      <c r="BA453" s="87">
        <v>0</v>
      </c>
      <c r="BB453" s="87">
        <v>0</v>
      </c>
      <c r="BC453" s="87">
        <v>0</v>
      </c>
      <c r="BD453" s="87">
        <v>0</v>
      </c>
      <c r="BE453" s="87">
        <v>0</v>
      </c>
      <c r="BF453" s="87">
        <v>0</v>
      </c>
    </row>
    <row r="454" spans="1:58" ht="14.1" customHeight="1">
      <c r="A454" s="75">
        <f t="shared" si="493"/>
        <v>448</v>
      </c>
      <c r="B454" s="76" t="s">
        <v>314</v>
      </c>
      <c r="C454" s="80">
        <f>SUM(D454:BF454)</f>
        <v>0</v>
      </c>
      <c r="D454" s="87">
        <v>0</v>
      </c>
      <c r="E454" s="87">
        <v>0</v>
      </c>
      <c r="F454" s="87">
        <v>0</v>
      </c>
      <c r="G454" s="87">
        <v>0</v>
      </c>
      <c r="H454" s="87">
        <v>0</v>
      </c>
      <c r="I454" s="87">
        <v>0</v>
      </c>
      <c r="J454" s="87">
        <v>0</v>
      </c>
      <c r="K454" s="87">
        <v>0</v>
      </c>
      <c r="L454" s="87">
        <v>0</v>
      </c>
      <c r="M454" s="87">
        <v>0</v>
      </c>
      <c r="N454" s="87">
        <v>0</v>
      </c>
      <c r="O454" s="87">
        <v>0</v>
      </c>
      <c r="P454" s="87">
        <v>0</v>
      </c>
      <c r="Q454" s="87">
        <v>0</v>
      </c>
      <c r="R454" s="87">
        <v>0</v>
      </c>
      <c r="S454" s="87">
        <v>0</v>
      </c>
      <c r="T454" s="87">
        <v>0</v>
      </c>
      <c r="U454" s="87">
        <v>0</v>
      </c>
      <c r="V454" s="87">
        <v>0</v>
      </c>
      <c r="W454" s="87">
        <v>0</v>
      </c>
      <c r="X454" s="87">
        <v>0</v>
      </c>
      <c r="Y454" s="87">
        <v>0</v>
      </c>
      <c r="Z454" s="87">
        <v>0</v>
      </c>
      <c r="AA454" s="87">
        <v>0</v>
      </c>
      <c r="AB454" s="87">
        <v>0</v>
      </c>
      <c r="AC454" s="87">
        <v>0</v>
      </c>
      <c r="AD454" s="87">
        <v>0</v>
      </c>
      <c r="AE454" s="87">
        <v>0</v>
      </c>
      <c r="AF454" s="87">
        <v>0</v>
      </c>
      <c r="AG454" s="87">
        <v>0</v>
      </c>
      <c r="AH454" s="87">
        <v>0</v>
      </c>
      <c r="AI454" s="87">
        <v>0</v>
      </c>
      <c r="AJ454" s="87">
        <v>0</v>
      </c>
      <c r="AK454" s="87">
        <v>0</v>
      </c>
      <c r="AL454" s="87">
        <v>0</v>
      </c>
      <c r="AM454" s="87">
        <v>0</v>
      </c>
      <c r="AN454" s="87">
        <v>0</v>
      </c>
      <c r="AO454" s="87">
        <v>0</v>
      </c>
      <c r="AP454" s="87">
        <v>0</v>
      </c>
      <c r="AQ454" s="87">
        <v>0</v>
      </c>
      <c r="AR454" s="87">
        <v>0</v>
      </c>
      <c r="AS454" s="87">
        <v>0</v>
      </c>
      <c r="AT454" s="87">
        <v>0</v>
      </c>
      <c r="AU454" s="87">
        <v>0</v>
      </c>
      <c r="AV454" s="87">
        <v>0</v>
      </c>
      <c r="AW454" s="87">
        <v>0</v>
      </c>
      <c r="AX454" s="87">
        <v>0</v>
      </c>
      <c r="AY454" s="87">
        <v>0</v>
      </c>
      <c r="AZ454" s="87">
        <v>0</v>
      </c>
      <c r="BA454" s="87">
        <v>0</v>
      </c>
      <c r="BB454" s="87">
        <v>0</v>
      </c>
      <c r="BC454" s="87">
        <v>0</v>
      </c>
      <c r="BD454" s="87">
        <v>0</v>
      </c>
      <c r="BE454" s="87">
        <v>0</v>
      </c>
      <c r="BF454" s="87">
        <v>0</v>
      </c>
    </row>
    <row r="455" spans="1:58" ht="14.1" customHeight="1">
      <c r="A455" s="75">
        <f t="shared" si="493"/>
        <v>449</v>
      </c>
      <c r="B455" s="76" t="s">
        <v>315</v>
      </c>
      <c r="C455" s="80">
        <f>SUM(D455:BF455)</f>
        <v>579</v>
      </c>
      <c r="D455" s="87">
        <v>0</v>
      </c>
      <c r="E455" s="87">
        <v>0</v>
      </c>
      <c r="F455" s="87">
        <v>0</v>
      </c>
      <c r="G455" s="87">
        <v>0</v>
      </c>
      <c r="H455" s="87">
        <v>0</v>
      </c>
      <c r="I455" s="87">
        <v>0</v>
      </c>
      <c r="J455" s="87">
        <v>0</v>
      </c>
      <c r="K455" s="87">
        <v>0</v>
      </c>
      <c r="L455" s="87">
        <v>0</v>
      </c>
      <c r="M455" s="87">
        <v>0</v>
      </c>
      <c r="N455" s="87">
        <v>0</v>
      </c>
      <c r="O455" s="87">
        <v>0</v>
      </c>
      <c r="P455" s="87">
        <v>0</v>
      </c>
      <c r="Q455" s="87">
        <v>0</v>
      </c>
      <c r="R455" s="87">
        <v>0</v>
      </c>
      <c r="S455" s="87">
        <v>0</v>
      </c>
      <c r="T455" s="87">
        <v>0</v>
      </c>
      <c r="U455" s="87">
        <v>579</v>
      </c>
      <c r="V455" s="87">
        <v>0</v>
      </c>
      <c r="W455" s="87">
        <v>0</v>
      </c>
      <c r="X455" s="87">
        <v>0</v>
      </c>
      <c r="Y455" s="87">
        <v>0</v>
      </c>
      <c r="Z455" s="87">
        <v>0</v>
      </c>
      <c r="AA455" s="87">
        <v>0</v>
      </c>
      <c r="AB455" s="87">
        <v>0</v>
      </c>
      <c r="AC455" s="87">
        <v>0</v>
      </c>
      <c r="AD455" s="87">
        <v>0</v>
      </c>
      <c r="AE455" s="87">
        <v>0</v>
      </c>
      <c r="AF455" s="87">
        <v>0</v>
      </c>
      <c r="AG455" s="87">
        <v>0</v>
      </c>
      <c r="AH455" s="87">
        <v>0</v>
      </c>
      <c r="AI455" s="87">
        <v>0</v>
      </c>
      <c r="AJ455" s="87">
        <v>0</v>
      </c>
      <c r="AK455" s="87">
        <v>0</v>
      </c>
      <c r="AL455" s="87">
        <v>0</v>
      </c>
      <c r="AM455" s="87">
        <v>0</v>
      </c>
      <c r="AN455" s="87">
        <v>0</v>
      </c>
      <c r="AO455" s="87">
        <v>0</v>
      </c>
      <c r="AP455" s="87">
        <v>0</v>
      </c>
      <c r="AQ455" s="87">
        <v>0</v>
      </c>
      <c r="AR455" s="87">
        <v>0</v>
      </c>
      <c r="AS455" s="87">
        <v>0</v>
      </c>
      <c r="AT455" s="87">
        <v>0</v>
      </c>
      <c r="AU455" s="87">
        <v>0</v>
      </c>
      <c r="AV455" s="87">
        <v>0</v>
      </c>
      <c r="AW455" s="87">
        <v>0</v>
      </c>
      <c r="AX455" s="87">
        <v>0</v>
      </c>
      <c r="AY455" s="87">
        <v>0</v>
      </c>
      <c r="AZ455" s="87">
        <v>0</v>
      </c>
      <c r="BA455" s="87">
        <v>0</v>
      </c>
      <c r="BB455" s="87">
        <v>0</v>
      </c>
      <c r="BC455" s="87">
        <v>0</v>
      </c>
      <c r="BD455" s="87">
        <v>0</v>
      </c>
      <c r="BE455" s="87">
        <v>0</v>
      </c>
      <c r="BF455" s="87">
        <v>0</v>
      </c>
    </row>
    <row r="456" spans="1:58" ht="14.1" customHeight="1">
      <c r="A456" s="75">
        <f t="shared" si="493"/>
        <v>450</v>
      </c>
      <c r="B456" s="76" t="s">
        <v>316</v>
      </c>
      <c r="C456" s="80">
        <f>SUM(D456:BF456)</f>
        <v>0</v>
      </c>
      <c r="D456" s="87">
        <v>0</v>
      </c>
      <c r="E456" s="87">
        <v>0</v>
      </c>
      <c r="F456" s="87">
        <v>0</v>
      </c>
      <c r="G456" s="87">
        <v>0</v>
      </c>
      <c r="H456" s="87">
        <v>0</v>
      </c>
      <c r="I456" s="87">
        <v>0</v>
      </c>
      <c r="J456" s="87">
        <v>0</v>
      </c>
      <c r="K456" s="87">
        <v>0</v>
      </c>
      <c r="L456" s="87">
        <v>0</v>
      </c>
      <c r="M456" s="87">
        <v>0</v>
      </c>
      <c r="N456" s="87">
        <v>0</v>
      </c>
      <c r="O456" s="87">
        <v>0</v>
      </c>
      <c r="P456" s="87">
        <v>0</v>
      </c>
      <c r="Q456" s="87">
        <v>0</v>
      </c>
      <c r="R456" s="87">
        <v>0</v>
      </c>
      <c r="S456" s="87">
        <v>0</v>
      </c>
      <c r="T456" s="87">
        <v>0</v>
      </c>
      <c r="U456" s="87">
        <v>0</v>
      </c>
      <c r="V456" s="87">
        <v>0</v>
      </c>
      <c r="W456" s="87">
        <v>0</v>
      </c>
      <c r="X456" s="87">
        <v>0</v>
      </c>
      <c r="Y456" s="87">
        <v>0</v>
      </c>
      <c r="Z456" s="87">
        <v>0</v>
      </c>
      <c r="AA456" s="87">
        <v>0</v>
      </c>
      <c r="AB456" s="87">
        <v>0</v>
      </c>
      <c r="AC456" s="87">
        <v>0</v>
      </c>
      <c r="AD456" s="87">
        <v>0</v>
      </c>
      <c r="AE456" s="87">
        <v>0</v>
      </c>
      <c r="AF456" s="87">
        <v>0</v>
      </c>
      <c r="AG456" s="87">
        <v>0</v>
      </c>
      <c r="AH456" s="87">
        <v>0</v>
      </c>
      <c r="AI456" s="87">
        <v>0</v>
      </c>
      <c r="AJ456" s="87">
        <v>0</v>
      </c>
      <c r="AK456" s="87">
        <v>0</v>
      </c>
      <c r="AL456" s="87">
        <v>0</v>
      </c>
      <c r="AM456" s="87">
        <v>0</v>
      </c>
      <c r="AN456" s="87">
        <v>0</v>
      </c>
      <c r="AO456" s="87">
        <v>0</v>
      </c>
      <c r="AP456" s="87">
        <v>0</v>
      </c>
      <c r="AQ456" s="87">
        <v>0</v>
      </c>
      <c r="AR456" s="87">
        <v>0</v>
      </c>
      <c r="AS456" s="87">
        <v>0</v>
      </c>
      <c r="AT456" s="87">
        <v>0</v>
      </c>
      <c r="AU456" s="87">
        <v>0</v>
      </c>
      <c r="AV456" s="87">
        <v>0</v>
      </c>
      <c r="AW456" s="87">
        <v>0</v>
      </c>
      <c r="AX456" s="87">
        <v>0</v>
      </c>
      <c r="AY456" s="87">
        <v>0</v>
      </c>
      <c r="AZ456" s="87">
        <v>0</v>
      </c>
      <c r="BA456" s="87">
        <v>0</v>
      </c>
      <c r="BB456" s="87">
        <v>0</v>
      </c>
      <c r="BC456" s="87">
        <v>0</v>
      </c>
      <c r="BD456" s="87">
        <v>0</v>
      </c>
      <c r="BE456" s="87">
        <v>0</v>
      </c>
      <c r="BF456" s="87">
        <v>0</v>
      </c>
    </row>
    <row r="457" spans="1:58" ht="14.1" customHeight="1">
      <c r="A457" s="75">
        <f t="shared" si="493"/>
        <v>451</v>
      </c>
      <c r="B457" s="90" t="s">
        <v>317</v>
      </c>
      <c r="C457" s="91">
        <f>SUM(D457:BF457)</f>
        <v>0</v>
      </c>
      <c r="D457" s="92">
        <v>0</v>
      </c>
      <c r="E457" s="92">
        <v>0</v>
      </c>
      <c r="F457" s="92">
        <v>0</v>
      </c>
      <c r="G457" s="92">
        <v>0</v>
      </c>
      <c r="H457" s="92">
        <v>0</v>
      </c>
      <c r="I457" s="92">
        <v>0</v>
      </c>
      <c r="J457" s="92">
        <v>0</v>
      </c>
      <c r="K457" s="92">
        <v>0</v>
      </c>
      <c r="L457" s="92">
        <v>0</v>
      </c>
      <c r="M457" s="92">
        <v>0</v>
      </c>
      <c r="N457" s="92">
        <v>0</v>
      </c>
      <c r="O457" s="92">
        <v>0</v>
      </c>
      <c r="P457" s="92">
        <v>0</v>
      </c>
      <c r="Q457" s="92">
        <v>0</v>
      </c>
      <c r="R457" s="92">
        <v>0</v>
      </c>
      <c r="S457" s="92">
        <v>0</v>
      </c>
      <c r="T457" s="92">
        <v>0</v>
      </c>
      <c r="U457" s="92">
        <v>0</v>
      </c>
      <c r="V457" s="92">
        <v>0</v>
      </c>
      <c r="W457" s="92">
        <v>0</v>
      </c>
      <c r="X457" s="92">
        <v>0</v>
      </c>
      <c r="Y457" s="92">
        <v>0</v>
      </c>
      <c r="Z457" s="92">
        <v>0</v>
      </c>
      <c r="AA457" s="92">
        <v>0</v>
      </c>
      <c r="AB457" s="92">
        <v>0</v>
      </c>
      <c r="AC457" s="92">
        <v>0</v>
      </c>
      <c r="AD457" s="92">
        <v>0</v>
      </c>
      <c r="AE457" s="92">
        <v>0</v>
      </c>
      <c r="AF457" s="92">
        <v>0</v>
      </c>
      <c r="AG457" s="92">
        <v>0</v>
      </c>
      <c r="AH457" s="92">
        <v>0</v>
      </c>
      <c r="AI457" s="92">
        <v>0</v>
      </c>
      <c r="AJ457" s="92">
        <v>0</v>
      </c>
      <c r="AK457" s="92">
        <v>0</v>
      </c>
      <c r="AL457" s="92">
        <v>0</v>
      </c>
      <c r="AM457" s="92">
        <v>0</v>
      </c>
      <c r="AN457" s="92">
        <v>0</v>
      </c>
      <c r="AO457" s="92">
        <v>0</v>
      </c>
      <c r="AP457" s="92">
        <v>0</v>
      </c>
      <c r="AQ457" s="92">
        <v>0</v>
      </c>
      <c r="AR457" s="92">
        <v>0</v>
      </c>
      <c r="AS457" s="92">
        <v>0</v>
      </c>
      <c r="AT457" s="92">
        <v>0</v>
      </c>
      <c r="AU457" s="92">
        <v>0</v>
      </c>
      <c r="AV457" s="92">
        <v>0</v>
      </c>
      <c r="AW457" s="92">
        <v>0</v>
      </c>
      <c r="AX457" s="92">
        <v>0</v>
      </c>
      <c r="AY457" s="92">
        <v>0</v>
      </c>
      <c r="AZ457" s="92">
        <v>0</v>
      </c>
      <c r="BA457" s="92">
        <v>0</v>
      </c>
      <c r="BB457" s="92">
        <v>0</v>
      </c>
      <c r="BC457" s="92">
        <v>0</v>
      </c>
      <c r="BD457" s="92">
        <v>0</v>
      </c>
      <c r="BE457" s="92">
        <v>0</v>
      </c>
      <c r="BF457" s="92">
        <v>0</v>
      </c>
    </row>
    <row r="458" spans="1:58" ht="14.1" customHeight="1">
      <c r="A458" s="75">
        <f t="shared" si="493"/>
        <v>452</v>
      </c>
      <c r="B458" s="108" t="s">
        <v>631</v>
      </c>
      <c r="C458" s="94">
        <f t="shared" ref="C458:V458" si="547">SUM(C453:C457)</f>
        <v>-6243195.5300000003</v>
      </c>
      <c r="D458" s="94">
        <f t="shared" si="547"/>
        <v>0</v>
      </c>
      <c r="E458" s="94">
        <f t="shared" si="547"/>
        <v>0</v>
      </c>
      <c r="F458" s="94">
        <f t="shared" si="547"/>
        <v>0</v>
      </c>
      <c r="G458" s="94">
        <f t="shared" si="547"/>
        <v>0</v>
      </c>
      <c r="H458" s="94">
        <f t="shared" si="547"/>
        <v>0</v>
      </c>
      <c r="I458" s="94">
        <f t="shared" si="547"/>
        <v>0</v>
      </c>
      <c r="J458" s="94">
        <f t="shared" si="547"/>
        <v>0</v>
      </c>
      <c r="K458" s="94">
        <f t="shared" si="547"/>
        <v>0</v>
      </c>
      <c r="L458" s="94">
        <f t="shared" si="547"/>
        <v>0</v>
      </c>
      <c r="M458" s="94">
        <f t="shared" si="547"/>
        <v>0</v>
      </c>
      <c r="N458" s="94">
        <f t="shared" si="547"/>
        <v>0</v>
      </c>
      <c r="O458" s="94">
        <f t="shared" si="547"/>
        <v>0</v>
      </c>
      <c r="P458" s="94">
        <f t="shared" si="547"/>
        <v>0</v>
      </c>
      <c r="Q458" s="94">
        <f t="shared" si="547"/>
        <v>0</v>
      </c>
      <c r="R458" s="94">
        <f t="shared" si="547"/>
        <v>0</v>
      </c>
      <c r="S458" s="94">
        <f t="shared" si="547"/>
        <v>0</v>
      </c>
      <c r="T458" s="94">
        <f t="shared" si="547"/>
        <v>0</v>
      </c>
      <c r="U458" s="94">
        <f t="shared" si="547"/>
        <v>119747.46999999974</v>
      </c>
      <c r="V458" s="94">
        <f t="shared" si="547"/>
        <v>0</v>
      </c>
      <c r="W458" s="94">
        <f>SUM(W453:W457)</f>
        <v>0</v>
      </c>
      <c r="X458" s="94">
        <f t="shared" ref="X458:AD458" si="548">SUM(X453:X457)</f>
        <v>0</v>
      </c>
      <c r="Y458" s="94">
        <f>SUM(Y453:Y457)</f>
        <v>0</v>
      </c>
      <c r="Z458" s="94">
        <f t="shared" si="548"/>
        <v>0</v>
      </c>
      <c r="AA458" s="94">
        <f t="shared" si="548"/>
        <v>0</v>
      </c>
      <c r="AB458" s="94">
        <f t="shared" si="548"/>
        <v>0</v>
      </c>
      <c r="AC458" s="94">
        <f t="shared" si="548"/>
        <v>0</v>
      </c>
      <c r="AD458" s="94">
        <f t="shared" si="548"/>
        <v>0</v>
      </c>
      <c r="AE458" s="94">
        <f>SUM(AE453:AE457)</f>
        <v>0</v>
      </c>
      <c r="AF458" s="94">
        <f>SUM(AF453:AF457)</f>
        <v>0</v>
      </c>
      <c r="AG458" s="94">
        <f>SUM(AG453:AG457)</f>
        <v>0</v>
      </c>
      <c r="AH458" s="94">
        <f t="shared" ref="AH458:AL458" si="549">SUM(AH453:AH457)</f>
        <v>0</v>
      </c>
      <c r="AI458" s="94">
        <f t="shared" si="549"/>
        <v>-6362943</v>
      </c>
      <c r="AJ458" s="94">
        <f t="shared" si="549"/>
        <v>0</v>
      </c>
      <c r="AK458" s="94">
        <f t="shared" si="549"/>
        <v>0</v>
      </c>
      <c r="AL458" s="94">
        <f t="shared" si="549"/>
        <v>0</v>
      </c>
      <c r="AM458" s="94">
        <f>SUM(AM453:AM457)</f>
        <v>0</v>
      </c>
      <c r="AN458" s="94">
        <f>SUM(AN453:AN457)</f>
        <v>0</v>
      </c>
      <c r="AO458" s="94">
        <f>SUM(AO453:AO457)</f>
        <v>0</v>
      </c>
      <c r="AP458" s="94">
        <f>SUM(AP453:AP457)</f>
        <v>0</v>
      </c>
      <c r="AQ458" s="94">
        <f>SUM(AQ453:AQ457)</f>
        <v>0</v>
      </c>
      <c r="AR458" s="94">
        <f t="shared" ref="AR458" si="550">SUM(AR453:AR457)</f>
        <v>0</v>
      </c>
      <c r="AS458" s="94">
        <f>SUM(AS453:AS457)</f>
        <v>0</v>
      </c>
      <c r="AT458" s="94">
        <f t="shared" ref="AT458:AV458" si="551">SUM(AT453:AT457)</f>
        <v>0</v>
      </c>
      <c r="AU458" s="94">
        <f t="shared" si="551"/>
        <v>0</v>
      </c>
      <c r="AV458" s="94">
        <f t="shared" si="551"/>
        <v>0</v>
      </c>
      <c r="AW458" s="94">
        <f>SUM(AW453:AW457)</f>
        <v>0</v>
      </c>
      <c r="AX458" s="94">
        <f t="shared" ref="AX458:BF458" si="552">SUM(AX453:AX457)</f>
        <v>0</v>
      </c>
      <c r="AY458" s="94">
        <f t="shared" si="552"/>
        <v>0</v>
      </c>
      <c r="AZ458" s="94">
        <f t="shared" si="552"/>
        <v>0</v>
      </c>
      <c r="BA458" s="94">
        <f t="shared" si="552"/>
        <v>0</v>
      </c>
      <c r="BB458" s="94">
        <f t="shared" si="552"/>
        <v>0</v>
      </c>
      <c r="BC458" s="94">
        <f t="shared" si="552"/>
        <v>0</v>
      </c>
      <c r="BD458" s="94">
        <f t="shared" si="552"/>
        <v>0</v>
      </c>
      <c r="BE458" s="94">
        <f t="shared" si="552"/>
        <v>0</v>
      </c>
      <c r="BF458" s="94">
        <f t="shared" si="552"/>
        <v>0</v>
      </c>
    </row>
    <row r="459" spans="1:58" ht="14.1" customHeight="1">
      <c r="A459" s="75">
        <f t="shared" ref="A459:A509" si="553">+A458+1</f>
        <v>453</v>
      </c>
      <c r="B459" s="126"/>
      <c r="C459" s="126"/>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row>
    <row r="460" spans="1:58" ht="14.1" customHeight="1">
      <c r="A460" s="75">
        <f t="shared" si="553"/>
        <v>454</v>
      </c>
      <c r="B460" s="108" t="s">
        <v>789</v>
      </c>
      <c r="C460" s="108"/>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row>
    <row r="461" spans="1:58" ht="14.1" customHeight="1">
      <c r="A461" s="75">
        <f t="shared" si="553"/>
        <v>455</v>
      </c>
      <c r="B461" s="121" t="s">
        <v>790</v>
      </c>
      <c r="C461" s="91">
        <f>SUM(D461:BF461)</f>
        <v>-85273.730000000156</v>
      </c>
      <c r="D461" s="92">
        <v>0</v>
      </c>
      <c r="E461" s="92">
        <v>0</v>
      </c>
      <c r="F461" s="92">
        <v>0</v>
      </c>
      <c r="G461" s="92">
        <v>0</v>
      </c>
      <c r="H461" s="92">
        <v>0</v>
      </c>
      <c r="I461" s="92">
        <v>0</v>
      </c>
      <c r="J461" s="92">
        <v>-209318.32</v>
      </c>
      <c r="K461" s="92">
        <v>0</v>
      </c>
      <c r="L461" s="92">
        <v>0</v>
      </c>
      <c r="M461" s="92">
        <v>0</v>
      </c>
      <c r="N461" s="92">
        <v>0</v>
      </c>
      <c r="O461" s="92">
        <v>0</v>
      </c>
      <c r="P461" s="92">
        <v>0</v>
      </c>
      <c r="Q461" s="92">
        <v>0</v>
      </c>
      <c r="R461" s="92">
        <v>0</v>
      </c>
      <c r="S461" s="92">
        <v>0</v>
      </c>
      <c r="T461" s="92">
        <v>0</v>
      </c>
      <c r="U461" s="92">
        <v>124044.58999999985</v>
      </c>
      <c r="V461" s="92">
        <v>0</v>
      </c>
      <c r="W461" s="92">
        <v>0</v>
      </c>
      <c r="X461" s="92">
        <v>0</v>
      </c>
      <c r="Y461" s="92">
        <v>0</v>
      </c>
      <c r="Z461" s="92">
        <v>0</v>
      </c>
      <c r="AA461" s="92">
        <v>0</v>
      </c>
      <c r="AB461" s="92">
        <v>0</v>
      </c>
      <c r="AC461" s="92">
        <v>0</v>
      </c>
      <c r="AD461" s="92">
        <v>0</v>
      </c>
      <c r="AE461" s="92">
        <v>0</v>
      </c>
      <c r="AF461" s="92">
        <v>0</v>
      </c>
      <c r="AG461" s="92">
        <v>0</v>
      </c>
      <c r="AH461" s="92">
        <v>0</v>
      </c>
      <c r="AI461" s="92">
        <v>0</v>
      </c>
      <c r="AJ461" s="92">
        <v>0</v>
      </c>
      <c r="AK461" s="92">
        <v>0</v>
      </c>
      <c r="AL461" s="92">
        <v>0</v>
      </c>
      <c r="AM461" s="92">
        <v>0</v>
      </c>
      <c r="AN461" s="92">
        <v>0</v>
      </c>
      <c r="AO461" s="92">
        <v>0</v>
      </c>
      <c r="AP461" s="92">
        <v>0</v>
      </c>
      <c r="AQ461" s="92">
        <v>0</v>
      </c>
      <c r="AR461" s="92">
        <v>0</v>
      </c>
      <c r="AS461" s="92">
        <v>0</v>
      </c>
      <c r="AT461" s="92">
        <v>0</v>
      </c>
      <c r="AU461" s="92">
        <v>0</v>
      </c>
      <c r="AV461" s="92">
        <v>0</v>
      </c>
      <c r="AW461" s="92">
        <v>0</v>
      </c>
      <c r="AX461" s="92">
        <v>0</v>
      </c>
      <c r="AY461" s="92">
        <v>0</v>
      </c>
      <c r="AZ461" s="92">
        <v>0</v>
      </c>
      <c r="BA461" s="92">
        <v>0</v>
      </c>
      <c r="BB461" s="92">
        <v>0</v>
      </c>
      <c r="BC461" s="92">
        <v>0</v>
      </c>
      <c r="BD461" s="92">
        <v>0</v>
      </c>
      <c r="BE461" s="92">
        <v>0</v>
      </c>
      <c r="BF461" s="92">
        <v>0</v>
      </c>
    </row>
    <row r="462" spans="1:58" ht="14.1" customHeight="1">
      <c r="A462" s="75">
        <f t="shared" si="553"/>
        <v>456</v>
      </c>
      <c r="B462" s="108" t="s">
        <v>635</v>
      </c>
      <c r="C462" s="87">
        <f t="shared" ref="C462:V462" si="554">SUM(C461:C461)</f>
        <v>-85273.730000000156</v>
      </c>
      <c r="D462" s="87">
        <f t="shared" si="554"/>
        <v>0</v>
      </c>
      <c r="E462" s="87">
        <f t="shared" si="554"/>
        <v>0</v>
      </c>
      <c r="F462" s="87">
        <f t="shared" si="554"/>
        <v>0</v>
      </c>
      <c r="G462" s="87">
        <f t="shared" si="554"/>
        <v>0</v>
      </c>
      <c r="H462" s="87">
        <f t="shared" si="554"/>
        <v>0</v>
      </c>
      <c r="I462" s="87">
        <f t="shared" si="554"/>
        <v>0</v>
      </c>
      <c r="J462" s="87">
        <f t="shared" si="554"/>
        <v>-209318.32</v>
      </c>
      <c r="K462" s="87">
        <f t="shared" si="554"/>
        <v>0</v>
      </c>
      <c r="L462" s="87">
        <f t="shared" si="554"/>
        <v>0</v>
      </c>
      <c r="M462" s="87">
        <f t="shared" si="554"/>
        <v>0</v>
      </c>
      <c r="N462" s="87">
        <f t="shared" si="554"/>
        <v>0</v>
      </c>
      <c r="O462" s="87">
        <f t="shared" si="554"/>
        <v>0</v>
      </c>
      <c r="P462" s="87">
        <f t="shared" si="554"/>
        <v>0</v>
      </c>
      <c r="Q462" s="87">
        <f t="shared" si="554"/>
        <v>0</v>
      </c>
      <c r="R462" s="87">
        <f t="shared" si="554"/>
        <v>0</v>
      </c>
      <c r="S462" s="87">
        <f t="shared" si="554"/>
        <v>0</v>
      </c>
      <c r="T462" s="87">
        <f t="shared" si="554"/>
        <v>0</v>
      </c>
      <c r="U462" s="87">
        <f t="shared" si="554"/>
        <v>124044.58999999985</v>
      </c>
      <c r="V462" s="87">
        <f t="shared" si="554"/>
        <v>0</v>
      </c>
      <c r="W462" s="87">
        <f>SUM(W461:W461)</f>
        <v>0</v>
      </c>
      <c r="X462" s="87">
        <f t="shared" ref="X462:AD462" si="555">SUM(X461:X461)</f>
        <v>0</v>
      </c>
      <c r="Y462" s="87">
        <f>SUM(Y461:Y461)</f>
        <v>0</v>
      </c>
      <c r="Z462" s="87">
        <f t="shared" si="555"/>
        <v>0</v>
      </c>
      <c r="AA462" s="87">
        <f t="shared" si="555"/>
        <v>0</v>
      </c>
      <c r="AB462" s="87">
        <f t="shared" si="555"/>
        <v>0</v>
      </c>
      <c r="AC462" s="87">
        <f t="shared" si="555"/>
        <v>0</v>
      </c>
      <c r="AD462" s="87">
        <f t="shared" si="555"/>
        <v>0</v>
      </c>
      <c r="AE462" s="87">
        <f>SUM(AE461:AE461)</f>
        <v>0</v>
      </c>
      <c r="AF462" s="87">
        <f>SUM(AF461:AF461)</f>
        <v>0</v>
      </c>
      <c r="AG462" s="87">
        <f>SUM(AG461:AG461)</f>
        <v>0</v>
      </c>
      <c r="AH462" s="87">
        <f t="shared" ref="AH462:AL462" si="556">SUM(AH461:AH461)</f>
        <v>0</v>
      </c>
      <c r="AI462" s="87">
        <f t="shared" si="556"/>
        <v>0</v>
      </c>
      <c r="AJ462" s="87">
        <f t="shared" si="556"/>
        <v>0</v>
      </c>
      <c r="AK462" s="87">
        <f t="shared" si="556"/>
        <v>0</v>
      </c>
      <c r="AL462" s="87">
        <f t="shared" si="556"/>
        <v>0</v>
      </c>
      <c r="AM462" s="87">
        <f>SUM(AM461:AM461)</f>
        <v>0</v>
      </c>
      <c r="AN462" s="87">
        <f>SUM(AN461:AN461)</f>
        <v>0</v>
      </c>
      <c r="AO462" s="87">
        <f>SUM(AO461:AO461)</f>
        <v>0</v>
      </c>
      <c r="AP462" s="87">
        <f>SUM(AP461:AP461)</f>
        <v>0</v>
      </c>
      <c r="AQ462" s="87">
        <f>SUM(AQ461:AQ461)</f>
        <v>0</v>
      </c>
      <c r="AR462" s="87">
        <f t="shared" ref="AR462" si="557">SUM(AR461:AR461)</f>
        <v>0</v>
      </c>
      <c r="AS462" s="87">
        <f>SUM(AS461:AS461)</f>
        <v>0</v>
      </c>
      <c r="AT462" s="87">
        <f t="shared" ref="AT462:AV462" si="558">SUM(AT461:AT461)</f>
        <v>0</v>
      </c>
      <c r="AU462" s="87">
        <f t="shared" si="558"/>
        <v>0</v>
      </c>
      <c r="AV462" s="87">
        <f t="shared" si="558"/>
        <v>0</v>
      </c>
      <c r="AW462" s="87">
        <f>SUM(AW461:AW461)</f>
        <v>0</v>
      </c>
      <c r="AX462" s="87">
        <f t="shared" ref="AX462:BF462" si="559">SUM(AX461:AX461)</f>
        <v>0</v>
      </c>
      <c r="AY462" s="87">
        <f t="shared" si="559"/>
        <v>0</v>
      </c>
      <c r="AZ462" s="87">
        <f t="shared" si="559"/>
        <v>0</v>
      </c>
      <c r="BA462" s="87">
        <f t="shared" si="559"/>
        <v>0</v>
      </c>
      <c r="BB462" s="87">
        <f t="shared" si="559"/>
        <v>0</v>
      </c>
      <c r="BC462" s="87">
        <f t="shared" si="559"/>
        <v>0</v>
      </c>
      <c r="BD462" s="87">
        <f t="shared" si="559"/>
        <v>0</v>
      </c>
      <c r="BE462" s="87">
        <f t="shared" si="559"/>
        <v>0</v>
      </c>
      <c r="BF462" s="87">
        <f t="shared" si="559"/>
        <v>0</v>
      </c>
    </row>
    <row r="463" spans="1:58" ht="14.1" customHeight="1">
      <c r="A463" s="75">
        <f t="shared" si="553"/>
        <v>457</v>
      </c>
      <c r="B463" s="121"/>
      <c r="C463" s="121"/>
      <c r="D463" s="92"/>
      <c r="E463" s="92"/>
      <c r="F463" s="92"/>
      <c r="G463" s="92"/>
      <c r="H463" s="92"/>
      <c r="I463" s="92"/>
      <c r="J463" s="92"/>
      <c r="K463" s="92"/>
      <c r="L463" s="92"/>
      <c r="M463" s="92"/>
      <c r="N463" s="92"/>
      <c r="O463" s="92"/>
      <c r="P463" s="92"/>
      <c r="Q463" s="92"/>
      <c r="R463" s="92"/>
      <c r="S463" s="92"/>
      <c r="T463" s="92"/>
      <c r="U463" s="92"/>
      <c r="V463" s="92"/>
      <c r="W463" s="92"/>
      <c r="X463" s="92"/>
      <c r="Y463" s="92"/>
      <c r="Z463" s="92"/>
      <c r="AA463" s="92"/>
      <c r="AB463" s="92"/>
      <c r="AC463" s="92"/>
      <c r="AD463" s="92"/>
      <c r="AE463" s="92"/>
      <c r="AF463" s="92"/>
      <c r="AG463" s="92"/>
      <c r="AH463" s="92"/>
      <c r="AI463" s="92"/>
      <c r="AJ463" s="92"/>
      <c r="AK463" s="92"/>
      <c r="AL463" s="92"/>
      <c r="AM463" s="92"/>
      <c r="AN463" s="92"/>
      <c r="AO463" s="92"/>
      <c r="AP463" s="92"/>
      <c r="AQ463" s="92"/>
      <c r="AR463" s="92"/>
      <c r="AS463" s="92"/>
      <c r="AT463" s="92"/>
      <c r="AU463" s="92"/>
      <c r="AV463" s="92"/>
      <c r="AW463" s="92"/>
      <c r="AX463" s="92"/>
      <c r="AY463" s="92"/>
      <c r="AZ463" s="92"/>
      <c r="BA463" s="92"/>
      <c r="BB463" s="92"/>
      <c r="BC463" s="92"/>
      <c r="BD463" s="92"/>
      <c r="BE463" s="92"/>
      <c r="BF463" s="92"/>
    </row>
    <row r="464" spans="1:58" ht="14.1" customHeight="1" thickBot="1">
      <c r="A464" s="75">
        <f t="shared" si="553"/>
        <v>458</v>
      </c>
      <c r="B464" s="140" t="s">
        <v>637</v>
      </c>
      <c r="C464" s="119">
        <f t="shared" ref="C464:V464" si="560">C450+C458+C462</f>
        <v>-8351712.5660330011</v>
      </c>
      <c r="D464" s="119">
        <f t="shared" si="560"/>
        <v>0</v>
      </c>
      <c r="E464" s="119">
        <f t="shared" si="560"/>
        <v>0</v>
      </c>
      <c r="F464" s="119">
        <f t="shared" si="560"/>
        <v>0</v>
      </c>
      <c r="G464" s="119">
        <f t="shared" si="560"/>
        <v>0</v>
      </c>
      <c r="H464" s="119">
        <f t="shared" si="560"/>
        <v>0</v>
      </c>
      <c r="I464" s="119">
        <f t="shared" si="560"/>
        <v>0</v>
      </c>
      <c r="J464" s="119">
        <f t="shared" si="560"/>
        <v>-209318.32</v>
      </c>
      <c r="K464" s="119">
        <f t="shared" si="560"/>
        <v>1980517.1109499999</v>
      </c>
      <c r="L464" s="119">
        <f t="shared" si="560"/>
        <v>0</v>
      </c>
      <c r="M464" s="119">
        <f t="shared" si="560"/>
        <v>0</v>
      </c>
      <c r="N464" s="119">
        <f t="shared" si="560"/>
        <v>0</v>
      </c>
      <c r="O464" s="119">
        <f t="shared" si="560"/>
        <v>0</v>
      </c>
      <c r="P464" s="119">
        <f t="shared" si="560"/>
        <v>0</v>
      </c>
      <c r="Q464" s="119">
        <f t="shared" si="560"/>
        <v>0</v>
      </c>
      <c r="R464" s="119">
        <f t="shared" si="560"/>
        <v>0</v>
      </c>
      <c r="S464" s="119">
        <f t="shared" si="560"/>
        <v>0</v>
      </c>
      <c r="T464" s="119">
        <f t="shared" si="560"/>
        <v>0</v>
      </c>
      <c r="U464" s="119">
        <f t="shared" si="560"/>
        <v>1384417.7399999979</v>
      </c>
      <c r="V464" s="119">
        <f t="shared" si="560"/>
        <v>-9355669</v>
      </c>
      <c r="W464" s="119">
        <f>W450+W458+W462</f>
        <v>0</v>
      </c>
      <c r="X464" s="119">
        <f t="shared" ref="X464:AD464" si="561">X450+X458+X462</f>
        <v>0</v>
      </c>
      <c r="Y464" s="119">
        <f>Y450+Y458+Y462</f>
        <v>0</v>
      </c>
      <c r="Z464" s="119">
        <f t="shared" si="561"/>
        <v>0</v>
      </c>
      <c r="AA464" s="119">
        <f t="shared" si="561"/>
        <v>0</v>
      </c>
      <c r="AB464" s="119">
        <f t="shared" si="561"/>
        <v>0</v>
      </c>
      <c r="AC464" s="119">
        <f t="shared" si="561"/>
        <v>0</v>
      </c>
      <c r="AD464" s="119">
        <f t="shared" si="561"/>
        <v>0</v>
      </c>
      <c r="AE464" s="119">
        <f>AE450+AE458+AE462</f>
        <v>465475.20400000003</v>
      </c>
      <c r="AF464" s="119">
        <f>AF450+AF458+AF462</f>
        <v>0</v>
      </c>
      <c r="AG464" s="119">
        <f>AG450+AG458+AG462</f>
        <v>0</v>
      </c>
      <c r="AH464" s="119">
        <f t="shared" ref="AH464:AL464" si="562">AH450+AH458+AH462</f>
        <v>0</v>
      </c>
      <c r="AI464" s="119">
        <f t="shared" si="562"/>
        <v>3942450</v>
      </c>
      <c r="AJ464" s="119">
        <f t="shared" si="562"/>
        <v>113368.78</v>
      </c>
      <c r="AK464" s="119">
        <f t="shared" si="562"/>
        <v>0</v>
      </c>
      <c r="AL464" s="119">
        <f t="shared" si="562"/>
        <v>0</v>
      </c>
      <c r="AM464" s="119">
        <f>AM450+AM458+AM462</f>
        <v>0</v>
      </c>
      <c r="AN464" s="119">
        <f>AN450+AN458+AN462</f>
        <v>0</v>
      </c>
      <c r="AO464" s="119">
        <f>AO450+AO458+AO462</f>
        <v>0</v>
      </c>
      <c r="AP464" s="119">
        <f>AP450+AP458+AP462</f>
        <v>0</v>
      </c>
      <c r="AQ464" s="119">
        <f>AQ450+AQ458+AQ462</f>
        <v>0</v>
      </c>
      <c r="AR464" s="119">
        <f t="shared" ref="AR464" si="563">AR450+AR458+AR462</f>
        <v>0</v>
      </c>
      <c r="AS464" s="119">
        <f>AS450+AS458+AS462</f>
        <v>0</v>
      </c>
      <c r="AT464" s="119">
        <f t="shared" ref="AT464:AV464" si="564">AT450+AT458+AT462</f>
        <v>1167941.9025000017</v>
      </c>
      <c r="AU464" s="119">
        <f t="shared" si="564"/>
        <v>-8425895.9834829997</v>
      </c>
      <c r="AV464" s="119">
        <f t="shared" si="564"/>
        <v>585000</v>
      </c>
      <c r="AW464" s="119">
        <f>AW450+AW458+AW462</f>
        <v>915968.91411599994</v>
      </c>
      <c r="AX464" s="119">
        <f t="shared" ref="AX464:BF464" si="565">AX450+AX458+AX462</f>
        <v>-915968.91411599994</v>
      </c>
      <c r="AY464" s="119">
        <f t="shared" si="565"/>
        <v>0</v>
      </c>
      <c r="AZ464" s="119">
        <f t="shared" si="565"/>
        <v>0</v>
      </c>
      <c r="BA464" s="119">
        <f t="shared" si="565"/>
        <v>0</v>
      </c>
      <c r="BB464" s="119">
        <f t="shared" si="565"/>
        <v>0</v>
      </c>
      <c r="BC464" s="119">
        <f t="shared" si="565"/>
        <v>0</v>
      </c>
      <c r="BD464" s="119">
        <f t="shared" si="565"/>
        <v>0</v>
      </c>
      <c r="BE464" s="119">
        <f t="shared" si="565"/>
        <v>0</v>
      </c>
      <c r="BF464" s="119">
        <f t="shared" si="565"/>
        <v>0</v>
      </c>
    </row>
    <row r="465" spans="1:58" ht="14.1" customHeight="1" thickTop="1">
      <c r="A465" s="75">
        <f t="shared" si="553"/>
        <v>459</v>
      </c>
      <c r="B465" s="89"/>
      <c r="C465" s="89"/>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row>
    <row r="466" spans="1:58" ht="14.1" customHeight="1">
      <c r="A466" s="75">
        <f t="shared" si="553"/>
        <v>460</v>
      </c>
      <c r="B466" s="108" t="s">
        <v>638</v>
      </c>
      <c r="C466" s="108"/>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87"/>
      <c r="AE466" s="87"/>
      <c r="AF466" s="87"/>
      <c r="AG466" s="87"/>
      <c r="AH466" s="87"/>
      <c r="AI466" s="87"/>
      <c r="AJ466" s="87"/>
      <c r="AK466" s="87"/>
      <c r="AL466" s="87"/>
      <c r="AM466" s="87"/>
      <c r="AN466" s="87"/>
      <c r="AO466" s="87"/>
      <c r="AP466" s="87"/>
      <c r="AQ466" s="87"/>
      <c r="AR466" s="87"/>
      <c r="AS466" s="87"/>
      <c r="AT466" s="87"/>
      <c r="AU466" s="87"/>
      <c r="AV466" s="87"/>
      <c r="AW466" s="87"/>
      <c r="AX466" s="87"/>
      <c r="AY466" s="87"/>
      <c r="AZ466" s="87"/>
      <c r="BA466" s="87"/>
      <c r="BB466" s="87"/>
      <c r="BC466" s="87"/>
      <c r="BD466" s="87"/>
      <c r="BE466" s="87"/>
      <c r="BF466" s="87"/>
    </row>
    <row r="467" spans="1:58" ht="14.1" customHeight="1">
      <c r="A467" s="75">
        <f t="shared" si="553"/>
        <v>461</v>
      </c>
      <c r="B467" s="81" t="s">
        <v>639</v>
      </c>
      <c r="C467" s="81"/>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87"/>
      <c r="AH467" s="87"/>
      <c r="AI467" s="87"/>
      <c r="AJ467" s="87"/>
      <c r="AK467" s="87"/>
      <c r="AL467" s="87"/>
      <c r="AM467" s="87"/>
      <c r="AN467" s="87"/>
      <c r="AO467" s="87"/>
      <c r="AP467" s="87"/>
      <c r="AQ467" s="87"/>
      <c r="AR467" s="87"/>
      <c r="AS467" s="87"/>
      <c r="AT467" s="87"/>
      <c r="AU467" s="87"/>
      <c r="AV467" s="87"/>
      <c r="AW467" s="87"/>
      <c r="AX467" s="87"/>
      <c r="AY467" s="87"/>
      <c r="AZ467" s="87"/>
      <c r="BA467" s="87"/>
      <c r="BB467" s="87"/>
      <c r="BC467" s="87"/>
      <c r="BD467" s="87"/>
      <c r="BE467" s="87"/>
      <c r="BF467" s="87"/>
    </row>
    <row r="468" spans="1:58" ht="14.1" customHeight="1">
      <c r="A468" s="75">
        <f t="shared" si="553"/>
        <v>462</v>
      </c>
      <c r="B468" s="76" t="s">
        <v>640</v>
      </c>
      <c r="C468" s="80">
        <f>SUM(D468:BF468)</f>
        <v>266730.63459787978</v>
      </c>
      <c r="D468" s="87">
        <v>0</v>
      </c>
      <c r="E468" s="87">
        <v>0</v>
      </c>
      <c r="F468" s="87">
        <v>0</v>
      </c>
      <c r="G468" s="87">
        <v>0</v>
      </c>
      <c r="H468" s="87">
        <v>0</v>
      </c>
      <c r="I468" s="87">
        <v>0</v>
      </c>
      <c r="J468" s="87">
        <v>0</v>
      </c>
      <c r="K468" s="87">
        <v>0</v>
      </c>
      <c r="L468" s="87">
        <v>0</v>
      </c>
      <c r="M468" s="87">
        <v>0</v>
      </c>
      <c r="N468" s="87">
        <v>0</v>
      </c>
      <c r="O468" s="87">
        <v>0</v>
      </c>
      <c r="P468" s="87">
        <v>0</v>
      </c>
      <c r="Q468" s="87">
        <v>0</v>
      </c>
      <c r="R468" s="87">
        <v>0</v>
      </c>
      <c r="S468" s="87">
        <v>0</v>
      </c>
      <c r="T468" s="87">
        <v>0</v>
      </c>
      <c r="U468" s="87">
        <v>19580.219999999739</v>
      </c>
      <c r="V468" s="87">
        <v>0</v>
      </c>
      <c r="W468" s="87">
        <v>0</v>
      </c>
      <c r="X468" s="87">
        <v>0</v>
      </c>
      <c r="Y468" s="87">
        <v>0</v>
      </c>
      <c r="Z468" s="87">
        <v>0</v>
      </c>
      <c r="AA468" s="87">
        <v>0</v>
      </c>
      <c r="AB468" s="87">
        <v>0</v>
      </c>
      <c r="AC468" s="87">
        <v>0</v>
      </c>
      <c r="AD468" s="87">
        <v>0</v>
      </c>
      <c r="AE468" s="87">
        <v>0</v>
      </c>
      <c r="AF468" s="87">
        <v>0</v>
      </c>
      <c r="AG468" s="87">
        <v>247150.41459788004</v>
      </c>
      <c r="AH468" s="87">
        <v>0</v>
      </c>
      <c r="AI468" s="87">
        <v>0</v>
      </c>
      <c r="AJ468" s="87">
        <v>0</v>
      </c>
      <c r="AK468" s="87">
        <v>0</v>
      </c>
      <c r="AL468" s="87">
        <v>0</v>
      </c>
      <c r="AM468" s="87">
        <v>0</v>
      </c>
      <c r="AN468" s="87">
        <v>0</v>
      </c>
      <c r="AO468" s="87">
        <v>0</v>
      </c>
      <c r="AP468" s="87">
        <v>0</v>
      </c>
      <c r="AQ468" s="87">
        <v>0</v>
      </c>
      <c r="AR468" s="87">
        <v>0</v>
      </c>
      <c r="AS468" s="87">
        <v>0</v>
      </c>
      <c r="AT468" s="87">
        <v>0</v>
      </c>
      <c r="AU468" s="87">
        <v>0</v>
      </c>
      <c r="AV468" s="87">
        <v>0</v>
      </c>
      <c r="AW468" s="87">
        <v>0</v>
      </c>
      <c r="AX468" s="87">
        <v>0</v>
      </c>
      <c r="AY468" s="87">
        <v>0</v>
      </c>
      <c r="AZ468" s="87">
        <v>0</v>
      </c>
      <c r="BA468" s="87">
        <v>0</v>
      </c>
      <c r="BB468" s="87">
        <v>0</v>
      </c>
      <c r="BC468" s="87">
        <v>0</v>
      </c>
      <c r="BD468" s="87">
        <v>0</v>
      </c>
      <c r="BE468" s="87">
        <v>0</v>
      </c>
      <c r="BF468" s="87">
        <v>0</v>
      </c>
    </row>
    <row r="469" spans="1:58" ht="14.1" customHeight="1">
      <c r="A469" s="75">
        <f t="shared" si="553"/>
        <v>463</v>
      </c>
      <c r="B469" s="76" t="s">
        <v>643</v>
      </c>
      <c r="C469" s="80">
        <f>SUM(D469:BF469)</f>
        <v>89.019999999998618</v>
      </c>
      <c r="D469" s="87">
        <v>0</v>
      </c>
      <c r="E469" s="87">
        <v>0</v>
      </c>
      <c r="F469" s="87">
        <v>0</v>
      </c>
      <c r="G469" s="87">
        <v>0</v>
      </c>
      <c r="H469" s="87">
        <v>0</v>
      </c>
      <c r="I469" s="87">
        <v>0</v>
      </c>
      <c r="J469" s="87">
        <v>0</v>
      </c>
      <c r="K469" s="87">
        <v>0</v>
      </c>
      <c r="L469" s="87">
        <v>0</v>
      </c>
      <c r="M469" s="87">
        <v>0</v>
      </c>
      <c r="N469" s="87">
        <v>0</v>
      </c>
      <c r="O469" s="87">
        <v>0</v>
      </c>
      <c r="P469" s="87">
        <v>0</v>
      </c>
      <c r="Q469" s="87">
        <v>0</v>
      </c>
      <c r="R469" s="87">
        <v>0</v>
      </c>
      <c r="S469" s="87">
        <v>0</v>
      </c>
      <c r="T469" s="87">
        <v>0</v>
      </c>
      <c r="U469" s="87">
        <v>89.019999999998618</v>
      </c>
      <c r="V469" s="87">
        <v>0</v>
      </c>
      <c r="W469" s="87">
        <v>0</v>
      </c>
      <c r="X469" s="87">
        <v>0</v>
      </c>
      <c r="Y469" s="87">
        <v>0</v>
      </c>
      <c r="Z469" s="87">
        <v>0</v>
      </c>
      <c r="AA469" s="87">
        <v>0</v>
      </c>
      <c r="AB469" s="87">
        <v>0</v>
      </c>
      <c r="AC469" s="87">
        <v>0</v>
      </c>
      <c r="AD469" s="87">
        <v>0</v>
      </c>
      <c r="AE469" s="87">
        <v>0</v>
      </c>
      <c r="AF469" s="87">
        <v>0</v>
      </c>
      <c r="AG469" s="87">
        <v>0</v>
      </c>
      <c r="AH469" s="87">
        <v>0</v>
      </c>
      <c r="AI469" s="87">
        <v>0</v>
      </c>
      <c r="AJ469" s="87">
        <v>0</v>
      </c>
      <c r="AK469" s="87">
        <v>0</v>
      </c>
      <c r="AL469" s="87">
        <v>0</v>
      </c>
      <c r="AM469" s="87">
        <v>0</v>
      </c>
      <c r="AN469" s="87">
        <v>0</v>
      </c>
      <c r="AO469" s="87">
        <v>0</v>
      </c>
      <c r="AP469" s="87">
        <v>0</v>
      </c>
      <c r="AQ469" s="87">
        <v>0</v>
      </c>
      <c r="AR469" s="87">
        <v>0</v>
      </c>
      <c r="AS469" s="87">
        <v>0</v>
      </c>
      <c r="AT469" s="87">
        <v>0</v>
      </c>
      <c r="AU469" s="87">
        <v>0</v>
      </c>
      <c r="AV469" s="87">
        <v>0</v>
      </c>
      <c r="AW469" s="87">
        <v>0</v>
      </c>
      <c r="AX469" s="87">
        <v>0</v>
      </c>
      <c r="AY469" s="87">
        <v>0</v>
      </c>
      <c r="AZ469" s="87">
        <v>0</v>
      </c>
      <c r="BA469" s="87">
        <v>0</v>
      </c>
      <c r="BB469" s="87">
        <v>0</v>
      </c>
      <c r="BC469" s="87">
        <v>0</v>
      </c>
      <c r="BD469" s="87">
        <v>0</v>
      </c>
      <c r="BE469" s="87">
        <v>0</v>
      </c>
      <c r="BF469" s="87">
        <v>0</v>
      </c>
    </row>
    <row r="470" spans="1:58" ht="14.1" customHeight="1">
      <c r="A470" s="75">
        <f t="shared" si="553"/>
        <v>464</v>
      </c>
      <c r="B470" s="90" t="s">
        <v>645</v>
      </c>
      <c r="C470" s="80">
        <f>SUM(D470:BF470)</f>
        <v>151.34000000000015</v>
      </c>
      <c r="D470" s="87">
        <v>0</v>
      </c>
      <c r="E470" s="87">
        <v>0</v>
      </c>
      <c r="F470" s="87">
        <v>0</v>
      </c>
      <c r="G470" s="87">
        <v>0</v>
      </c>
      <c r="H470" s="87">
        <v>0</v>
      </c>
      <c r="I470" s="87">
        <v>0</v>
      </c>
      <c r="J470" s="87">
        <v>0</v>
      </c>
      <c r="K470" s="87">
        <v>0</v>
      </c>
      <c r="L470" s="87">
        <v>0</v>
      </c>
      <c r="M470" s="87">
        <v>0</v>
      </c>
      <c r="N470" s="87">
        <v>0</v>
      </c>
      <c r="O470" s="87">
        <v>0</v>
      </c>
      <c r="P470" s="87">
        <v>0</v>
      </c>
      <c r="Q470" s="87">
        <v>0</v>
      </c>
      <c r="R470" s="87">
        <v>0</v>
      </c>
      <c r="S470" s="87">
        <v>0</v>
      </c>
      <c r="T470" s="87">
        <v>0</v>
      </c>
      <c r="U470" s="87">
        <v>151.34000000000015</v>
      </c>
      <c r="V470" s="87">
        <v>0</v>
      </c>
      <c r="W470" s="87">
        <v>0</v>
      </c>
      <c r="X470" s="87">
        <v>0</v>
      </c>
      <c r="Y470" s="87">
        <v>0</v>
      </c>
      <c r="Z470" s="87">
        <v>0</v>
      </c>
      <c r="AA470" s="87">
        <v>0</v>
      </c>
      <c r="AB470" s="87">
        <v>0</v>
      </c>
      <c r="AC470" s="87">
        <v>0</v>
      </c>
      <c r="AD470" s="87">
        <v>0</v>
      </c>
      <c r="AE470" s="87">
        <v>0</v>
      </c>
      <c r="AF470" s="87">
        <v>0</v>
      </c>
      <c r="AG470" s="87">
        <v>0</v>
      </c>
      <c r="AH470" s="87">
        <v>0</v>
      </c>
      <c r="AI470" s="87">
        <v>0</v>
      </c>
      <c r="AJ470" s="87">
        <v>0</v>
      </c>
      <c r="AK470" s="87">
        <v>0</v>
      </c>
      <c r="AL470" s="87">
        <v>0</v>
      </c>
      <c r="AM470" s="87">
        <v>0</v>
      </c>
      <c r="AN470" s="87">
        <v>0</v>
      </c>
      <c r="AO470" s="87">
        <v>0</v>
      </c>
      <c r="AP470" s="87">
        <v>0</v>
      </c>
      <c r="AQ470" s="87">
        <v>0</v>
      </c>
      <c r="AR470" s="87">
        <v>0</v>
      </c>
      <c r="AS470" s="87">
        <v>0</v>
      </c>
      <c r="AT470" s="87">
        <v>0</v>
      </c>
      <c r="AU470" s="87">
        <v>0</v>
      </c>
      <c r="AV470" s="87">
        <v>0</v>
      </c>
      <c r="AW470" s="87">
        <v>0</v>
      </c>
      <c r="AX470" s="87">
        <v>0</v>
      </c>
      <c r="AY470" s="87">
        <v>0</v>
      </c>
      <c r="AZ470" s="87">
        <v>0</v>
      </c>
      <c r="BA470" s="87">
        <v>0</v>
      </c>
      <c r="BB470" s="87">
        <v>0</v>
      </c>
      <c r="BC470" s="87">
        <v>0</v>
      </c>
      <c r="BD470" s="87">
        <v>0</v>
      </c>
      <c r="BE470" s="87">
        <v>0</v>
      </c>
      <c r="BF470" s="87">
        <v>0</v>
      </c>
    </row>
    <row r="471" spans="1:58" ht="14.1" customHeight="1">
      <c r="A471" s="75">
        <f t="shared" si="553"/>
        <v>465</v>
      </c>
      <c r="B471" s="108" t="s">
        <v>648</v>
      </c>
      <c r="C471" s="97">
        <f t="shared" ref="C471:V471" si="566">SUM(C468:C470)</f>
        <v>266970.99459787982</v>
      </c>
      <c r="D471" s="97">
        <f t="shared" si="566"/>
        <v>0</v>
      </c>
      <c r="E471" s="97">
        <f t="shared" si="566"/>
        <v>0</v>
      </c>
      <c r="F471" s="97">
        <f t="shared" si="566"/>
        <v>0</v>
      </c>
      <c r="G471" s="97">
        <f t="shared" si="566"/>
        <v>0</v>
      </c>
      <c r="H471" s="97">
        <f t="shared" si="566"/>
        <v>0</v>
      </c>
      <c r="I471" s="97">
        <f t="shared" si="566"/>
        <v>0</v>
      </c>
      <c r="J471" s="97">
        <f t="shared" si="566"/>
        <v>0</v>
      </c>
      <c r="K471" s="97">
        <f t="shared" si="566"/>
        <v>0</v>
      </c>
      <c r="L471" s="97">
        <f t="shared" si="566"/>
        <v>0</v>
      </c>
      <c r="M471" s="97">
        <f t="shared" si="566"/>
        <v>0</v>
      </c>
      <c r="N471" s="97">
        <f t="shared" si="566"/>
        <v>0</v>
      </c>
      <c r="O471" s="97">
        <f t="shared" si="566"/>
        <v>0</v>
      </c>
      <c r="P471" s="97">
        <f t="shared" si="566"/>
        <v>0</v>
      </c>
      <c r="Q471" s="97">
        <f t="shared" si="566"/>
        <v>0</v>
      </c>
      <c r="R471" s="97">
        <f t="shared" si="566"/>
        <v>0</v>
      </c>
      <c r="S471" s="97">
        <f t="shared" si="566"/>
        <v>0</v>
      </c>
      <c r="T471" s="97">
        <f t="shared" si="566"/>
        <v>0</v>
      </c>
      <c r="U471" s="97">
        <f t="shared" si="566"/>
        <v>19820.579999999736</v>
      </c>
      <c r="V471" s="97">
        <f t="shared" si="566"/>
        <v>0</v>
      </c>
      <c r="W471" s="97">
        <f>SUM(W468:W470)</f>
        <v>0</v>
      </c>
      <c r="X471" s="97">
        <f t="shared" ref="X471:AD471" si="567">SUM(X468:X470)</f>
        <v>0</v>
      </c>
      <c r="Y471" s="97">
        <f>SUM(Y468:Y470)</f>
        <v>0</v>
      </c>
      <c r="Z471" s="97">
        <f t="shared" si="567"/>
        <v>0</v>
      </c>
      <c r="AA471" s="97">
        <f t="shared" si="567"/>
        <v>0</v>
      </c>
      <c r="AB471" s="97">
        <f t="shared" si="567"/>
        <v>0</v>
      </c>
      <c r="AC471" s="97">
        <f t="shared" si="567"/>
        <v>0</v>
      </c>
      <c r="AD471" s="97">
        <f t="shared" si="567"/>
        <v>0</v>
      </c>
      <c r="AE471" s="97">
        <f>SUM(AE468:AE470)</f>
        <v>0</v>
      </c>
      <c r="AF471" s="97">
        <f>SUM(AF468:AF470)</f>
        <v>0</v>
      </c>
      <c r="AG471" s="97">
        <f>SUM(AG468:AG470)</f>
        <v>247150.41459788004</v>
      </c>
      <c r="AH471" s="97">
        <f t="shared" ref="AH471:AL471" si="568">SUM(AH468:AH470)</f>
        <v>0</v>
      </c>
      <c r="AI471" s="97">
        <f t="shared" si="568"/>
        <v>0</v>
      </c>
      <c r="AJ471" s="97">
        <f t="shared" si="568"/>
        <v>0</v>
      </c>
      <c r="AK471" s="97">
        <f t="shared" si="568"/>
        <v>0</v>
      </c>
      <c r="AL471" s="97">
        <f t="shared" si="568"/>
        <v>0</v>
      </c>
      <c r="AM471" s="97">
        <f>SUM(AM468:AM470)</f>
        <v>0</v>
      </c>
      <c r="AN471" s="97">
        <f>SUM(AN468:AN470)</f>
        <v>0</v>
      </c>
      <c r="AO471" s="97">
        <f>SUM(AO468:AO470)</f>
        <v>0</v>
      </c>
      <c r="AP471" s="97">
        <f>SUM(AP468:AP470)</f>
        <v>0</v>
      </c>
      <c r="AQ471" s="97">
        <f>SUM(AQ468:AQ470)</f>
        <v>0</v>
      </c>
      <c r="AR471" s="97">
        <f t="shared" ref="AR471" si="569">SUM(AR468:AR470)</f>
        <v>0</v>
      </c>
      <c r="AS471" s="97">
        <f>SUM(AS468:AS470)</f>
        <v>0</v>
      </c>
      <c r="AT471" s="97">
        <f t="shared" ref="AT471:AV471" si="570">SUM(AT468:AT470)</f>
        <v>0</v>
      </c>
      <c r="AU471" s="97">
        <f t="shared" si="570"/>
        <v>0</v>
      </c>
      <c r="AV471" s="97">
        <f t="shared" si="570"/>
        <v>0</v>
      </c>
      <c r="AW471" s="97">
        <f>SUM(AW468:AW470)</f>
        <v>0</v>
      </c>
      <c r="AX471" s="97">
        <f t="shared" ref="AX471:BF471" si="571">SUM(AX468:AX470)</f>
        <v>0</v>
      </c>
      <c r="AY471" s="97">
        <f t="shared" si="571"/>
        <v>0</v>
      </c>
      <c r="AZ471" s="97">
        <f t="shared" si="571"/>
        <v>0</v>
      </c>
      <c r="BA471" s="97">
        <f t="shared" si="571"/>
        <v>0</v>
      </c>
      <c r="BB471" s="97">
        <f t="shared" si="571"/>
        <v>0</v>
      </c>
      <c r="BC471" s="97">
        <f t="shared" si="571"/>
        <v>0</v>
      </c>
      <c r="BD471" s="97">
        <f t="shared" si="571"/>
        <v>0</v>
      </c>
      <c r="BE471" s="97">
        <f t="shared" si="571"/>
        <v>0</v>
      </c>
      <c r="BF471" s="97">
        <f t="shared" si="571"/>
        <v>0</v>
      </c>
    </row>
    <row r="472" spans="1:58" ht="14.1" customHeight="1">
      <c r="A472" s="75">
        <f t="shared" si="553"/>
        <v>466</v>
      </c>
      <c r="B472" s="89"/>
      <c r="C472" s="89"/>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row>
    <row r="473" spans="1:58" ht="14.1" customHeight="1">
      <c r="A473" s="75">
        <f t="shared" si="553"/>
        <v>467</v>
      </c>
      <c r="B473" s="76" t="s">
        <v>791</v>
      </c>
      <c r="C473" s="80">
        <f t="shared" ref="C473:C482" si="572">SUM(D473:BF473)</f>
        <v>4345218.9866666663</v>
      </c>
      <c r="D473" s="87">
        <v>0</v>
      </c>
      <c r="E473" s="87">
        <v>0</v>
      </c>
      <c r="F473" s="87">
        <v>0</v>
      </c>
      <c r="G473" s="87">
        <v>0</v>
      </c>
      <c r="H473" s="87">
        <v>0</v>
      </c>
      <c r="I473" s="87">
        <v>0</v>
      </c>
      <c r="J473" s="87">
        <v>0</v>
      </c>
      <c r="K473" s="87">
        <v>0</v>
      </c>
      <c r="L473" s="87">
        <v>0</v>
      </c>
      <c r="M473" s="87">
        <v>0</v>
      </c>
      <c r="N473" s="87">
        <v>0</v>
      </c>
      <c r="O473" s="87">
        <v>0</v>
      </c>
      <c r="P473" s="87">
        <v>0</v>
      </c>
      <c r="Q473" s="87">
        <v>0</v>
      </c>
      <c r="R473" s="87">
        <v>0</v>
      </c>
      <c r="S473" s="87">
        <v>0</v>
      </c>
      <c r="T473" s="87">
        <v>0</v>
      </c>
      <c r="U473" s="87">
        <v>271238.63000000082</v>
      </c>
      <c r="V473" s="87">
        <v>-188833</v>
      </c>
      <c r="W473" s="87">
        <v>0</v>
      </c>
      <c r="X473" s="87">
        <v>0</v>
      </c>
      <c r="Y473" s="87">
        <v>0</v>
      </c>
      <c r="Z473" s="87">
        <v>0</v>
      </c>
      <c r="AA473" s="87">
        <v>0</v>
      </c>
      <c r="AB473" s="87">
        <v>0</v>
      </c>
      <c r="AC473" s="87">
        <v>0</v>
      </c>
      <c r="AD473" s="87">
        <v>0</v>
      </c>
      <c r="AE473" s="87">
        <v>0</v>
      </c>
      <c r="AF473" s="87">
        <v>0</v>
      </c>
      <c r="AG473" s="87">
        <v>0</v>
      </c>
      <c r="AH473" s="87">
        <v>0</v>
      </c>
      <c r="AI473" s="87">
        <v>0</v>
      </c>
      <c r="AJ473" s="87">
        <v>0</v>
      </c>
      <c r="AK473" s="87">
        <v>0</v>
      </c>
      <c r="AL473" s="87">
        <v>0</v>
      </c>
      <c r="AM473" s="87">
        <v>0</v>
      </c>
      <c r="AN473" s="87">
        <v>4262813.3566666655</v>
      </c>
      <c r="AO473" s="87">
        <v>0</v>
      </c>
      <c r="AP473" s="87">
        <v>0</v>
      </c>
      <c r="AQ473" s="87">
        <v>0</v>
      </c>
      <c r="AR473" s="87">
        <v>0</v>
      </c>
      <c r="AS473" s="87">
        <v>0</v>
      </c>
      <c r="AT473" s="87">
        <v>0</v>
      </c>
      <c r="AU473" s="87">
        <v>0</v>
      </c>
      <c r="AV473" s="87">
        <v>0</v>
      </c>
      <c r="AW473" s="87">
        <v>0</v>
      </c>
      <c r="AX473" s="87">
        <v>0</v>
      </c>
      <c r="AY473" s="87">
        <v>0</v>
      </c>
      <c r="AZ473" s="87">
        <v>0</v>
      </c>
      <c r="BA473" s="87">
        <v>0</v>
      </c>
      <c r="BB473" s="87">
        <v>0</v>
      </c>
      <c r="BC473" s="87">
        <v>0</v>
      </c>
      <c r="BD473" s="87">
        <v>0</v>
      </c>
      <c r="BE473" s="87">
        <v>0</v>
      </c>
      <c r="BF473" s="87">
        <v>0</v>
      </c>
    </row>
    <row r="474" spans="1:58" ht="14.1" customHeight="1">
      <c r="A474" s="75">
        <f t="shared" si="553"/>
        <v>468</v>
      </c>
      <c r="B474" s="76" t="s">
        <v>651</v>
      </c>
      <c r="C474" s="80">
        <f t="shared" si="572"/>
        <v>0</v>
      </c>
      <c r="D474" s="87">
        <v>0</v>
      </c>
      <c r="E474" s="87">
        <v>0</v>
      </c>
      <c r="F474" s="87">
        <v>0</v>
      </c>
      <c r="G474" s="87">
        <v>0</v>
      </c>
      <c r="H474" s="87">
        <v>0</v>
      </c>
      <c r="I474" s="87">
        <v>0</v>
      </c>
      <c r="J474" s="87">
        <v>0</v>
      </c>
      <c r="K474" s="87">
        <v>0</v>
      </c>
      <c r="L474" s="87">
        <v>0</v>
      </c>
      <c r="M474" s="87">
        <v>0</v>
      </c>
      <c r="N474" s="87">
        <v>0</v>
      </c>
      <c r="O474" s="87">
        <v>0</v>
      </c>
      <c r="P474" s="87">
        <v>0</v>
      </c>
      <c r="Q474" s="87">
        <v>0</v>
      </c>
      <c r="R474" s="87">
        <v>0</v>
      </c>
      <c r="S474" s="87">
        <v>0</v>
      </c>
      <c r="T474" s="87">
        <v>0</v>
      </c>
      <c r="U474" s="87">
        <v>0</v>
      </c>
      <c r="V474" s="87">
        <v>0</v>
      </c>
      <c r="W474" s="87">
        <v>0</v>
      </c>
      <c r="X474" s="87">
        <v>0</v>
      </c>
      <c r="Y474" s="87">
        <v>0</v>
      </c>
      <c r="Z474" s="87">
        <v>0</v>
      </c>
      <c r="AA474" s="87">
        <v>0</v>
      </c>
      <c r="AB474" s="87">
        <v>0</v>
      </c>
      <c r="AC474" s="87">
        <v>0</v>
      </c>
      <c r="AD474" s="87">
        <v>0</v>
      </c>
      <c r="AE474" s="87">
        <v>0</v>
      </c>
      <c r="AF474" s="87">
        <v>0</v>
      </c>
      <c r="AG474" s="87">
        <v>0</v>
      </c>
      <c r="AH474" s="87">
        <v>0</v>
      </c>
      <c r="AI474" s="87">
        <v>0</v>
      </c>
      <c r="AJ474" s="87">
        <v>0</v>
      </c>
      <c r="AK474" s="87">
        <v>0</v>
      </c>
      <c r="AL474" s="87">
        <v>0</v>
      </c>
      <c r="AM474" s="87">
        <v>0</v>
      </c>
      <c r="AN474" s="87">
        <v>0</v>
      </c>
      <c r="AO474" s="87">
        <v>0</v>
      </c>
      <c r="AP474" s="87">
        <v>0</v>
      </c>
      <c r="AQ474" s="87">
        <v>0</v>
      </c>
      <c r="AR474" s="87">
        <v>0</v>
      </c>
      <c r="AS474" s="87">
        <v>0</v>
      </c>
      <c r="AT474" s="87">
        <v>0</v>
      </c>
      <c r="AU474" s="87">
        <v>0</v>
      </c>
      <c r="AV474" s="87">
        <v>0</v>
      </c>
      <c r="AW474" s="87">
        <v>0</v>
      </c>
      <c r="AX474" s="87">
        <v>0</v>
      </c>
      <c r="AY474" s="87">
        <v>0</v>
      </c>
      <c r="AZ474" s="87">
        <v>0</v>
      </c>
      <c r="BA474" s="87">
        <v>0</v>
      </c>
      <c r="BB474" s="87">
        <v>0</v>
      </c>
      <c r="BC474" s="87">
        <v>0</v>
      </c>
      <c r="BD474" s="87">
        <v>0</v>
      </c>
      <c r="BE474" s="87">
        <v>0</v>
      </c>
      <c r="BF474" s="87">
        <v>0</v>
      </c>
    </row>
    <row r="475" spans="1:58" ht="14.1" customHeight="1">
      <c r="A475" s="75">
        <f t="shared" si="553"/>
        <v>469</v>
      </c>
      <c r="B475" s="76" t="s">
        <v>652</v>
      </c>
      <c r="C475" s="80">
        <f t="shared" si="572"/>
        <v>0</v>
      </c>
      <c r="D475" s="87">
        <v>0</v>
      </c>
      <c r="E475" s="87">
        <v>0</v>
      </c>
      <c r="F475" s="87">
        <v>0</v>
      </c>
      <c r="G475" s="87">
        <v>0</v>
      </c>
      <c r="H475" s="87">
        <v>0</v>
      </c>
      <c r="I475" s="87">
        <v>0</v>
      </c>
      <c r="J475" s="87">
        <v>0</v>
      </c>
      <c r="K475" s="87">
        <v>0</v>
      </c>
      <c r="L475" s="87">
        <v>0</v>
      </c>
      <c r="M475" s="87">
        <v>0</v>
      </c>
      <c r="N475" s="87">
        <v>0</v>
      </c>
      <c r="O475" s="87">
        <v>0</v>
      </c>
      <c r="P475" s="87">
        <v>0</v>
      </c>
      <c r="Q475" s="87">
        <v>0</v>
      </c>
      <c r="R475" s="87">
        <v>0</v>
      </c>
      <c r="S475" s="87">
        <v>0</v>
      </c>
      <c r="T475" s="87">
        <v>0</v>
      </c>
      <c r="U475" s="87">
        <v>0</v>
      </c>
      <c r="V475" s="87">
        <v>0</v>
      </c>
      <c r="W475" s="87">
        <v>0</v>
      </c>
      <c r="X475" s="87">
        <v>0</v>
      </c>
      <c r="Y475" s="87">
        <v>0</v>
      </c>
      <c r="Z475" s="87">
        <v>0</v>
      </c>
      <c r="AA475" s="87">
        <v>0</v>
      </c>
      <c r="AB475" s="87">
        <v>0</v>
      </c>
      <c r="AC475" s="87">
        <v>0</v>
      </c>
      <c r="AD475" s="87">
        <v>0</v>
      </c>
      <c r="AE475" s="87">
        <v>0</v>
      </c>
      <c r="AF475" s="87">
        <v>0</v>
      </c>
      <c r="AG475" s="87">
        <v>0</v>
      </c>
      <c r="AH475" s="87">
        <v>0</v>
      </c>
      <c r="AI475" s="87">
        <v>0</v>
      </c>
      <c r="AJ475" s="87">
        <v>0</v>
      </c>
      <c r="AK475" s="87">
        <v>0</v>
      </c>
      <c r="AL475" s="87">
        <v>0</v>
      </c>
      <c r="AM475" s="87">
        <v>0</v>
      </c>
      <c r="AN475" s="87">
        <v>0</v>
      </c>
      <c r="AO475" s="87">
        <v>0</v>
      </c>
      <c r="AP475" s="87">
        <v>0</v>
      </c>
      <c r="AQ475" s="87">
        <v>0</v>
      </c>
      <c r="AR475" s="87">
        <v>0</v>
      </c>
      <c r="AS475" s="87">
        <v>0</v>
      </c>
      <c r="AT475" s="87">
        <v>0</v>
      </c>
      <c r="AU475" s="87">
        <v>0</v>
      </c>
      <c r="AV475" s="87">
        <v>0</v>
      </c>
      <c r="AW475" s="87">
        <v>0</v>
      </c>
      <c r="AX475" s="87">
        <v>0</v>
      </c>
      <c r="AY475" s="87">
        <v>0</v>
      </c>
      <c r="AZ475" s="87">
        <v>0</v>
      </c>
      <c r="BA475" s="87">
        <v>0</v>
      </c>
      <c r="BB475" s="87">
        <v>0</v>
      </c>
      <c r="BC475" s="87">
        <v>0</v>
      </c>
      <c r="BD475" s="87">
        <v>0</v>
      </c>
      <c r="BE475" s="87">
        <v>0</v>
      </c>
      <c r="BF475" s="87">
        <v>0</v>
      </c>
    </row>
    <row r="476" spans="1:58" ht="14.1" customHeight="1">
      <c r="A476" s="75">
        <f t="shared" si="553"/>
        <v>470</v>
      </c>
      <c r="B476" s="76" t="s">
        <v>654</v>
      </c>
      <c r="C476" s="80">
        <f t="shared" si="572"/>
        <v>1117.0500000000029</v>
      </c>
      <c r="D476" s="87">
        <v>0</v>
      </c>
      <c r="E476" s="87">
        <v>0</v>
      </c>
      <c r="F476" s="87">
        <v>0</v>
      </c>
      <c r="G476" s="87">
        <v>0</v>
      </c>
      <c r="H476" s="87">
        <v>0</v>
      </c>
      <c r="I476" s="87">
        <v>0</v>
      </c>
      <c r="J476" s="87">
        <v>0</v>
      </c>
      <c r="K476" s="87">
        <v>0</v>
      </c>
      <c r="L476" s="87">
        <v>0</v>
      </c>
      <c r="M476" s="87">
        <v>0</v>
      </c>
      <c r="N476" s="87">
        <v>0</v>
      </c>
      <c r="O476" s="87">
        <v>0</v>
      </c>
      <c r="P476" s="87">
        <v>0</v>
      </c>
      <c r="Q476" s="87">
        <v>0</v>
      </c>
      <c r="R476" s="87">
        <v>0</v>
      </c>
      <c r="S476" s="87">
        <v>0</v>
      </c>
      <c r="T476" s="87">
        <v>0</v>
      </c>
      <c r="U476" s="87">
        <v>1117.0500000000029</v>
      </c>
      <c r="V476" s="87">
        <v>0</v>
      </c>
      <c r="W476" s="87">
        <v>0</v>
      </c>
      <c r="X476" s="87">
        <v>0</v>
      </c>
      <c r="Y476" s="87">
        <v>0</v>
      </c>
      <c r="Z476" s="87">
        <v>0</v>
      </c>
      <c r="AA476" s="87">
        <v>0</v>
      </c>
      <c r="AB476" s="87">
        <v>0</v>
      </c>
      <c r="AC476" s="87">
        <v>0</v>
      </c>
      <c r="AD476" s="87">
        <v>0</v>
      </c>
      <c r="AE476" s="87">
        <v>0</v>
      </c>
      <c r="AF476" s="87">
        <v>0</v>
      </c>
      <c r="AG476" s="87">
        <v>0</v>
      </c>
      <c r="AH476" s="87">
        <v>0</v>
      </c>
      <c r="AI476" s="87">
        <v>0</v>
      </c>
      <c r="AJ476" s="87">
        <v>0</v>
      </c>
      <c r="AK476" s="87">
        <v>0</v>
      </c>
      <c r="AL476" s="87">
        <v>0</v>
      </c>
      <c r="AM476" s="87">
        <v>0</v>
      </c>
      <c r="AN476" s="87">
        <v>0</v>
      </c>
      <c r="AO476" s="87">
        <v>0</v>
      </c>
      <c r="AP476" s="87">
        <v>0</v>
      </c>
      <c r="AQ476" s="87">
        <v>0</v>
      </c>
      <c r="AR476" s="87">
        <v>0</v>
      </c>
      <c r="AS476" s="87">
        <v>0</v>
      </c>
      <c r="AT476" s="87">
        <v>0</v>
      </c>
      <c r="AU476" s="87">
        <v>0</v>
      </c>
      <c r="AV476" s="87">
        <v>0</v>
      </c>
      <c r="AW476" s="87">
        <v>0</v>
      </c>
      <c r="AX476" s="87">
        <v>0</v>
      </c>
      <c r="AY476" s="87">
        <v>0</v>
      </c>
      <c r="AZ476" s="87">
        <v>0</v>
      </c>
      <c r="BA476" s="87">
        <v>0</v>
      </c>
      <c r="BB476" s="87">
        <v>0</v>
      </c>
      <c r="BC476" s="87">
        <v>0</v>
      </c>
      <c r="BD476" s="87">
        <v>0</v>
      </c>
      <c r="BE476" s="87">
        <v>0</v>
      </c>
      <c r="BF476" s="87">
        <v>0</v>
      </c>
    </row>
    <row r="477" spans="1:58" ht="14.1" customHeight="1">
      <c r="A477" s="75">
        <f t="shared" si="553"/>
        <v>471</v>
      </c>
      <c r="B477" s="76" t="s">
        <v>656</v>
      </c>
      <c r="C477" s="80">
        <f t="shared" si="572"/>
        <v>0</v>
      </c>
      <c r="D477" s="87">
        <v>0</v>
      </c>
      <c r="E477" s="87">
        <v>0</v>
      </c>
      <c r="F477" s="87">
        <v>0</v>
      </c>
      <c r="G477" s="87">
        <v>0</v>
      </c>
      <c r="H477" s="87">
        <v>0</v>
      </c>
      <c r="I477" s="87">
        <v>0</v>
      </c>
      <c r="J477" s="87">
        <v>0</v>
      </c>
      <c r="K477" s="87">
        <v>0</v>
      </c>
      <c r="L477" s="87">
        <v>0</v>
      </c>
      <c r="M477" s="87">
        <v>0</v>
      </c>
      <c r="N477" s="87">
        <v>0</v>
      </c>
      <c r="O477" s="87">
        <v>0</v>
      </c>
      <c r="P477" s="87">
        <v>0</v>
      </c>
      <c r="Q477" s="87">
        <v>0</v>
      </c>
      <c r="R477" s="87">
        <v>0</v>
      </c>
      <c r="S477" s="87">
        <v>0</v>
      </c>
      <c r="T477" s="87">
        <v>0</v>
      </c>
      <c r="U477" s="87">
        <v>0</v>
      </c>
      <c r="V477" s="87">
        <v>0</v>
      </c>
      <c r="W477" s="87">
        <v>0</v>
      </c>
      <c r="X477" s="87">
        <v>0</v>
      </c>
      <c r="Y477" s="87">
        <v>0</v>
      </c>
      <c r="Z477" s="87">
        <v>0</v>
      </c>
      <c r="AA477" s="87">
        <v>0</v>
      </c>
      <c r="AB477" s="87">
        <v>0</v>
      </c>
      <c r="AC477" s="87">
        <v>0</v>
      </c>
      <c r="AD477" s="87">
        <v>0</v>
      </c>
      <c r="AE477" s="87">
        <v>0</v>
      </c>
      <c r="AF477" s="87">
        <v>0</v>
      </c>
      <c r="AG477" s="87">
        <v>0</v>
      </c>
      <c r="AH477" s="87">
        <v>0</v>
      </c>
      <c r="AI477" s="87">
        <v>0</v>
      </c>
      <c r="AJ477" s="87">
        <v>0</v>
      </c>
      <c r="AK477" s="87">
        <v>0</v>
      </c>
      <c r="AL477" s="87">
        <v>0</v>
      </c>
      <c r="AM477" s="87">
        <v>0</v>
      </c>
      <c r="AN477" s="87">
        <v>0</v>
      </c>
      <c r="AO477" s="87">
        <v>0</v>
      </c>
      <c r="AP477" s="87">
        <v>0</v>
      </c>
      <c r="AQ477" s="87">
        <v>0</v>
      </c>
      <c r="AR477" s="87">
        <v>0</v>
      </c>
      <c r="AS477" s="87">
        <v>0</v>
      </c>
      <c r="AT477" s="87">
        <v>0</v>
      </c>
      <c r="AU477" s="87">
        <v>0</v>
      </c>
      <c r="AV477" s="87">
        <v>0</v>
      </c>
      <c r="AW477" s="87">
        <v>0</v>
      </c>
      <c r="AX477" s="87">
        <v>0</v>
      </c>
      <c r="AY477" s="87">
        <v>0</v>
      </c>
      <c r="AZ477" s="87">
        <v>0</v>
      </c>
      <c r="BA477" s="87">
        <v>0</v>
      </c>
      <c r="BB477" s="87">
        <v>0</v>
      </c>
      <c r="BC477" s="87">
        <v>0</v>
      </c>
      <c r="BD477" s="87">
        <v>0</v>
      </c>
      <c r="BE477" s="87">
        <v>0</v>
      </c>
      <c r="BF477" s="87">
        <v>0</v>
      </c>
    </row>
    <row r="478" spans="1:58" ht="14.1" customHeight="1">
      <c r="A478" s="75">
        <f t="shared" si="553"/>
        <v>472</v>
      </c>
      <c r="B478" s="76" t="s">
        <v>658</v>
      </c>
      <c r="C478" s="80">
        <f t="shared" si="572"/>
        <v>1272655.7300000004</v>
      </c>
      <c r="D478" s="87">
        <v>0</v>
      </c>
      <c r="E478" s="87">
        <v>0</v>
      </c>
      <c r="F478" s="87">
        <v>0</v>
      </c>
      <c r="G478" s="87">
        <v>0</v>
      </c>
      <c r="H478" s="87">
        <v>0</v>
      </c>
      <c r="I478" s="87">
        <v>0</v>
      </c>
      <c r="J478" s="87">
        <v>0</v>
      </c>
      <c r="K478" s="87">
        <v>0</v>
      </c>
      <c r="L478" s="87">
        <v>0</v>
      </c>
      <c r="M478" s="87">
        <v>0</v>
      </c>
      <c r="N478" s="87">
        <v>0</v>
      </c>
      <c r="O478" s="87">
        <v>0</v>
      </c>
      <c r="P478" s="87">
        <v>0</v>
      </c>
      <c r="Q478" s="87">
        <v>0</v>
      </c>
      <c r="R478" s="87">
        <v>0</v>
      </c>
      <c r="S478" s="87">
        <v>0</v>
      </c>
      <c r="T478" s="87">
        <v>0</v>
      </c>
      <c r="U478" s="87">
        <v>82130.730000000447</v>
      </c>
      <c r="V478" s="87">
        <v>0</v>
      </c>
      <c r="W478" s="87">
        <v>0</v>
      </c>
      <c r="X478" s="87">
        <v>0</v>
      </c>
      <c r="Y478" s="87">
        <v>0</v>
      </c>
      <c r="Z478" s="87">
        <v>0</v>
      </c>
      <c r="AA478" s="87">
        <v>0</v>
      </c>
      <c r="AB478" s="87">
        <v>0</v>
      </c>
      <c r="AC478" s="87">
        <v>0</v>
      </c>
      <c r="AD478" s="87">
        <v>0</v>
      </c>
      <c r="AE478" s="87">
        <v>0</v>
      </c>
      <c r="AF478" s="87">
        <v>0</v>
      </c>
      <c r="AG478" s="87">
        <v>0</v>
      </c>
      <c r="AH478" s="87">
        <v>0</v>
      </c>
      <c r="AI478" s="87">
        <v>0</v>
      </c>
      <c r="AJ478" s="87">
        <v>0</v>
      </c>
      <c r="AK478" s="87">
        <v>0</v>
      </c>
      <c r="AL478" s="87">
        <v>0</v>
      </c>
      <c r="AM478" s="87">
        <v>0</v>
      </c>
      <c r="AN478" s="87">
        <v>0</v>
      </c>
      <c r="AO478" s="87">
        <v>0</v>
      </c>
      <c r="AP478" s="87">
        <v>1190525</v>
      </c>
      <c r="AQ478" s="87">
        <v>0</v>
      </c>
      <c r="AR478" s="87">
        <v>0</v>
      </c>
      <c r="AS478" s="87">
        <v>0</v>
      </c>
      <c r="AT478" s="87">
        <v>0</v>
      </c>
      <c r="AU478" s="87">
        <v>0</v>
      </c>
      <c r="AV478" s="87">
        <v>0</v>
      </c>
      <c r="AW478" s="87">
        <v>0</v>
      </c>
      <c r="AX478" s="87">
        <v>0</v>
      </c>
      <c r="AY478" s="87">
        <v>0</v>
      </c>
      <c r="AZ478" s="87">
        <v>0</v>
      </c>
      <c r="BA478" s="87">
        <v>0</v>
      </c>
      <c r="BB478" s="87">
        <v>0</v>
      </c>
      <c r="BC478" s="87">
        <v>0</v>
      </c>
      <c r="BD478" s="87">
        <v>0</v>
      </c>
      <c r="BE478" s="87">
        <v>0</v>
      </c>
      <c r="BF478" s="87">
        <v>0</v>
      </c>
    </row>
    <row r="479" spans="1:58" ht="13.5" customHeight="1">
      <c r="A479" s="75">
        <f t="shared" si="553"/>
        <v>473</v>
      </c>
      <c r="B479" s="76" t="s">
        <v>660</v>
      </c>
      <c r="C479" s="80">
        <f t="shared" si="572"/>
        <v>-0.36999999999898137</v>
      </c>
      <c r="D479" s="87">
        <v>0</v>
      </c>
      <c r="E479" s="87">
        <v>0</v>
      </c>
      <c r="F479" s="87">
        <v>0</v>
      </c>
      <c r="G479" s="87">
        <v>0</v>
      </c>
      <c r="H479" s="87">
        <v>0</v>
      </c>
      <c r="I479" s="87">
        <v>0</v>
      </c>
      <c r="J479" s="87">
        <v>0</v>
      </c>
      <c r="K479" s="87">
        <v>0</v>
      </c>
      <c r="L479" s="87">
        <v>0</v>
      </c>
      <c r="M479" s="87">
        <v>0</v>
      </c>
      <c r="N479" s="87">
        <v>0</v>
      </c>
      <c r="O479" s="87">
        <v>0</v>
      </c>
      <c r="P479" s="87">
        <v>0</v>
      </c>
      <c r="Q479" s="87">
        <v>0</v>
      </c>
      <c r="R479" s="87">
        <v>0</v>
      </c>
      <c r="S479" s="87">
        <v>0</v>
      </c>
      <c r="T479" s="87">
        <v>0</v>
      </c>
      <c r="U479" s="87">
        <v>-0.36999999999898137</v>
      </c>
      <c r="V479" s="87">
        <v>0</v>
      </c>
      <c r="W479" s="87">
        <v>0</v>
      </c>
      <c r="X479" s="87">
        <v>0</v>
      </c>
      <c r="Y479" s="87">
        <v>0</v>
      </c>
      <c r="Z479" s="87">
        <v>0</v>
      </c>
      <c r="AA479" s="87">
        <v>0</v>
      </c>
      <c r="AB479" s="87">
        <v>0</v>
      </c>
      <c r="AC479" s="87">
        <v>0</v>
      </c>
      <c r="AD479" s="87">
        <v>0</v>
      </c>
      <c r="AE479" s="87">
        <v>0</v>
      </c>
      <c r="AF479" s="87">
        <v>0</v>
      </c>
      <c r="AG479" s="87">
        <v>0</v>
      </c>
      <c r="AH479" s="87">
        <v>0</v>
      </c>
      <c r="AI479" s="87">
        <v>0</v>
      </c>
      <c r="AJ479" s="87">
        <v>0</v>
      </c>
      <c r="AK479" s="87">
        <v>0</v>
      </c>
      <c r="AL479" s="87">
        <v>0</v>
      </c>
      <c r="AM479" s="87">
        <v>0</v>
      </c>
      <c r="AN479" s="87">
        <v>0</v>
      </c>
      <c r="AO479" s="87">
        <v>0</v>
      </c>
      <c r="AP479" s="87">
        <v>0</v>
      </c>
      <c r="AQ479" s="87">
        <v>0</v>
      </c>
      <c r="AR479" s="87">
        <v>0</v>
      </c>
      <c r="AS479" s="87">
        <v>0</v>
      </c>
      <c r="AT479" s="87">
        <v>0</v>
      </c>
      <c r="AU479" s="87">
        <v>0</v>
      </c>
      <c r="AV479" s="87">
        <v>0</v>
      </c>
      <c r="AW479" s="87">
        <v>0</v>
      </c>
      <c r="AX479" s="87">
        <v>0</v>
      </c>
      <c r="AY479" s="87">
        <v>0</v>
      </c>
      <c r="AZ479" s="87">
        <v>0</v>
      </c>
      <c r="BA479" s="87">
        <v>0</v>
      </c>
      <c r="BB479" s="87">
        <v>0</v>
      </c>
      <c r="BC479" s="87">
        <v>0</v>
      </c>
      <c r="BD479" s="87">
        <v>0</v>
      </c>
      <c r="BE479" s="87">
        <v>0</v>
      </c>
      <c r="BF479" s="87">
        <v>0</v>
      </c>
    </row>
    <row r="480" spans="1:58" ht="13.5" customHeight="1">
      <c r="A480" s="75">
        <f t="shared" si="553"/>
        <v>474</v>
      </c>
      <c r="B480" s="76" t="s">
        <v>662</v>
      </c>
      <c r="C480" s="80">
        <f t="shared" si="572"/>
        <v>0</v>
      </c>
      <c r="D480" s="87">
        <v>0</v>
      </c>
      <c r="E480" s="87">
        <v>0</v>
      </c>
      <c r="F480" s="87">
        <v>0</v>
      </c>
      <c r="G480" s="87">
        <v>0</v>
      </c>
      <c r="H480" s="87">
        <v>0</v>
      </c>
      <c r="I480" s="87">
        <v>0</v>
      </c>
      <c r="J480" s="87">
        <v>0</v>
      </c>
      <c r="K480" s="87">
        <v>0</v>
      </c>
      <c r="L480" s="87">
        <v>0</v>
      </c>
      <c r="M480" s="87">
        <v>0</v>
      </c>
      <c r="N480" s="87">
        <v>0</v>
      </c>
      <c r="O480" s="87">
        <v>0</v>
      </c>
      <c r="P480" s="87">
        <v>0</v>
      </c>
      <c r="Q480" s="87">
        <v>0</v>
      </c>
      <c r="R480" s="87">
        <v>0</v>
      </c>
      <c r="S480" s="87">
        <v>0</v>
      </c>
      <c r="T480" s="87">
        <v>0</v>
      </c>
      <c r="U480" s="87">
        <v>0</v>
      </c>
      <c r="V480" s="87">
        <v>0</v>
      </c>
      <c r="W480" s="87">
        <v>0</v>
      </c>
      <c r="X480" s="87">
        <v>0</v>
      </c>
      <c r="Y480" s="87">
        <v>0</v>
      </c>
      <c r="Z480" s="87">
        <v>0</v>
      </c>
      <c r="AA480" s="87">
        <v>0</v>
      </c>
      <c r="AB480" s="87">
        <v>0</v>
      </c>
      <c r="AC480" s="87">
        <v>0</v>
      </c>
      <c r="AD480" s="87">
        <v>0</v>
      </c>
      <c r="AE480" s="87">
        <v>0</v>
      </c>
      <c r="AF480" s="87">
        <v>0</v>
      </c>
      <c r="AG480" s="87">
        <v>0</v>
      </c>
      <c r="AH480" s="87">
        <v>0</v>
      </c>
      <c r="AI480" s="87">
        <v>0</v>
      </c>
      <c r="AJ480" s="87">
        <v>0</v>
      </c>
      <c r="AK480" s="87">
        <v>0</v>
      </c>
      <c r="AL480" s="87">
        <v>0</v>
      </c>
      <c r="AM480" s="87">
        <v>0</v>
      </c>
      <c r="AN480" s="87">
        <v>0</v>
      </c>
      <c r="AO480" s="87">
        <v>0</v>
      </c>
      <c r="AP480" s="87">
        <v>0</v>
      </c>
      <c r="AQ480" s="87">
        <v>0</v>
      </c>
      <c r="AR480" s="87">
        <v>0</v>
      </c>
      <c r="AS480" s="87">
        <v>0</v>
      </c>
      <c r="AT480" s="87">
        <v>0</v>
      </c>
      <c r="AU480" s="87">
        <v>0</v>
      </c>
      <c r="AV480" s="87">
        <v>0</v>
      </c>
      <c r="AW480" s="87">
        <v>0</v>
      </c>
      <c r="AX480" s="87">
        <v>0</v>
      </c>
      <c r="AY480" s="87">
        <v>0</v>
      </c>
      <c r="AZ480" s="87">
        <v>0</v>
      </c>
      <c r="BA480" s="87">
        <v>0</v>
      </c>
      <c r="BB480" s="87">
        <v>0</v>
      </c>
      <c r="BC480" s="87">
        <v>0</v>
      </c>
      <c r="BD480" s="87">
        <v>0</v>
      </c>
      <c r="BE480" s="87">
        <v>0</v>
      </c>
      <c r="BF480" s="87">
        <v>0</v>
      </c>
    </row>
    <row r="481" spans="1:58" ht="14.1" customHeight="1">
      <c r="A481" s="75">
        <f t="shared" si="553"/>
        <v>475</v>
      </c>
      <c r="B481" s="76" t="s">
        <v>664</v>
      </c>
      <c r="C481" s="80">
        <f t="shared" si="572"/>
        <v>131.96999999999935</v>
      </c>
      <c r="D481" s="87">
        <v>0</v>
      </c>
      <c r="E481" s="87">
        <v>0</v>
      </c>
      <c r="F481" s="87">
        <v>0</v>
      </c>
      <c r="G481" s="87">
        <v>0</v>
      </c>
      <c r="H481" s="87">
        <v>0</v>
      </c>
      <c r="I481" s="87">
        <v>0</v>
      </c>
      <c r="J481" s="87">
        <v>0</v>
      </c>
      <c r="K481" s="87">
        <v>0</v>
      </c>
      <c r="L481" s="87">
        <v>0</v>
      </c>
      <c r="M481" s="87">
        <v>0</v>
      </c>
      <c r="N481" s="87">
        <v>0</v>
      </c>
      <c r="O481" s="87">
        <v>0</v>
      </c>
      <c r="P481" s="87">
        <v>0</v>
      </c>
      <c r="Q481" s="87">
        <v>0</v>
      </c>
      <c r="R481" s="87">
        <v>0</v>
      </c>
      <c r="S481" s="87">
        <v>0</v>
      </c>
      <c r="T481" s="87">
        <v>0</v>
      </c>
      <c r="U481" s="87">
        <v>131.96999999999935</v>
      </c>
      <c r="V481" s="87">
        <v>0</v>
      </c>
      <c r="W481" s="87">
        <v>0</v>
      </c>
      <c r="X481" s="87">
        <v>0</v>
      </c>
      <c r="Y481" s="87">
        <v>0</v>
      </c>
      <c r="Z481" s="87">
        <v>0</v>
      </c>
      <c r="AA481" s="87">
        <v>0</v>
      </c>
      <c r="AB481" s="87">
        <v>0</v>
      </c>
      <c r="AC481" s="87">
        <v>0</v>
      </c>
      <c r="AD481" s="87">
        <v>0</v>
      </c>
      <c r="AE481" s="87">
        <v>0</v>
      </c>
      <c r="AF481" s="87">
        <v>0</v>
      </c>
      <c r="AG481" s="87">
        <v>0</v>
      </c>
      <c r="AH481" s="87">
        <v>0</v>
      </c>
      <c r="AI481" s="87">
        <v>0</v>
      </c>
      <c r="AJ481" s="87">
        <v>0</v>
      </c>
      <c r="AK481" s="87">
        <v>0</v>
      </c>
      <c r="AL481" s="87">
        <v>0</v>
      </c>
      <c r="AM481" s="87">
        <v>0</v>
      </c>
      <c r="AN481" s="87">
        <v>0</v>
      </c>
      <c r="AO481" s="87">
        <v>0</v>
      </c>
      <c r="AP481" s="87">
        <v>0</v>
      </c>
      <c r="AQ481" s="87">
        <v>0</v>
      </c>
      <c r="AR481" s="87">
        <v>0</v>
      </c>
      <c r="AS481" s="87">
        <v>0</v>
      </c>
      <c r="AT481" s="87">
        <v>0</v>
      </c>
      <c r="AU481" s="87">
        <v>0</v>
      </c>
      <c r="AV481" s="87">
        <v>0</v>
      </c>
      <c r="AW481" s="87">
        <v>0</v>
      </c>
      <c r="AX481" s="87">
        <v>0</v>
      </c>
      <c r="AY481" s="87">
        <v>0</v>
      </c>
      <c r="AZ481" s="87">
        <v>0</v>
      </c>
      <c r="BA481" s="87">
        <v>0</v>
      </c>
      <c r="BB481" s="87">
        <v>0</v>
      </c>
      <c r="BC481" s="87">
        <v>0</v>
      </c>
      <c r="BD481" s="87">
        <v>0</v>
      </c>
      <c r="BE481" s="87">
        <v>0</v>
      </c>
      <c r="BF481" s="87">
        <v>0</v>
      </c>
    </row>
    <row r="482" spans="1:58" ht="14.1" customHeight="1">
      <c r="A482" s="75">
        <f t="shared" si="553"/>
        <v>476</v>
      </c>
      <c r="B482" s="90" t="s">
        <v>666</v>
      </c>
      <c r="C482" s="80">
        <f t="shared" si="572"/>
        <v>2121.3000000000466</v>
      </c>
      <c r="D482" s="87">
        <v>0</v>
      </c>
      <c r="E482" s="87">
        <v>0</v>
      </c>
      <c r="F482" s="87">
        <v>0</v>
      </c>
      <c r="G482" s="87">
        <v>0</v>
      </c>
      <c r="H482" s="87">
        <v>0</v>
      </c>
      <c r="I482" s="87">
        <v>0</v>
      </c>
      <c r="J482" s="87">
        <v>0</v>
      </c>
      <c r="K482" s="87">
        <v>0</v>
      </c>
      <c r="L482" s="87">
        <v>0</v>
      </c>
      <c r="M482" s="87">
        <v>0</v>
      </c>
      <c r="N482" s="87">
        <v>0</v>
      </c>
      <c r="O482" s="87">
        <v>0</v>
      </c>
      <c r="P482" s="87">
        <v>0</v>
      </c>
      <c r="Q482" s="87">
        <v>0</v>
      </c>
      <c r="R482" s="87">
        <v>0</v>
      </c>
      <c r="S482" s="87">
        <v>0</v>
      </c>
      <c r="T482" s="87">
        <v>0</v>
      </c>
      <c r="U482" s="87">
        <v>2121.3000000000466</v>
      </c>
      <c r="V482" s="87">
        <v>0</v>
      </c>
      <c r="W482" s="87">
        <v>0</v>
      </c>
      <c r="X482" s="87">
        <v>0</v>
      </c>
      <c r="Y482" s="87">
        <v>0</v>
      </c>
      <c r="Z482" s="87">
        <v>0</v>
      </c>
      <c r="AA482" s="87">
        <v>0</v>
      </c>
      <c r="AB482" s="87">
        <v>0</v>
      </c>
      <c r="AC482" s="87">
        <v>0</v>
      </c>
      <c r="AD482" s="87">
        <v>0</v>
      </c>
      <c r="AE482" s="87">
        <v>0</v>
      </c>
      <c r="AF482" s="87">
        <v>0</v>
      </c>
      <c r="AG482" s="87">
        <v>0</v>
      </c>
      <c r="AH482" s="87">
        <v>0</v>
      </c>
      <c r="AI482" s="87">
        <v>0</v>
      </c>
      <c r="AJ482" s="87">
        <v>0</v>
      </c>
      <c r="AK482" s="87">
        <v>0</v>
      </c>
      <c r="AL482" s="87">
        <v>0</v>
      </c>
      <c r="AM482" s="87">
        <v>0</v>
      </c>
      <c r="AN482" s="87">
        <v>0</v>
      </c>
      <c r="AO482" s="87">
        <v>0</v>
      </c>
      <c r="AP482" s="87">
        <v>0</v>
      </c>
      <c r="AQ482" s="87">
        <v>0</v>
      </c>
      <c r="AR482" s="87">
        <v>0</v>
      </c>
      <c r="AS482" s="87">
        <v>0</v>
      </c>
      <c r="AT482" s="87">
        <v>0</v>
      </c>
      <c r="AU482" s="87">
        <v>0</v>
      </c>
      <c r="AV482" s="87">
        <v>0</v>
      </c>
      <c r="AW482" s="87">
        <v>0</v>
      </c>
      <c r="AX482" s="87">
        <v>0</v>
      </c>
      <c r="AY482" s="87">
        <v>0</v>
      </c>
      <c r="AZ482" s="87">
        <v>0</v>
      </c>
      <c r="BA482" s="87">
        <v>0</v>
      </c>
      <c r="BB482" s="87">
        <v>0</v>
      </c>
      <c r="BC482" s="87">
        <v>0</v>
      </c>
      <c r="BD482" s="87">
        <v>0</v>
      </c>
      <c r="BE482" s="87">
        <v>0</v>
      </c>
      <c r="BF482" s="87">
        <v>0</v>
      </c>
    </row>
    <row r="483" spans="1:58" ht="14.1" customHeight="1">
      <c r="A483" s="75">
        <f t="shared" si="553"/>
        <v>477</v>
      </c>
      <c r="B483" s="108" t="s">
        <v>668</v>
      </c>
      <c r="C483" s="97">
        <f t="shared" ref="C483:V483" si="573">SUM(C471:C482)</f>
        <v>5888215.6612645462</v>
      </c>
      <c r="D483" s="97">
        <f t="shared" si="573"/>
        <v>0</v>
      </c>
      <c r="E483" s="97">
        <f t="shared" si="573"/>
        <v>0</v>
      </c>
      <c r="F483" s="97">
        <f t="shared" si="573"/>
        <v>0</v>
      </c>
      <c r="G483" s="97">
        <f t="shared" si="573"/>
        <v>0</v>
      </c>
      <c r="H483" s="97">
        <f t="shared" si="573"/>
        <v>0</v>
      </c>
      <c r="I483" s="97">
        <f t="shared" si="573"/>
        <v>0</v>
      </c>
      <c r="J483" s="97">
        <f t="shared" si="573"/>
        <v>0</v>
      </c>
      <c r="K483" s="97">
        <f t="shared" si="573"/>
        <v>0</v>
      </c>
      <c r="L483" s="97">
        <f t="shared" si="573"/>
        <v>0</v>
      </c>
      <c r="M483" s="97">
        <f t="shared" si="573"/>
        <v>0</v>
      </c>
      <c r="N483" s="97">
        <f t="shared" si="573"/>
        <v>0</v>
      </c>
      <c r="O483" s="97">
        <f t="shared" si="573"/>
        <v>0</v>
      </c>
      <c r="P483" s="97">
        <f t="shared" si="573"/>
        <v>0</v>
      </c>
      <c r="Q483" s="97">
        <f t="shared" si="573"/>
        <v>0</v>
      </c>
      <c r="R483" s="97">
        <f t="shared" si="573"/>
        <v>0</v>
      </c>
      <c r="S483" s="97">
        <f t="shared" si="573"/>
        <v>0</v>
      </c>
      <c r="T483" s="97">
        <f t="shared" si="573"/>
        <v>0</v>
      </c>
      <c r="U483" s="97">
        <f t="shared" si="573"/>
        <v>376559.890000001</v>
      </c>
      <c r="V483" s="97">
        <f t="shared" si="573"/>
        <v>-188833</v>
      </c>
      <c r="W483" s="97">
        <f>SUM(W471:W482)</f>
        <v>0</v>
      </c>
      <c r="X483" s="97">
        <f t="shared" ref="X483:AD483" si="574">SUM(X471:X482)</f>
        <v>0</v>
      </c>
      <c r="Y483" s="97">
        <f>SUM(Y471:Y482)</f>
        <v>0</v>
      </c>
      <c r="Z483" s="97">
        <f t="shared" si="574"/>
        <v>0</v>
      </c>
      <c r="AA483" s="97">
        <f t="shared" si="574"/>
        <v>0</v>
      </c>
      <c r="AB483" s="97">
        <f t="shared" si="574"/>
        <v>0</v>
      </c>
      <c r="AC483" s="97">
        <f t="shared" si="574"/>
        <v>0</v>
      </c>
      <c r="AD483" s="97">
        <f t="shared" si="574"/>
        <v>0</v>
      </c>
      <c r="AE483" s="97">
        <f>SUM(AE471:AE482)</f>
        <v>0</v>
      </c>
      <c r="AF483" s="97">
        <f>SUM(AF471:AF482)</f>
        <v>0</v>
      </c>
      <c r="AG483" s="97">
        <f>SUM(AG471:AG482)</f>
        <v>247150.41459788004</v>
      </c>
      <c r="AH483" s="97">
        <f t="shared" ref="AH483:AL483" si="575">SUM(AH471:AH482)</f>
        <v>0</v>
      </c>
      <c r="AI483" s="97">
        <f t="shared" si="575"/>
        <v>0</v>
      </c>
      <c r="AJ483" s="97">
        <f t="shared" si="575"/>
        <v>0</v>
      </c>
      <c r="AK483" s="97">
        <f t="shared" si="575"/>
        <v>0</v>
      </c>
      <c r="AL483" s="97">
        <f t="shared" si="575"/>
        <v>0</v>
      </c>
      <c r="AM483" s="97">
        <f>SUM(AM471:AM482)</f>
        <v>0</v>
      </c>
      <c r="AN483" s="97">
        <f>SUM(AN471:AN482)</f>
        <v>4262813.3566666655</v>
      </c>
      <c r="AO483" s="97">
        <f>SUM(AO471:AO482)</f>
        <v>0</v>
      </c>
      <c r="AP483" s="97">
        <f>SUM(AP471:AP482)</f>
        <v>1190525</v>
      </c>
      <c r="AQ483" s="97">
        <f>SUM(AQ471:AQ482)</f>
        <v>0</v>
      </c>
      <c r="AR483" s="97">
        <f t="shared" ref="AR483" si="576">SUM(AR471:AR482)</f>
        <v>0</v>
      </c>
      <c r="AS483" s="97">
        <f>SUM(AS471:AS482)</f>
        <v>0</v>
      </c>
      <c r="AT483" s="97">
        <f t="shared" ref="AT483:AV483" si="577">SUM(AT471:AT482)</f>
        <v>0</v>
      </c>
      <c r="AU483" s="97">
        <f t="shared" si="577"/>
        <v>0</v>
      </c>
      <c r="AV483" s="97">
        <f t="shared" si="577"/>
        <v>0</v>
      </c>
      <c r="AW483" s="97">
        <f>SUM(AW471:AW482)</f>
        <v>0</v>
      </c>
      <c r="AX483" s="97">
        <f t="shared" ref="AX483:BF483" si="578">SUM(AX471:AX482)</f>
        <v>0</v>
      </c>
      <c r="AY483" s="97">
        <f t="shared" si="578"/>
        <v>0</v>
      </c>
      <c r="AZ483" s="97">
        <f t="shared" si="578"/>
        <v>0</v>
      </c>
      <c r="BA483" s="97">
        <f t="shared" si="578"/>
        <v>0</v>
      </c>
      <c r="BB483" s="97">
        <f t="shared" si="578"/>
        <v>0</v>
      </c>
      <c r="BC483" s="97">
        <f t="shared" si="578"/>
        <v>0</v>
      </c>
      <c r="BD483" s="97">
        <f t="shared" si="578"/>
        <v>0</v>
      </c>
      <c r="BE483" s="97">
        <f t="shared" si="578"/>
        <v>0</v>
      </c>
      <c r="BF483" s="97">
        <f t="shared" si="578"/>
        <v>0</v>
      </c>
    </row>
    <row r="484" spans="1:58" ht="14.1" customHeight="1">
      <c r="A484" s="75">
        <f t="shared" si="553"/>
        <v>478</v>
      </c>
      <c r="B484" s="108"/>
      <c r="C484" s="108"/>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row>
    <row r="485" spans="1:58" ht="13.5" customHeight="1">
      <c r="A485" s="75">
        <f t="shared" si="553"/>
        <v>479</v>
      </c>
      <c r="B485" s="76" t="s">
        <v>669</v>
      </c>
      <c r="C485" s="80">
        <f t="shared" ref="C485:C500" si="579">SUM(D485:BF485)</f>
        <v>-3948965.8600000003</v>
      </c>
      <c r="D485" s="87">
        <v>0</v>
      </c>
      <c r="E485" s="87">
        <v>0</v>
      </c>
      <c r="F485" s="87">
        <v>0</v>
      </c>
      <c r="G485" s="87">
        <v>0</v>
      </c>
      <c r="H485" s="87">
        <v>0</v>
      </c>
      <c r="I485" s="87">
        <v>0</v>
      </c>
      <c r="J485" s="87">
        <v>0</v>
      </c>
      <c r="K485" s="87">
        <v>0</v>
      </c>
      <c r="L485" s="87">
        <v>0</v>
      </c>
      <c r="M485" s="87">
        <v>0</v>
      </c>
      <c r="N485" s="87">
        <v>0</v>
      </c>
      <c r="O485" s="87">
        <v>0</v>
      </c>
      <c r="P485" s="87">
        <v>0</v>
      </c>
      <c r="Q485" s="87">
        <v>0</v>
      </c>
      <c r="R485" s="87">
        <v>0</v>
      </c>
      <c r="S485" s="87">
        <v>0</v>
      </c>
      <c r="T485" s="87">
        <v>0</v>
      </c>
      <c r="U485" s="87">
        <v>-8515.8600000001024</v>
      </c>
      <c r="V485" s="87">
        <v>0</v>
      </c>
      <c r="W485" s="87">
        <v>0</v>
      </c>
      <c r="X485" s="87">
        <v>0</v>
      </c>
      <c r="Y485" s="87">
        <v>0</v>
      </c>
      <c r="Z485" s="87">
        <v>0</v>
      </c>
      <c r="AA485" s="87">
        <v>0</v>
      </c>
      <c r="AB485" s="87">
        <v>0</v>
      </c>
      <c r="AC485" s="87">
        <v>0</v>
      </c>
      <c r="AD485" s="87">
        <v>0</v>
      </c>
      <c r="AE485" s="87">
        <v>0</v>
      </c>
      <c r="AF485" s="87">
        <v>0</v>
      </c>
      <c r="AG485" s="87">
        <v>0</v>
      </c>
      <c r="AH485" s="87">
        <v>0</v>
      </c>
      <c r="AI485" s="87">
        <v>0</v>
      </c>
      <c r="AJ485" s="87">
        <v>0</v>
      </c>
      <c r="AK485" s="87">
        <v>0</v>
      </c>
      <c r="AL485" s="87">
        <v>0</v>
      </c>
      <c r="AM485" s="87">
        <v>-3940450</v>
      </c>
      <c r="AN485" s="87">
        <v>0</v>
      </c>
      <c r="AO485" s="87">
        <v>0</v>
      </c>
      <c r="AP485" s="87">
        <v>0</v>
      </c>
      <c r="AQ485" s="87">
        <v>0</v>
      </c>
      <c r="AR485" s="87">
        <v>0</v>
      </c>
      <c r="AS485" s="87">
        <v>0</v>
      </c>
      <c r="AT485" s="87">
        <v>0</v>
      </c>
      <c r="AU485" s="87">
        <v>0</v>
      </c>
      <c r="AV485" s="87">
        <v>0</v>
      </c>
      <c r="AW485" s="87">
        <v>0</v>
      </c>
      <c r="AX485" s="87">
        <v>0</v>
      </c>
      <c r="AY485" s="87">
        <v>0</v>
      </c>
      <c r="AZ485" s="87">
        <v>0</v>
      </c>
      <c r="BA485" s="87">
        <v>0</v>
      </c>
      <c r="BB485" s="87">
        <v>0</v>
      </c>
      <c r="BC485" s="87">
        <v>0</v>
      </c>
      <c r="BD485" s="87">
        <v>0</v>
      </c>
      <c r="BE485" s="87">
        <v>0</v>
      </c>
      <c r="BF485" s="87">
        <v>0</v>
      </c>
    </row>
    <row r="486" spans="1:58" ht="13.5" customHeight="1">
      <c r="A486" s="75">
        <f t="shared" si="553"/>
        <v>480</v>
      </c>
      <c r="B486" s="76" t="s">
        <v>670</v>
      </c>
      <c r="C486" s="80">
        <f t="shared" si="579"/>
        <v>-57526.129999999888</v>
      </c>
      <c r="D486" s="87">
        <v>0</v>
      </c>
      <c r="E486" s="87">
        <v>0</v>
      </c>
      <c r="F486" s="87">
        <v>0</v>
      </c>
      <c r="G486" s="87">
        <v>0</v>
      </c>
      <c r="H486" s="87">
        <v>0</v>
      </c>
      <c r="I486" s="87">
        <v>0</v>
      </c>
      <c r="J486" s="87">
        <v>0</v>
      </c>
      <c r="K486" s="87">
        <v>0</v>
      </c>
      <c r="L486" s="87">
        <v>0</v>
      </c>
      <c r="M486" s="87">
        <v>0</v>
      </c>
      <c r="N486" s="87">
        <v>0</v>
      </c>
      <c r="O486" s="87">
        <v>0</v>
      </c>
      <c r="P486" s="87">
        <v>0</v>
      </c>
      <c r="Q486" s="87">
        <v>0</v>
      </c>
      <c r="R486" s="87">
        <v>0</v>
      </c>
      <c r="S486" s="87">
        <v>0</v>
      </c>
      <c r="T486" s="87">
        <v>0</v>
      </c>
      <c r="U486" s="87">
        <v>-57526.129999999888</v>
      </c>
      <c r="V486" s="87">
        <v>0</v>
      </c>
      <c r="W486" s="87">
        <v>0</v>
      </c>
      <c r="X486" s="87">
        <v>0</v>
      </c>
      <c r="Y486" s="87">
        <v>0</v>
      </c>
      <c r="Z486" s="87">
        <v>0</v>
      </c>
      <c r="AA486" s="87">
        <v>0</v>
      </c>
      <c r="AB486" s="87">
        <v>0</v>
      </c>
      <c r="AC486" s="87">
        <v>0</v>
      </c>
      <c r="AD486" s="87">
        <v>0</v>
      </c>
      <c r="AE486" s="87">
        <v>0</v>
      </c>
      <c r="AF486" s="87">
        <v>0</v>
      </c>
      <c r="AG486" s="87">
        <v>0</v>
      </c>
      <c r="AH486" s="87">
        <v>0</v>
      </c>
      <c r="AI486" s="87">
        <v>0</v>
      </c>
      <c r="AJ486" s="87">
        <v>0</v>
      </c>
      <c r="AK486" s="87">
        <v>0</v>
      </c>
      <c r="AL486" s="87">
        <v>0</v>
      </c>
      <c r="AM486" s="87">
        <v>0</v>
      </c>
      <c r="AN486" s="87">
        <v>0</v>
      </c>
      <c r="AO486" s="87">
        <v>0</v>
      </c>
      <c r="AP486" s="87">
        <v>0</v>
      </c>
      <c r="AQ486" s="87">
        <v>0</v>
      </c>
      <c r="AR486" s="87">
        <v>0</v>
      </c>
      <c r="AS486" s="87">
        <v>0</v>
      </c>
      <c r="AT486" s="87">
        <v>0</v>
      </c>
      <c r="AU486" s="87">
        <v>0</v>
      </c>
      <c r="AV486" s="87">
        <v>0</v>
      </c>
      <c r="AW486" s="87">
        <v>0</v>
      </c>
      <c r="AX486" s="87">
        <v>0</v>
      </c>
      <c r="AY486" s="87">
        <v>0</v>
      </c>
      <c r="AZ486" s="87">
        <v>0</v>
      </c>
      <c r="BA486" s="87">
        <v>0</v>
      </c>
      <c r="BB486" s="87">
        <v>0</v>
      </c>
      <c r="BC486" s="87">
        <v>0</v>
      </c>
      <c r="BD486" s="87">
        <v>0</v>
      </c>
      <c r="BE486" s="87">
        <v>0</v>
      </c>
      <c r="BF486" s="87">
        <v>0</v>
      </c>
    </row>
    <row r="487" spans="1:58" ht="13.5" customHeight="1">
      <c r="A487" s="75">
        <f t="shared" si="553"/>
        <v>481</v>
      </c>
      <c r="B487" s="76" t="s">
        <v>671</v>
      </c>
      <c r="C487" s="80">
        <f t="shared" si="579"/>
        <v>-1363.5200000000186</v>
      </c>
      <c r="D487" s="87">
        <v>0</v>
      </c>
      <c r="E487" s="87">
        <v>0</v>
      </c>
      <c r="F487" s="87">
        <v>0</v>
      </c>
      <c r="G487" s="87">
        <v>0</v>
      </c>
      <c r="H487" s="87">
        <v>0</v>
      </c>
      <c r="I487" s="87">
        <v>0</v>
      </c>
      <c r="J487" s="87">
        <v>0</v>
      </c>
      <c r="K487" s="87">
        <v>0</v>
      </c>
      <c r="L487" s="87">
        <v>0</v>
      </c>
      <c r="M487" s="87">
        <v>0</v>
      </c>
      <c r="N487" s="87">
        <v>0</v>
      </c>
      <c r="O487" s="87">
        <v>0</v>
      </c>
      <c r="P487" s="87">
        <v>0</v>
      </c>
      <c r="Q487" s="87">
        <v>0</v>
      </c>
      <c r="R487" s="87">
        <v>0</v>
      </c>
      <c r="S487" s="87">
        <v>0</v>
      </c>
      <c r="T487" s="87">
        <v>0</v>
      </c>
      <c r="U487" s="87">
        <v>-1363.5200000000186</v>
      </c>
      <c r="V487" s="87">
        <v>0</v>
      </c>
      <c r="W487" s="87">
        <v>0</v>
      </c>
      <c r="X487" s="87">
        <v>0</v>
      </c>
      <c r="Y487" s="87">
        <v>0</v>
      </c>
      <c r="Z487" s="87">
        <v>0</v>
      </c>
      <c r="AA487" s="87">
        <v>0</v>
      </c>
      <c r="AB487" s="87">
        <v>0</v>
      </c>
      <c r="AC487" s="87">
        <v>0</v>
      </c>
      <c r="AD487" s="87">
        <v>0</v>
      </c>
      <c r="AE487" s="87">
        <v>0</v>
      </c>
      <c r="AF487" s="87">
        <v>0</v>
      </c>
      <c r="AG487" s="87">
        <v>0</v>
      </c>
      <c r="AH487" s="87">
        <v>0</v>
      </c>
      <c r="AI487" s="87">
        <v>0</v>
      </c>
      <c r="AJ487" s="87">
        <v>0</v>
      </c>
      <c r="AK487" s="87">
        <v>0</v>
      </c>
      <c r="AL487" s="87">
        <v>0</v>
      </c>
      <c r="AM487" s="87">
        <v>0</v>
      </c>
      <c r="AN487" s="87">
        <v>0</v>
      </c>
      <c r="AO487" s="87">
        <v>0</v>
      </c>
      <c r="AP487" s="87">
        <v>0</v>
      </c>
      <c r="AQ487" s="87">
        <v>0</v>
      </c>
      <c r="AR487" s="87">
        <v>0</v>
      </c>
      <c r="AS487" s="87">
        <v>0</v>
      </c>
      <c r="AT487" s="87">
        <v>0</v>
      </c>
      <c r="AU487" s="87">
        <v>0</v>
      </c>
      <c r="AV487" s="87">
        <v>0</v>
      </c>
      <c r="AW487" s="87">
        <v>0</v>
      </c>
      <c r="AX487" s="87">
        <v>0</v>
      </c>
      <c r="AY487" s="87">
        <v>0</v>
      </c>
      <c r="AZ487" s="87">
        <v>0</v>
      </c>
      <c r="BA487" s="87">
        <v>0</v>
      </c>
      <c r="BB487" s="87">
        <v>0</v>
      </c>
      <c r="BC487" s="87">
        <v>0</v>
      </c>
      <c r="BD487" s="87">
        <v>0</v>
      </c>
      <c r="BE487" s="87">
        <v>0</v>
      </c>
      <c r="BF487" s="87">
        <v>0</v>
      </c>
    </row>
    <row r="488" spans="1:58" ht="13.5" customHeight="1">
      <c r="A488" s="75">
        <f t="shared" si="553"/>
        <v>482</v>
      </c>
      <c r="B488" s="76" t="s">
        <v>672</v>
      </c>
      <c r="C488" s="80">
        <f t="shared" si="579"/>
        <v>-2727.5100000000093</v>
      </c>
      <c r="D488" s="87">
        <v>0</v>
      </c>
      <c r="E488" s="87">
        <v>0</v>
      </c>
      <c r="F488" s="87">
        <v>0</v>
      </c>
      <c r="G488" s="87">
        <v>0</v>
      </c>
      <c r="H488" s="87">
        <v>0</v>
      </c>
      <c r="I488" s="87">
        <v>0</v>
      </c>
      <c r="J488" s="87">
        <v>0</v>
      </c>
      <c r="K488" s="87">
        <v>0</v>
      </c>
      <c r="L488" s="87">
        <v>0</v>
      </c>
      <c r="M488" s="87">
        <v>0</v>
      </c>
      <c r="N488" s="87">
        <v>0</v>
      </c>
      <c r="O488" s="87">
        <v>0</v>
      </c>
      <c r="P488" s="87">
        <v>0</v>
      </c>
      <c r="Q488" s="87">
        <v>0</v>
      </c>
      <c r="R488" s="87">
        <v>0</v>
      </c>
      <c r="S488" s="87">
        <v>0</v>
      </c>
      <c r="T488" s="87">
        <v>0</v>
      </c>
      <c r="U488" s="87">
        <v>-2727.5100000000093</v>
      </c>
      <c r="V488" s="87">
        <v>0</v>
      </c>
      <c r="W488" s="87">
        <v>0</v>
      </c>
      <c r="X488" s="87">
        <v>0</v>
      </c>
      <c r="Y488" s="87">
        <v>0</v>
      </c>
      <c r="Z488" s="87">
        <v>0</v>
      </c>
      <c r="AA488" s="87">
        <v>0</v>
      </c>
      <c r="AB488" s="87">
        <v>0</v>
      </c>
      <c r="AC488" s="87">
        <v>0</v>
      </c>
      <c r="AD488" s="87">
        <v>0</v>
      </c>
      <c r="AE488" s="87">
        <v>0</v>
      </c>
      <c r="AF488" s="87">
        <v>0</v>
      </c>
      <c r="AG488" s="87">
        <v>0</v>
      </c>
      <c r="AH488" s="87">
        <v>0</v>
      </c>
      <c r="AI488" s="87">
        <v>0</v>
      </c>
      <c r="AJ488" s="87">
        <v>0</v>
      </c>
      <c r="AK488" s="87">
        <v>0</v>
      </c>
      <c r="AL488" s="87">
        <v>0</v>
      </c>
      <c r="AM488" s="87">
        <v>0</v>
      </c>
      <c r="AN488" s="87">
        <v>0</v>
      </c>
      <c r="AO488" s="87">
        <v>0</v>
      </c>
      <c r="AP488" s="87">
        <v>0</v>
      </c>
      <c r="AQ488" s="87">
        <v>0</v>
      </c>
      <c r="AR488" s="87">
        <v>0</v>
      </c>
      <c r="AS488" s="87">
        <v>0</v>
      </c>
      <c r="AT488" s="87">
        <v>0</v>
      </c>
      <c r="AU488" s="87">
        <v>0</v>
      </c>
      <c r="AV488" s="87">
        <v>0</v>
      </c>
      <c r="AW488" s="87">
        <v>0</v>
      </c>
      <c r="AX488" s="87">
        <v>0</v>
      </c>
      <c r="AY488" s="87">
        <v>0</v>
      </c>
      <c r="AZ488" s="87">
        <v>0</v>
      </c>
      <c r="BA488" s="87">
        <v>0</v>
      </c>
      <c r="BB488" s="87">
        <v>0</v>
      </c>
      <c r="BC488" s="87">
        <v>0</v>
      </c>
      <c r="BD488" s="87">
        <v>0</v>
      </c>
      <c r="BE488" s="87">
        <v>0</v>
      </c>
      <c r="BF488" s="87">
        <v>0</v>
      </c>
    </row>
    <row r="489" spans="1:58" ht="13.5" customHeight="1">
      <c r="A489" s="75">
        <f t="shared" si="553"/>
        <v>483</v>
      </c>
      <c r="B489" s="76" t="s">
        <v>673</v>
      </c>
      <c r="C489" s="80">
        <f t="shared" si="579"/>
        <v>-2730.0400000000081</v>
      </c>
      <c r="D489" s="87">
        <v>0</v>
      </c>
      <c r="E489" s="87">
        <v>0</v>
      </c>
      <c r="F489" s="87">
        <v>0</v>
      </c>
      <c r="G489" s="87">
        <v>0</v>
      </c>
      <c r="H489" s="87">
        <v>0</v>
      </c>
      <c r="I489" s="87">
        <v>0</v>
      </c>
      <c r="J489" s="87">
        <v>0</v>
      </c>
      <c r="K489" s="87">
        <v>0</v>
      </c>
      <c r="L489" s="87">
        <v>0</v>
      </c>
      <c r="M489" s="87">
        <v>0</v>
      </c>
      <c r="N489" s="87">
        <v>0</v>
      </c>
      <c r="O489" s="87">
        <v>0</v>
      </c>
      <c r="P489" s="87">
        <v>0</v>
      </c>
      <c r="Q489" s="87">
        <v>0</v>
      </c>
      <c r="R489" s="87">
        <v>0</v>
      </c>
      <c r="S489" s="87">
        <v>0</v>
      </c>
      <c r="T489" s="87">
        <v>0</v>
      </c>
      <c r="U489" s="87">
        <v>-2730.0400000000081</v>
      </c>
      <c r="V489" s="87">
        <v>0</v>
      </c>
      <c r="W489" s="87">
        <v>0</v>
      </c>
      <c r="X489" s="87">
        <v>0</v>
      </c>
      <c r="Y489" s="87">
        <v>0</v>
      </c>
      <c r="Z489" s="87">
        <v>0</v>
      </c>
      <c r="AA489" s="87">
        <v>0</v>
      </c>
      <c r="AB489" s="87">
        <v>0</v>
      </c>
      <c r="AC489" s="87">
        <v>0</v>
      </c>
      <c r="AD489" s="87">
        <v>0</v>
      </c>
      <c r="AE489" s="87">
        <v>0</v>
      </c>
      <c r="AF489" s="87">
        <v>0</v>
      </c>
      <c r="AG489" s="87">
        <v>0</v>
      </c>
      <c r="AH489" s="87">
        <v>0</v>
      </c>
      <c r="AI489" s="87">
        <v>0</v>
      </c>
      <c r="AJ489" s="87">
        <v>0</v>
      </c>
      <c r="AK489" s="87">
        <v>0</v>
      </c>
      <c r="AL489" s="87">
        <v>0</v>
      </c>
      <c r="AM489" s="87">
        <v>0</v>
      </c>
      <c r="AN489" s="87">
        <v>0</v>
      </c>
      <c r="AO489" s="87">
        <v>0</v>
      </c>
      <c r="AP489" s="87">
        <v>0</v>
      </c>
      <c r="AQ489" s="87">
        <v>0</v>
      </c>
      <c r="AR489" s="87">
        <v>0</v>
      </c>
      <c r="AS489" s="87">
        <v>0</v>
      </c>
      <c r="AT489" s="87">
        <v>0</v>
      </c>
      <c r="AU489" s="87">
        <v>0</v>
      </c>
      <c r="AV489" s="87">
        <v>0</v>
      </c>
      <c r="AW489" s="87">
        <v>0</v>
      </c>
      <c r="AX489" s="87">
        <v>0</v>
      </c>
      <c r="AY489" s="87">
        <v>0</v>
      </c>
      <c r="AZ489" s="87">
        <v>0</v>
      </c>
      <c r="BA489" s="87">
        <v>0</v>
      </c>
      <c r="BB489" s="87">
        <v>0</v>
      </c>
      <c r="BC489" s="87">
        <v>0</v>
      </c>
      <c r="BD489" s="87">
        <v>0</v>
      </c>
      <c r="BE489" s="87">
        <v>0</v>
      </c>
      <c r="BF489" s="87">
        <v>0</v>
      </c>
    </row>
    <row r="490" spans="1:58" ht="14.1" customHeight="1">
      <c r="A490" s="75">
        <f t="shared" si="553"/>
        <v>484</v>
      </c>
      <c r="B490" s="76" t="s">
        <v>674</v>
      </c>
      <c r="C490" s="80">
        <f t="shared" si="579"/>
        <v>-243878.88847500016</v>
      </c>
      <c r="D490" s="87">
        <v>0</v>
      </c>
      <c r="E490" s="87">
        <v>0</v>
      </c>
      <c r="F490" s="87">
        <v>0</v>
      </c>
      <c r="G490" s="87">
        <v>0</v>
      </c>
      <c r="H490" s="87">
        <v>0</v>
      </c>
      <c r="I490" s="87">
        <v>0</v>
      </c>
      <c r="J490" s="87">
        <v>0</v>
      </c>
      <c r="K490" s="87">
        <v>0</v>
      </c>
      <c r="L490" s="87">
        <v>0</v>
      </c>
      <c r="M490" s="87">
        <v>0</v>
      </c>
      <c r="N490" s="87">
        <v>0</v>
      </c>
      <c r="O490" s="87">
        <v>0</v>
      </c>
      <c r="P490" s="87">
        <v>0</v>
      </c>
      <c r="Q490" s="87">
        <v>0</v>
      </c>
      <c r="R490" s="87">
        <v>0</v>
      </c>
      <c r="S490" s="87">
        <v>0</v>
      </c>
      <c r="T490" s="87">
        <v>0</v>
      </c>
      <c r="U490" s="87">
        <v>0</v>
      </c>
      <c r="V490" s="87">
        <v>0</v>
      </c>
      <c r="W490" s="87">
        <v>-243878.88847500016</v>
      </c>
      <c r="X490" s="87">
        <v>0</v>
      </c>
      <c r="Y490" s="87">
        <v>0</v>
      </c>
      <c r="Z490" s="87">
        <v>0</v>
      </c>
      <c r="AA490" s="87">
        <v>0</v>
      </c>
      <c r="AB490" s="87">
        <v>0</v>
      </c>
      <c r="AC490" s="87">
        <v>0</v>
      </c>
      <c r="AD490" s="87">
        <v>0</v>
      </c>
      <c r="AE490" s="87">
        <v>0</v>
      </c>
      <c r="AF490" s="87">
        <v>0</v>
      </c>
      <c r="AG490" s="87">
        <v>0</v>
      </c>
      <c r="AH490" s="87">
        <v>0</v>
      </c>
      <c r="AI490" s="87">
        <v>0</v>
      </c>
      <c r="AJ490" s="87">
        <v>0</v>
      </c>
      <c r="AK490" s="87">
        <v>0</v>
      </c>
      <c r="AL490" s="87">
        <v>0</v>
      </c>
      <c r="AM490" s="87">
        <v>0</v>
      </c>
      <c r="AN490" s="87">
        <v>0</v>
      </c>
      <c r="AO490" s="87">
        <v>0</v>
      </c>
      <c r="AP490" s="87">
        <v>0</v>
      </c>
      <c r="AQ490" s="87">
        <v>0</v>
      </c>
      <c r="AR490" s="87">
        <v>0</v>
      </c>
      <c r="AS490" s="87">
        <v>0</v>
      </c>
      <c r="AT490" s="87">
        <v>0</v>
      </c>
      <c r="AU490" s="87">
        <v>0</v>
      </c>
      <c r="AV490" s="87">
        <v>0</v>
      </c>
      <c r="AW490" s="87">
        <v>0</v>
      </c>
      <c r="AX490" s="87">
        <v>0</v>
      </c>
      <c r="AY490" s="87">
        <v>0</v>
      </c>
      <c r="AZ490" s="87">
        <v>0</v>
      </c>
      <c r="BA490" s="87">
        <v>0</v>
      </c>
      <c r="BB490" s="87">
        <v>0</v>
      </c>
      <c r="BC490" s="87">
        <v>0</v>
      </c>
      <c r="BD490" s="87">
        <v>0</v>
      </c>
      <c r="BE490" s="87">
        <v>0</v>
      </c>
      <c r="BF490" s="87">
        <v>0</v>
      </c>
    </row>
    <row r="491" spans="1:58" ht="14.1" customHeight="1">
      <c r="A491" s="75">
        <f t="shared" si="553"/>
        <v>485</v>
      </c>
      <c r="C491" s="80">
        <f t="shared" si="579"/>
        <v>0</v>
      </c>
      <c r="D491" s="87"/>
      <c r="E491" s="87"/>
      <c r="F491" s="87"/>
      <c r="G491" s="87"/>
      <c r="H491" s="87"/>
      <c r="I491" s="87"/>
      <c r="J491" s="87"/>
      <c r="K491" s="87"/>
      <c r="L491" s="87"/>
      <c r="M491" s="87"/>
      <c r="N491" s="87"/>
      <c r="O491" s="87"/>
      <c r="P491" s="87"/>
      <c r="Q491" s="87"/>
      <c r="R491" s="87"/>
      <c r="S491" s="87"/>
      <c r="T491" s="87"/>
      <c r="U491" s="87"/>
      <c r="V491" s="87"/>
      <c r="W491" s="87"/>
      <c r="X491" s="87"/>
      <c r="Y491" s="87"/>
      <c r="Z491" s="87"/>
      <c r="AA491" s="87"/>
      <c r="AB491" s="87"/>
      <c r="AC491" s="87"/>
      <c r="AD491" s="87"/>
      <c r="AE491" s="87"/>
      <c r="AF491" s="87"/>
      <c r="AG491" s="87"/>
      <c r="AH491" s="87"/>
      <c r="AI491" s="87"/>
      <c r="AJ491" s="87"/>
      <c r="AK491" s="87"/>
      <c r="AL491" s="87"/>
      <c r="AM491" s="87"/>
      <c r="AN491" s="87"/>
      <c r="AO491" s="87"/>
      <c r="AP491" s="87"/>
      <c r="AQ491" s="87"/>
      <c r="AR491" s="87"/>
      <c r="AS491" s="87"/>
      <c r="AT491" s="87"/>
      <c r="AU491" s="87"/>
      <c r="AV491" s="87"/>
      <c r="AW491" s="87"/>
      <c r="AX491" s="87"/>
      <c r="AY491" s="87"/>
      <c r="AZ491" s="87"/>
      <c r="BA491" s="87"/>
      <c r="BB491" s="87"/>
      <c r="BC491" s="87"/>
      <c r="BD491" s="87"/>
      <c r="BE491" s="87"/>
      <c r="BF491" s="87"/>
    </row>
    <row r="492" spans="1:58" ht="14.1" customHeight="1">
      <c r="A492" s="75">
        <f t="shared" si="553"/>
        <v>486</v>
      </c>
      <c r="B492" s="81" t="s">
        <v>675</v>
      </c>
      <c r="C492" s="80">
        <f t="shared" si="579"/>
        <v>0</v>
      </c>
      <c r="D492" s="87"/>
      <c r="E492" s="87"/>
      <c r="F492" s="87"/>
      <c r="G492" s="87"/>
      <c r="H492" s="87"/>
      <c r="I492" s="87"/>
      <c r="J492" s="87"/>
      <c r="K492" s="87"/>
      <c r="L492" s="87"/>
      <c r="M492" s="87"/>
      <c r="N492" s="87"/>
      <c r="O492" s="87">
        <v>0</v>
      </c>
      <c r="P492" s="87"/>
      <c r="Q492" s="87"/>
      <c r="R492" s="87"/>
      <c r="S492" s="87"/>
      <c r="T492" s="87"/>
      <c r="U492" s="87"/>
      <c r="V492" s="87"/>
      <c r="W492" s="87"/>
      <c r="X492" s="87"/>
      <c r="Y492" s="87"/>
      <c r="Z492" s="87"/>
      <c r="AA492" s="87"/>
      <c r="AB492" s="87"/>
      <c r="AC492" s="87"/>
      <c r="AD492" s="87"/>
      <c r="AE492" s="87"/>
      <c r="AF492" s="87"/>
      <c r="AG492" s="87"/>
      <c r="AH492" s="87"/>
      <c r="AI492" s="87"/>
      <c r="AJ492" s="87"/>
      <c r="AK492" s="87"/>
      <c r="AL492" s="87"/>
      <c r="AM492" s="87"/>
      <c r="AN492" s="87"/>
      <c r="AO492" s="87"/>
      <c r="AP492" s="87"/>
      <c r="AQ492" s="87"/>
      <c r="AR492" s="87"/>
      <c r="AS492" s="87"/>
      <c r="AT492" s="87"/>
      <c r="AU492" s="87"/>
      <c r="AV492" s="87"/>
      <c r="AW492" s="87"/>
      <c r="AX492" s="87"/>
      <c r="AY492" s="87"/>
      <c r="AZ492" s="87"/>
      <c r="BA492" s="87"/>
      <c r="BB492" s="87"/>
      <c r="BC492" s="87"/>
      <c r="BD492" s="87"/>
      <c r="BE492" s="87"/>
      <c r="BF492" s="87"/>
    </row>
    <row r="493" spans="1:58" ht="13.5" customHeight="1">
      <c r="A493" s="75">
        <f t="shared" si="553"/>
        <v>487</v>
      </c>
      <c r="B493" s="76" t="s">
        <v>676</v>
      </c>
      <c r="C493" s="80">
        <f t="shared" si="579"/>
        <v>0</v>
      </c>
      <c r="D493" s="87">
        <v>0</v>
      </c>
      <c r="E493" s="87">
        <v>0</v>
      </c>
      <c r="F493" s="87">
        <v>0</v>
      </c>
      <c r="G493" s="87">
        <v>0</v>
      </c>
      <c r="H493" s="87">
        <v>0</v>
      </c>
      <c r="I493" s="87">
        <v>0</v>
      </c>
      <c r="J493" s="87">
        <v>0</v>
      </c>
      <c r="K493" s="87">
        <v>0</v>
      </c>
      <c r="L493" s="87">
        <v>0</v>
      </c>
      <c r="M493" s="87">
        <v>0</v>
      </c>
      <c r="N493" s="87">
        <v>0</v>
      </c>
      <c r="O493" s="87">
        <v>0</v>
      </c>
      <c r="P493" s="87">
        <v>0</v>
      </c>
      <c r="Q493" s="87">
        <v>0</v>
      </c>
      <c r="R493" s="87">
        <v>0</v>
      </c>
      <c r="S493" s="87">
        <v>0</v>
      </c>
      <c r="T493" s="87">
        <v>0</v>
      </c>
      <c r="U493" s="87">
        <v>0</v>
      </c>
      <c r="V493" s="87">
        <v>0</v>
      </c>
      <c r="W493" s="87">
        <v>0</v>
      </c>
      <c r="X493" s="87">
        <v>0</v>
      </c>
      <c r="Y493" s="87">
        <v>0</v>
      </c>
      <c r="Z493" s="87">
        <v>0</v>
      </c>
      <c r="AA493" s="87">
        <v>0</v>
      </c>
      <c r="AB493" s="87">
        <v>0</v>
      </c>
      <c r="AC493" s="87">
        <v>0</v>
      </c>
      <c r="AD493" s="87">
        <v>0</v>
      </c>
      <c r="AE493" s="87">
        <v>0</v>
      </c>
      <c r="AF493" s="87">
        <v>0</v>
      </c>
      <c r="AG493" s="87">
        <v>0</v>
      </c>
      <c r="AH493" s="87">
        <v>0</v>
      </c>
      <c r="AI493" s="87">
        <v>0</v>
      </c>
      <c r="AJ493" s="87">
        <v>0</v>
      </c>
      <c r="AK493" s="87">
        <v>0</v>
      </c>
      <c r="AL493" s="87">
        <v>0</v>
      </c>
      <c r="AM493" s="87">
        <v>0</v>
      </c>
      <c r="AN493" s="87">
        <v>0</v>
      </c>
      <c r="AO493" s="87">
        <v>0</v>
      </c>
      <c r="AP493" s="87">
        <v>0</v>
      </c>
      <c r="AQ493" s="87">
        <v>0</v>
      </c>
      <c r="AR493" s="87">
        <v>0</v>
      </c>
      <c r="AS493" s="87">
        <v>0</v>
      </c>
      <c r="AT493" s="87">
        <v>0</v>
      </c>
      <c r="AU493" s="87">
        <v>0</v>
      </c>
      <c r="AV493" s="87">
        <v>0</v>
      </c>
      <c r="AW493" s="87">
        <v>0</v>
      </c>
      <c r="AX493" s="87">
        <v>0</v>
      </c>
      <c r="AY493" s="87">
        <v>0</v>
      </c>
      <c r="AZ493" s="87">
        <v>0</v>
      </c>
      <c r="BA493" s="87">
        <v>0</v>
      </c>
      <c r="BB493" s="87">
        <v>0</v>
      </c>
      <c r="BC493" s="87">
        <v>0</v>
      </c>
      <c r="BD493" s="87">
        <v>0</v>
      </c>
      <c r="BE493" s="87">
        <v>0</v>
      </c>
      <c r="BF493" s="87">
        <v>0</v>
      </c>
    </row>
    <row r="494" spans="1:58" ht="13.5" customHeight="1">
      <c r="A494" s="75">
        <f t="shared" si="553"/>
        <v>488</v>
      </c>
      <c r="B494" s="76" t="s">
        <v>677</v>
      </c>
      <c r="C494" s="80">
        <f t="shared" si="579"/>
        <v>0</v>
      </c>
      <c r="D494" s="87">
        <v>0</v>
      </c>
      <c r="E494" s="87">
        <v>0</v>
      </c>
      <c r="F494" s="87">
        <v>0</v>
      </c>
      <c r="G494" s="87">
        <v>0</v>
      </c>
      <c r="H494" s="87">
        <v>0</v>
      </c>
      <c r="I494" s="87">
        <v>0</v>
      </c>
      <c r="J494" s="87">
        <v>0</v>
      </c>
      <c r="K494" s="87">
        <v>0</v>
      </c>
      <c r="L494" s="87">
        <v>0</v>
      </c>
      <c r="M494" s="87">
        <v>0</v>
      </c>
      <c r="N494" s="87">
        <v>0</v>
      </c>
      <c r="O494" s="87">
        <v>0</v>
      </c>
      <c r="P494" s="87">
        <v>0</v>
      </c>
      <c r="Q494" s="87">
        <v>0</v>
      </c>
      <c r="R494" s="87">
        <v>0</v>
      </c>
      <c r="S494" s="87">
        <v>0</v>
      </c>
      <c r="T494" s="87">
        <v>0</v>
      </c>
      <c r="U494" s="87">
        <v>0</v>
      </c>
      <c r="V494" s="87">
        <v>0</v>
      </c>
      <c r="W494" s="87">
        <v>0</v>
      </c>
      <c r="X494" s="87">
        <v>0</v>
      </c>
      <c r="Y494" s="87">
        <v>0</v>
      </c>
      <c r="Z494" s="87">
        <v>0</v>
      </c>
      <c r="AA494" s="87">
        <v>0</v>
      </c>
      <c r="AB494" s="87">
        <v>0</v>
      </c>
      <c r="AC494" s="87">
        <v>0</v>
      </c>
      <c r="AD494" s="87">
        <v>0</v>
      </c>
      <c r="AE494" s="87">
        <v>0</v>
      </c>
      <c r="AF494" s="87">
        <v>0</v>
      </c>
      <c r="AG494" s="87">
        <v>0</v>
      </c>
      <c r="AH494" s="87">
        <v>0</v>
      </c>
      <c r="AI494" s="87">
        <v>0</v>
      </c>
      <c r="AJ494" s="87">
        <v>0</v>
      </c>
      <c r="AK494" s="87">
        <v>0</v>
      </c>
      <c r="AL494" s="87">
        <v>0</v>
      </c>
      <c r="AM494" s="87">
        <v>0</v>
      </c>
      <c r="AN494" s="87">
        <v>0</v>
      </c>
      <c r="AO494" s="87">
        <v>0</v>
      </c>
      <c r="AP494" s="87">
        <v>0</v>
      </c>
      <c r="AQ494" s="87">
        <v>0</v>
      </c>
      <c r="AR494" s="87">
        <v>0</v>
      </c>
      <c r="AS494" s="87">
        <v>0</v>
      </c>
      <c r="AT494" s="87">
        <v>0</v>
      </c>
      <c r="AU494" s="87">
        <v>0</v>
      </c>
      <c r="AV494" s="87">
        <v>0</v>
      </c>
      <c r="AW494" s="87">
        <v>0</v>
      </c>
      <c r="AX494" s="87">
        <v>0</v>
      </c>
      <c r="AY494" s="87">
        <v>0</v>
      </c>
      <c r="AZ494" s="87">
        <v>0</v>
      </c>
      <c r="BA494" s="87">
        <v>0</v>
      </c>
      <c r="BB494" s="87">
        <v>0</v>
      </c>
      <c r="BC494" s="87">
        <v>0</v>
      </c>
      <c r="BD494" s="87">
        <v>0</v>
      </c>
      <c r="BE494" s="87">
        <v>0</v>
      </c>
      <c r="BF494" s="87">
        <v>0</v>
      </c>
    </row>
    <row r="495" spans="1:58" ht="13.5" customHeight="1">
      <c r="A495" s="75">
        <f t="shared" si="553"/>
        <v>489</v>
      </c>
      <c r="B495" s="76" t="s">
        <v>678</v>
      </c>
      <c r="C495" s="80">
        <f t="shared" si="579"/>
        <v>-2530.4900000000198</v>
      </c>
      <c r="D495" s="87">
        <v>0</v>
      </c>
      <c r="E495" s="87">
        <v>0</v>
      </c>
      <c r="F495" s="87">
        <v>0</v>
      </c>
      <c r="G495" s="87">
        <v>0</v>
      </c>
      <c r="H495" s="87">
        <v>0</v>
      </c>
      <c r="I495" s="87">
        <v>0</v>
      </c>
      <c r="J495" s="87">
        <v>0</v>
      </c>
      <c r="K495" s="87">
        <v>0</v>
      </c>
      <c r="L495" s="87">
        <v>0</v>
      </c>
      <c r="M495" s="87">
        <v>0</v>
      </c>
      <c r="N495" s="87">
        <v>0</v>
      </c>
      <c r="O495" s="87">
        <v>0</v>
      </c>
      <c r="P495" s="87">
        <v>0</v>
      </c>
      <c r="Q495" s="87">
        <v>0</v>
      </c>
      <c r="R495" s="87">
        <v>0</v>
      </c>
      <c r="S495" s="87">
        <v>0</v>
      </c>
      <c r="T495" s="87">
        <v>0</v>
      </c>
      <c r="U495" s="87">
        <v>-2530.4900000000198</v>
      </c>
      <c r="V495" s="87">
        <v>0</v>
      </c>
      <c r="W495" s="87">
        <v>0</v>
      </c>
      <c r="X495" s="87">
        <v>0</v>
      </c>
      <c r="Y495" s="87">
        <v>0</v>
      </c>
      <c r="Z495" s="87">
        <v>0</v>
      </c>
      <c r="AA495" s="87">
        <v>0</v>
      </c>
      <c r="AB495" s="87">
        <v>0</v>
      </c>
      <c r="AC495" s="87">
        <v>0</v>
      </c>
      <c r="AD495" s="87">
        <v>0</v>
      </c>
      <c r="AE495" s="87">
        <v>0</v>
      </c>
      <c r="AF495" s="87">
        <v>0</v>
      </c>
      <c r="AG495" s="87">
        <v>0</v>
      </c>
      <c r="AH495" s="87">
        <v>0</v>
      </c>
      <c r="AI495" s="87">
        <v>0</v>
      </c>
      <c r="AJ495" s="87">
        <v>0</v>
      </c>
      <c r="AK495" s="87">
        <v>0</v>
      </c>
      <c r="AL495" s="87">
        <v>0</v>
      </c>
      <c r="AM495" s="87">
        <v>0</v>
      </c>
      <c r="AN495" s="87">
        <v>0</v>
      </c>
      <c r="AO495" s="87">
        <v>0</v>
      </c>
      <c r="AP495" s="87">
        <v>0</v>
      </c>
      <c r="AQ495" s="87">
        <v>0</v>
      </c>
      <c r="AR495" s="87">
        <v>0</v>
      </c>
      <c r="AS495" s="87">
        <v>0</v>
      </c>
      <c r="AT495" s="87">
        <v>0</v>
      </c>
      <c r="AU495" s="87">
        <v>0</v>
      </c>
      <c r="AV495" s="87">
        <v>0</v>
      </c>
      <c r="AW495" s="87">
        <v>0</v>
      </c>
      <c r="AX495" s="87">
        <v>0</v>
      </c>
      <c r="AY495" s="87">
        <v>0</v>
      </c>
      <c r="AZ495" s="87">
        <v>0</v>
      </c>
      <c r="BA495" s="87">
        <v>0</v>
      </c>
      <c r="BB495" s="87">
        <v>0</v>
      </c>
      <c r="BC495" s="87">
        <v>0</v>
      </c>
      <c r="BD495" s="87">
        <v>0</v>
      </c>
      <c r="BE495" s="87">
        <v>0</v>
      </c>
      <c r="BF495" s="87">
        <v>0</v>
      </c>
    </row>
    <row r="496" spans="1:58" ht="14.1" customHeight="1">
      <c r="A496" s="75">
        <f t="shared" si="553"/>
        <v>490</v>
      </c>
      <c r="B496" s="76" t="s">
        <v>792</v>
      </c>
      <c r="C496" s="80">
        <f t="shared" si="579"/>
        <v>155606.52000000011</v>
      </c>
      <c r="D496" s="87">
        <v>0</v>
      </c>
      <c r="E496" s="87">
        <v>0</v>
      </c>
      <c r="F496" s="87">
        <v>0</v>
      </c>
      <c r="G496" s="87">
        <v>0</v>
      </c>
      <c r="H496" s="87">
        <v>0</v>
      </c>
      <c r="I496" s="87">
        <v>0</v>
      </c>
      <c r="J496" s="87">
        <v>0</v>
      </c>
      <c r="K496" s="87">
        <v>0</v>
      </c>
      <c r="L496" s="87">
        <v>0</v>
      </c>
      <c r="M496" s="87">
        <v>0</v>
      </c>
      <c r="N496" s="87">
        <v>0</v>
      </c>
      <c r="O496" s="87">
        <v>0</v>
      </c>
      <c r="P496" s="87">
        <v>0</v>
      </c>
      <c r="Q496" s="87">
        <v>0</v>
      </c>
      <c r="R496" s="87">
        <v>0</v>
      </c>
      <c r="S496" s="87">
        <v>0</v>
      </c>
      <c r="T496" s="87">
        <v>0</v>
      </c>
      <c r="U496" s="87">
        <v>31039.870000000112</v>
      </c>
      <c r="V496" s="87">
        <v>0</v>
      </c>
      <c r="W496" s="87">
        <v>0</v>
      </c>
      <c r="X496" s="87">
        <v>0</v>
      </c>
      <c r="Y496" s="87">
        <v>0</v>
      </c>
      <c r="Z496" s="87">
        <v>0</v>
      </c>
      <c r="AA496" s="87">
        <v>0</v>
      </c>
      <c r="AB496" s="87">
        <v>0</v>
      </c>
      <c r="AC496" s="87">
        <v>0</v>
      </c>
      <c r="AD496" s="87">
        <v>0</v>
      </c>
      <c r="AE496" s="87">
        <v>0</v>
      </c>
      <c r="AF496" s="87">
        <v>0</v>
      </c>
      <c r="AG496" s="87">
        <v>0</v>
      </c>
      <c r="AH496" s="87">
        <v>0</v>
      </c>
      <c r="AI496" s="87">
        <v>0</v>
      </c>
      <c r="AJ496" s="87">
        <v>0</v>
      </c>
      <c r="AK496" s="87">
        <v>124566.65</v>
      </c>
      <c r="AL496" s="87">
        <v>0</v>
      </c>
      <c r="AM496" s="87">
        <v>0</v>
      </c>
      <c r="AN496" s="87">
        <v>0</v>
      </c>
      <c r="AO496" s="87">
        <v>0</v>
      </c>
      <c r="AP496" s="87">
        <v>0</v>
      </c>
      <c r="AQ496" s="87">
        <v>0</v>
      </c>
      <c r="AR496" s="87">
        <v>0</v>
      </c>
      <c r="AS496" s="87">
        <v>0</v>
      </c>
      <c r="AT496" s="87">
        <v>0</v>
      </c>
      <c r="AU496" s="87">
        <v>0</v>
      </c>
      <c r="AV496" s="87">
        <v>0</v>
      </c>
      <c r="AW496" s="87">
        <v>0</v>
      </c>
      <c r="AX496" s="87">
        <v>0</v>
      </c>
      <c r="AY496" s="87">
        <v>0</v>
      </c>
      <c r="AZ496" s="87">
        <v>0</v>
      </c>
      <c r="BA496" s="87">
        <v>0</v>
      </c>
      <c r="BB496" s="87">
        <v>0</v>
      </c>
      <c r="BC496" s="87">
        <v>0</v>
      </c>
      <c r="BD496" s="87">
        <v>0</v>
      </c>
      <c r="BE496" s="87">
        <v>0</v>
      </c>
      <c r="BF496" s="87">
        <v>0</v>
      </c>
    </row>
    <row r="497" spans="1:58" ht="14.1" customHeight="1">
      <c r="A497" s="75">
        <f t="shared" si="553"/>
        <v>491</v>
      </c>
      <c r="B497" s="76" t="s">
        <v>681</v>
      </c>
      <c r="C497" s="80">
        <f t="shared" si="579"/>
        <v>0</v>
      </c>
      <c r="D497" s="87">
        <v>0</v>
      </c>
      <c r="E497" s="87">
        <v>0</v>
      </c>
      <c r="F497" s="87">
        <v>0</v>
      </c>
      <c r="G497" s="87">
        <v>0</v>
      </c>
      <c r="H497" s="87">
        <v>0</v>
      </c>
      <c r="I497" s="87">
        <v>0</v>
      </c>
      <c r="J497" s="87">
        <v>0</v>
      </c>
      <c r="K497" s="87">
        <v>0</v>
      </c>
      <c r="L497" s="87">
        <v>0</v>
      </c>
      <c r="M497" s="87">
        <v>0</v>
      </c>
      <c r="N497" s="87">
        <v>0</v>
      </c>
      <c r="O497" s="87">
        <v>0</v>
      </c>
      <c r="P497" s="87">
        <v>0</v>
      </c>
      <c r="Q497" s="87">
        <v>0</v>
      </c>
      <c r="R497" s="87">
        <v>0</v>
      </c>
      <c r="S497" s="87">
        <v>0</v>
      </c>
      <c r="T497" s="87">
        <v>0</v>
      </c>
      <c r="U497" s="87">
        <v>0</v>
      </c>
      <c r="V497" s="87">
        <v>0</v>
      </c>
      <c r="W497" s="87">
        <v>0</v>
      </c>
      <c r="X497" s="87">
        <v>0</v>
      </c>
      <c r="Y497" s="87">
        <v>0</v>
      </c>
      <c r="Z497" s="87">
        <v>0</v>
      </c>
      <c r="AA497" s="87">
        <v>0</v>
      </c>
      <c r="AB497" s="87">
        <v>0</v>
      </c>
      <c r="AC497" s="87">
        <v>0</v>
      </c>
      <c r="AD497" s="87">
        <v>0</v>
      </c>
      <c r="AE497" s="87">
        <v>0</v>
      </c>
      <c r="AF497" s="87">
        <v>0</v>
      </c>
      <c r="AG497" s="87">
        <v>0</v>
      </c>
      <c r="AH497" s="87">
        <v>0</v>
      </c>
      <c r="AI497" s="87">
        <v>0</v>
      </c>
      <c r="AJ497" s="87">
        <v>0</v>
      </c>
      <c r="AK497" s="87">
        <v>0</v>
      </c>
      <c r="AL497" s="87">
        <v>0</v>
      </c>
      <c r="AM497" s="87">
        <v>0</v>
      </c>
      <c r="AN497" s="87">
        <v>0</v>
      </c>
      <c r="AO497" s="87">
        <v>0</v>
      </c>
      <c r="AP497" s="87">
        <v>0</v>
      </c>
      <c r="AQ497" s="87">
        <v>0</v>
      </c>
      <c r="AR497" s="87">
        <v>0</v>
      </c>
      <c r="AS497" s="87">
        <v>0</v>
      </c>
      <c r="AT497" s="87">
        <v>0</v>
      </c>
      <c r="AU497" s="87">
        <v>0</v>
      </c>
      <c r="AV497" s="87">
        <v>0</v>
      </c>
      <c r="AW497" s="87">
        <v>0</v>
      </c>
      <c r="AX497" s="87">
        <v>0</v>
      </c>
      <c r="AY497" s="87">
        <v>0</v>
      </c>
      <c r="AZ497" s="87">
        <v>0</v>
      </c>
      <c r="BA497" s="87">
        <v>0</v>
      </c>
      <c r="BB497" s="87">
        <v>0</v>
      </c>
      <c r="BC497" s="87">
        <v>0</v>
      </c>
      <c r="BD497" s="87">
        <v>0</v>
      </c>
      <c r="BE497" s="87">
        <v>0</v>
      </c>
      <c r="BF497" s="87">
        <v>0</v>
      </c>
    </row>
    <row r="498" spans="1:58" ht="14.1" customHeight="1">
      <c r="A498" s="75">
        <f t="shared" si="553"/>
        <v>492</v>
      </c>
      <c r="B498" s="76" t="s">
        <v>684</v>
      </c>
      <c r="C498" s="80">
        <f t="shared" si="579"/>
        <v>-7.1299999999999955</v>
      </c>
      <c r="D498" s="87"/>
      <c r="E498" s="87"/>
      <c r="F498" s="87"/>
      <c r="G498" s="87"/>
      <c r="H498" s="87"/>
      <c r="I498" s="87"/>
      <c r="J498" s="87"/>
      <c r="K498" s="87">
        <v>0</v>
      </c>
      <c r="L498" s="87"/>
      <c r="M498" s="87"/>
      <c r="N498" s="87"/>
      <c r="O498" s="87"/>
      <c r="P498" s="87"/>
      <c r="Q498" s="87"/>
      <c r="R498" s="87"/>
      <c r="S498" s="87"/>
      <c r="T498" s="87"/>
      <c r="U498" s="87">
        <v>-7.1299999999999955</v>
      </c>
      <c r="V498" s="87"/>
      <c r="W498" s="87"/>
      <c r="X498" s="87"/>
      <c r="Y498" s="87"/>
      <c r="Z498" s="87"/>
      <c r="AA498" s="87"/>
      <c r="AB498" s="87"/>
      <c r="AC498" s="87"/>
      <c r="AD498" s="87"/>
      <c r="AE498" s="87"/>
      <c r="AF498" s="87"/>
      <c r="AG498" s="87"/>
      <c r="AH498" s="87"/>
      <c r="AI498" s="87"/>
      <c r="AJ498" s="87"/>
      <c r="AK498" s="87"/>
      <c r="AL498" s="87"/>
      <c r="AM498" s="87"/>
      <c r="AN498" s="87"/>
      <c r="AO498" s="87"/>
      <c r="AP498" s="87"/>
      <c r="AQ498" s="87"/>
      <c r="AR498" s="87"/>
      <c r="AS498" s="87"/>
      <c r="AT498" s="87"/>
      <c r="AU498" s="87"/>
      <c r="AV498" s="87"/>
      <c r="AW498" s="87"/>
      <c r="AX498" s="87"/>
      <c r="AY498" s="87"/>
      <c r="AZ498" s="87"/>
      <c r="BA498" s="87"/>
      <c r="BB498" s="87"/>
      <c r="BC498" s="87"/>
      <c r="BD498" s="87"/>
      <c r="BE498" s="87"/>
      <c r="BF498" s="87"/>
    </row>
    <row r="499" spans="1:58" ht="14.1" customHeight="1">
      <c r="A499" s="75">
        <f t="shared" si="553"/>
        <v>493</v>
      </c>
      <c r="B499" s="76" t="s">
        <v>793</v>
      </c>
      <c r="C499" s="80">
        <f t="shared" si="579"/>
        <v>0</v>
      </c>
      <c r="D499" s="87"/>
      <c r="E499" s="87"/>
      <c r="F499" s="87"/>
      <c r="G499" s="87"/>
      <c r="H499" s="87"/>
      <c r="I499" s="87"/>
      <c r="J499" s="87"/>
      <c r="K499" s="87">
        <v>0</v>
      </c>
      <c r="L499" s="87"/>
      <c r="M499" s="87"/>
      <c r="N499" s="87"/>
      <c r="O499" s="87"/>
      <c r="P499" s="87"/>
      <c r="Q499" s="87"/>
      <c r="R499" s="87"/>
      <c r="S499" s="87"/>
      <c r="T499" s="87"/>
      <c r="U499" s="87">
        <v>0</v>
      </c>
      <c r="V499" s="87"/>
      <c r="W499" s="87"/>
      <c r="X499" s="87"/>
      <c r="Y499" s="87"/>
      <c r="Z499" s="87"/>
      <c r="AA499" s="87"/>
      <c r="AB499" s="87"/>
      <c r="AC499" s="87"/>
      <c r="AD499" s="87"/>
      <c r="AE499" s="87"/>
      <c r="AF499" s="87"/>
      <c r="AG499" s="87"/>
      <c r="AH499" s="87"/>
      <c r="AI499" s="87"/>
      <c r="AJ499" s="87"/>
      <c r="AK499" s="87"/>
      <c r="AL499" s="87"/>
      <c r="AM499" s="87"/>
      <c r="AN499" s="87"/>
      <c r="AO499" s="87"/>
      <c r="AP499" s="87"/>
      <c r="AQ499" s="87"/>
      <c r="AR499" s="87"/>
      <c r="AS499" s="87"/>
      <c r="AT499" s="87"/>
      <c r="AU499" s="87"/>
      <c r="AV499" s="87"/>
      <c r="AW499" s="87"/>
      <c r="AX499" s="87"/>
      <c r="AY499" s="87"/>
      <c r="AZ499" s="87"/>
      <c r="BA499" s="87"/>
      <c r="BB499" s="87"/>
      <c r="BC499" s="87"/>
      <c r="BD499" s="87"/>
      <c r="BE499" s="87"/>
      <c r="BF499" s="87"/>
    </row>
    <row r="500" spans="1:58" ht="14.1" customHeight="1">
      <c r="A500" s="75">
        <f t="shared" si="553"/>
        <v>494</v>
      </c>
      <c r="B500" s="90" t="s">
        <v>794</v>
      </c>
      <c r="C500" s="80">
        <f t="shared" si="579"/>
        <v>0</v>
      </c>
      <c r="D500" s="92">
        <v>0</v>
      </c>
      <c r="E500" s="92">
        <v>0</v>
      </c>
      <c r="F500" s="92">
        <v>0</v>
      </c>
      <c r="G500" s="92">
        <v>0</v>
      </c>
      <c r="H500" s="92">
        <v>0</v>
      </c>
      <c r="I500" s="92">
        <v>0</v>
      </c>
      <c r="J500" s="92">
        <v>0</v>
      </c>
      <c r="K500" s="92">
        <v>0</v>
      </c>
      <c r="L500" s="92">
        <v>0</v>
      </c>
      <c r="M500" s="92">
        <v>0</v>
      </c>
      <c r="N500" s="92">
        <v>0</v>
      </c>
      <c r="O500" s="92">
        <v>0</v>
      </c>
      <c r="P500" s="92">
        <v>0</v>
      </c>
      <c r="Q500" s="92">
        <v>0</v>
      </c>
      <c r="R500" s="92">
        <v>0</v>
      </c>
      <c r="S500" s="92">
        <v>0</v>
      </c>
      <c r="T500" s="92">
        <v>0</v>
      </c>
      <c r="U500" s="92">
        <v>0</v>
      </c>
      <c r="V500" s="92">
        <v>0</v>
      </c>
      <c r="W500" s="92">
        <v>0</v>
      </c>
      <c r="X500" s="92">
        <v>0</v>
      </c>
      <c r="Y500" s="92">
        <v>0</v>
      </c>
      <c r="Z500" s="92">
        <v>0</v>
      </c>
      <c r="AA500" s="92">
        <v>0</v>
      </c>
      <c r="AB500" s="92">
        <v>0</v>
      </c>
      <c r="AC500" s="92">
        <v>0</v>
      </c>
      <c r="AD500" s="92">
        <v>0</v>
      </c>
      <c r="AE500" s="92">
        <v>0</v>
      </c>
      <c r="AF500" s="92">
        <v>0</v>
      </c>
      <c r="AG500" s="92">
        <v>0</v>
      </c>
      <c r="AH500" s="92">
        <v>0</v>
      </c>
      <c r="AI500" s="92">
        <v>0</v>
      </c>
      <c r="AJ500" s="92">
        <v>0</v>
      </c>
      <c r="AK500" s="92">
        <v>0</v>
      </c>
      <c r="AL500" s="92">
        <v>0</v>
      </c>
      <c r="AM500" s="92">
        <v>0</v>
      </c>
      <c r="AN500" s="92">
        <v>0</v>
      </c>
      <c r="AO500" s="92">
        <v>0</v>
      </c>
      <c r="AP500" s="92">
        <v>0</v>
      </c>
      <c r="AQ500" s="92">
        <v>0</v>
      </c>
      <c r="AR500" s="92">
        <v>0</v>
      </c>
      <c r="AS500" s="92">
        <v>0</v>
      </c>
      <c r="AT500" s="92">
        <v>0</v>
      </c>
      <c r="AU500" s="92">
        <v>0</v>
      </c>
      <c r="AV500" s="92">
        <v>0</v>
      </c>
      <c r="AW500" s="92">
        <v>0</v>
      </c>
      <c r="AX500" s="92">
        <v>0</v>
      </c>
      <c r="AY500" s="92">
        <v>0</v>
      </c>
      <c r="AZ500" s="92">
        <v>0</v>
      </c>
      <c r="BA500" s="92">
        <v>0</v>
      </c>
      <c r="BB500" s="92">
        <v>0</v>
      </c>
      <c r="BC500" s="92">
        <v>0</v>
      </c>
      <c r="BD500" s="92">
        <v>0</v>
      </c>
      <c r="BE500" s="92">
        <v>0</v>
      </c>
      <c r="BF500" s="92">
        <v>0</v>
      </c>
    </row>
    <row r="501" spans="1:58" ht="14.1" customHeight="1">
      <c r="A501" s="75">
        <f t="shared" si="553"/>
        <v>495</v>
      </c>
      <c r="B501" s="81" t="s">
        <v>690</v>
      </c>
      <c r="C501" s="110">
        <f t="shared" ref="C501:V501" si="580">SUM(C493:C500)</f>
        <v>153068.90000000008</v>
      </c>
      <c r="D501" s="110">
        <f t="shared" si="580"/>
        <v>0</v>
      </c>
      <c r="E501" s="110">
        <f t="shared" si="580"/>
        <v>0</v>
      </c>
      <c r="F501" s="110">
        <f t="shared" si="580"/>
        <v>0</v>
      </c>
      <c r="G501" s="110">
        <f t="shared" si="580"/>
        <v>0</v>
      </c>
      <c r="H501" s="110">
        <f t="shared" si="580"/>
        <v>0</v>
      </c>
      <c r="I501" s="110">
        <f t="shared" si="580"/>
        <v>0</v>
      </c>
      <c r="J501" s="110">
        <f t="shared" si="580"/>
        <v>0</v>
      </c>
      <c r="K501" s="110">
        <f t="shared" si="580"/>
        <v>0</v>
      </c>
      <c r="L501" s="110">
        <f t="shared" si="580"/>
        <v>0</v>
      </c>
      <c r="M501" s="110">
        <f t="shared" si="580"/>
        <v>0</v>
      </c>
      <c r="N501" s="110">
        <f t="shared" si="580"/>
        <v>0</v>
      </c>
      <c r="O501" s="110">
        <f t="shared" si="580"/>
        <v>0</v>
      </c>
      <c r="P501" s="110">
        <f t="shared" si="580"/>
        <v>0</v>
      </c>
      <c r="Q501" s="110">
        <f t="shared" si="580"/>
        <v>0</v>
      </c>
      <c r="R501" s="110">
        <f t="shared" si="580"/>
        <v>0</v>
      </c>
      <c r="S501" s="110">
        <f t="shared" si="580"/>
        <v>0</v>
      </c>
      <c r="T501" s="110">
        <f t="shared" si="580"/>
        <v>0</v>
      </c>
      <c r="U501" s="110">
        <f t="shared" si="580"/>
        <v>28502.250000000091</v>
      </c>
      <c r="V501" s="110">
        <f t="shared" si="580"/>
        <v>0</v>
      </c>
      <c r="W501" s="110">
        <f>SUM(W493:W500)</f>
        <v>0</v>
      </c>
      <c r="X501" s="110">
        <f t="shared" ref="X501:AD501" si="581">SUM(X493:X500)</f>
        <v>0</v>
      </c>
      <c r="Y501" s="110">
        <f>SUM(Y493:Y500)</f>
        <v>0</v>
      </c>
      <c r="Z501" s="110">
        <f t="shared" si="581"/>
        <v>0</v>
      </c>
      <c r="AA501" s="110">
        <f t="shared" si="581"/>
        <v>0</v>
      </c>
      <c r="AB501" s="110">
        <f t="shared" si="581"/>
        <v>0</v>
      </c>
      <c r="AC501" s="110">
        <f t="shared" si="581"/>
        <v>0</v>
      </c>
      <c r="AD501" s="110">
        <f t="shared" si="581"/>
        <v>0</v>
      </c>
      <c r="AE501" s="110">
        <f>SUM(AE493:AE500)</f>
        <v>0</v>
      </c>
      <c r="AF501" s="110">
        <f>SUM(AF493:AF500)</f>
        <v>0</v>
      </c>
      <c r="AG501" s="110">
        <f>SUM(AG493:AG500)</f>
        <v>0</v>
      </c>
      <c r="AH501" s="110">
        <f t="shared" ref="AH501:AL501" si="582">SUM(AH493:AH500)</f>
        <v>0</v>
      </c>
      <c r="AI501" s="110">
        <f t="shared" si="582"/>
        <v>0</v>
      </c>
      <c r="AJ501" s="110">
        <f t="shared" si="582"/>
        <v>0</v>
      </c>
      <c r="AK501" s="110">
        <f t="shared" si="582"/>
        <v>124566.65</v>
      </c>
      <c r="AL501" s="110">
        <f t="shared" si="582"/>
        <v>0</v>
      </c>
      <c r="AM501" s="110">
        <f>SUM(AM493:AM500)</f>
        <v>0</v>
      </c>
      <c r="AN501" s="110">
        <f>SUM(AN493:AN500)</f>
        <v>0</v>
      </c>
      <c r="AO501" s="110">
        <f>SUM(AO493:AO500)</f>
        <v>0</v>
      </c>
      <c r="AP501" s="110">
        <f>SUM(AP493:AP500)</f>
        <v>0</v>
      </c>
      <c r="AQ501" s="110">
        <f>SUM(AQ493:AQ500)</f>
        <v>0</v>
      </c>
      <c r="AR501" s="110">
        <f t="shared" ref="AR501" si="583">SUM(AR493:AR500)</f>
        <v>0</v>
      </c>
      <c r="AS501" s="110">
        <f>SUM(AS493:AS500)</f>
        <v>0</v>
      </c>
      <c r="AT501" s="110">
        <f t="shared" ref="AT501:AV501" si="584">SUM(AT493:AT500)</f>
        <v>0</v>
      </c>
      <c r="AU501" s="110">
        <f t="shared" si="584"/>
        <v>0</v>
      </c>
      <c r="AV501" s="110">
        <f t="shared" si="584"/>
        <v>0</v>
      </c>
      <c r="AW501" s="110">
        <f>SUM(AW493:AW500)</f>
        <v>0</v>
      </c>
      <c r="AX501" s="110">
        <f t="shared" ref="AX501:BF501" si="585">SUM(AX493:AX500)</f>
        <v>0</v>
      </c>
      <c r="AY501" s="110">
        <f t="shared" si="585"/>
        <v>0</v>
      </c>
      <c r="AZ501" s="110">
        <f t="shared" si="585"/>
        <v>0</v>
      </c>
      <c r="BA501" s="110">
        <f t="shared" si="585"/>
        <v>0</v>
      </c>
      <c r="BB501" s="110">
        <f t="shared" si="585"/>
        <v>0</v>
      </c>
      <c r="BC501" s="110">
        <f t="shared" si="585"/>
        <v>0</v>
      </c>
      <c r="BD501" s="110">
        <f t="shared" si="585"/>
        <v>0</v>
      </c>
      <c r="BE501" s="110">
        <f t="shared" si="585"/>
        <v>0</v>
      </c>
      <c r="BF501" s="110">
        <f t="shared" si="585"/>
        <v>0</v>
      </c>
    </row>
    <row r="502" spans="1:58" ht="14.1" customHeight="1">
      <c r="A502" s="75">
        <f t="shared" si="553"/>
        <v>496</v>
      </c>
      <c r="C502" s="80"/>
      <c r="D502" s="87"/>
      <c r="E502" s="87"/>
      <c r="F502" s="87"/>
      <c r="G502" s="87"/>
      <c r="H502" s="87"/>
      <c r="I502" s="87"/>
      <c r="J502" s="87"/>
      <c r="K502" s="87"/>
      <c r="L502" s="87"/>
      <c r="M502" s="87"/>
      <c r="N502" s="87"/>
      <c r="O502" s="87"/>
      <c r="P502" s="87"/>
      <c r="Q502" s="87"/>
      <c r="R502" s="87"/>
      <c r="S502" s="87"/>
      <c r="T502" s="87"/>
      <c r="U502" s="87"/>
      <c r="V502" s="87"/>
      <c r="W502" s="87"/>
      <c r="X502" s="87"/>
      <c r="Y502" s="87"/>
      <c r="Z502" s="87"/>
      <c r="AA502" s="87"/>
      <c r="AB502" s="87"/>
      <c r="AC502" s="87"/>
      <c r="AD502" s="87"/>
      <c r="AE502" s="87"/>
      <c r="AF502" s="87"/>
      <c r="AG502" s="87"/>
      <c r="AH502" s="87"/>
      <c r="AI502" s="87"/>
      <c r="AJ502" s="87"/>
      <c r="AK502" s="87"/>
      <c r="AL502" s="87"/>
      <c r="AM502" s="87"/>
      <c r="AN502" s="87"/>
      <c r="AO502" s="87"/>
      <c r="AP502" s="87"/>
      <c r="AQ502" s="87"/>
      <c r="AR502" s="87"/>
      <c r="AS502" s="87"/>
      <c r="AT502" s="87"/>
      <c r="AU502" s="87"/>
      <c r="AV502" s="87"/>
      <c r="AW502" s="87"/>
      <c r="AX502" s="87"/>
      <c r="AY502" s="87"/>
      <c r="AZ502" s="87"/>
      <c r="BA502" s="87"/>
      <c r="BB502" s="87"/>
      <c r="BC502" s="87"/>
      <c r="BD502" s="87"/>
      <c r="BE502" s="87"/>
      <c r="BF502" s="87"/>
    </row>
    <row r="503" spans="1:58" ht="14.1" customHeight="1">
      <c r="A503" s="75">
        <f t="shared" si="553"/>
        <v>497</v>
      </c>
      <c r="C503" s="80"/>
      <c r="D503" s="87"/>
      <c r="E503" s="87"/>
      <c r="F503" s="87"/>
      <c r="G503" s="87"/>
      <c r="H503" s="87"/>
      <c r="I503" s="87"/>
      <c r="J503" s="87"/>
      <c r="K503" s="87"/>
      <c r="L503" s="87"/>
      <c r="M503" s="87"/>
      <c r="N503" s="87"/>
      <c r="O503" s="87"/>
      <c r="P503" s="87"/>
      <c r="Q503" s="87"/>
      <c r="R503" s="87"/>
      <c r="S503" s="87"/>
      <c r="T503" s="87"/>
      <c r="U503" s="87"/>
      <c r="V503" s="87"/>
      <c r="W503" s="87"/>
      <c r="X503" s="87"/>
      <c r="Y503" s="87"/>
      <c r="Z503" s="87"/>
      <c r="AA503" s="87"/>
      <c r="AB503" s="87"/>
      <c r="AC503" s="87"/>
      <c r="AD503" s="87"/>
      <c r="AE503" s="87"/>
      <c r="AF503" s="87"/>
      <c r="AG503" s="87"/>
      <c r="AH503" s="87"/>
      <c r="AI503" s="87"/>
      <c r="AJ503" s="87"/>
      <c r="AK503" s="87"/>
      <c r="AL503" s="87"/>
      <c r="AM503" s="87"/>
      <c r="AN503" s="87"/>
      <c r="AO503" s="87"/>
      <c r="AP503" s="87"/>
      <c r="AQ503" s="87"/>
      <c r="AR503" s="87"/>
      <c r="AS503" s="87"/>
      <c r="AT503" s="87"/>
      <c r="AU503" s="87"/>
      <c r="AV503" s="87"/>
      <c r="AW503" s="87"/>
      <c r="AX503" s="87"/>
      <c r="AY503" s="87"/>
      <c r="AZ503" s="87"/>
      <c r="BA503" s="87"/>
      <c r="BB503" s="87"/>
      <c r="BC503" s="87"/>
      <c r="BD503" s="87"/>
      <c r="BE503" s="87"/>
      <c r="BF503" s="87"/>
    </row>
    <row r="504" spans="1:58" ht="13.9" customHeight="1">
      <c r="A504" s="75">
        <f t="shared" si="553"/>
        <v>498</v>
      </c>
      <c r="B504" s="81" t="s">
        <v>691</v>
      </c>
      <c r="C504" s="129"/>
      <c r="D504" s="87"/>
      <c r="E504" s="87"/>
      <c r="F504" s="87"/>
      <c r="G504" s="87"/>
      <c r="H504" s="87"/>
      <c r="I504" s="87"/>
      <c r="J504" s="87"/>
      <c r="K504" s="87"/>
      <c r="L504" s="87"/>
      <c r="M504" s="87"/>
      <c r="N504" s="87"/>
      <c r="O504" s="87"/>
      <c r="P504" s="87"/>
      <c r="Q504" s="87"/>
      <c r="R504" s="87"/>
      <c r="S504" s="87"/>
      <c r="T504" s="87"/>
      <c r="U504" s="87"/>
      <c r="V504" s="87"/>
      <c r="W504" s="87"/>
      <c r="X504" s="87"/>
      <c r="Y504" s="87"/>
      <c r="Z504" s="87"/>
      <c r="AA504" s="87"/>
      <c r="AB504" s="87"/>
      <c r="AC504" s="87"/>
      <c r="AD504" s="87"/>
      <c r="AE504" s="87"/>
      <c r="AF504" s="87"/>
      <c r="AG504" s="87"/>
      <c r="AH504" s="87"/>
      <c r="AI504" s="87"/>
      <c r="AJ504" s="87"/>
      <c r="AK504" s="87"/>
      <c r="AL504" s="87"/>
      <c r="AM504" s="87"/>
      <c r="AN504" s="87"/>
      <c r="AO504" s="87"/>
      <c r="AP504" s="87"/>
      <c r="AQ504" s="87"/>
      <c r="AR504" s="87"/>
      <c r="AS504" s="87"/>
      <c r="AT504" s="87"/>
      <c r="AU504" s="87"/>
      <c r="AV504" s="87"/>
      <c r="AW504" s="87"/>
      <c r="AX504" s="87"/>
      <c r="AY504" s="87"/>
      <c r="AZ504" s="87"/>
      <c r="BA504" s="87"/>
      <c r="BB504" s="87"/>
      <c r="BC504" s="87"/>
      <c r="BD504" s="87"/>
      <c r="BE504" s="87"/>
      <c r="BF504" s="87"/>
    </row>
    <row r="505" spans="1:58" ht="13.5" customHeight="1">
      <c r="A505" s="75">
        <f t="shared" si="553"/>
        <v>499</v>
      </c>
      <c r="B505" s="89" t="s">
        <v>692</v>
      </c>
      <c r="C505" s="80">
        <v>-140918.22003622132</v>
      </c>
      <c r="D505" s="141">
        <f>ROUND((((D12)-(D23+D25+D26+D28+D29-D512))*$C$514),0)</f>
        <v>122717</v>
      </c>
      <c r="E505" s="141">
        <f>ROUND((((E12)-(E23+E25+E26+E28+E29-E512))*$C$514),0)</f>
        <v>-25818</v>
      </c>
      <c r="F505" s="141">
        <f>ROUND((((F12)-(F23+F25+F26+F28+F29-F512))*$C$514),0)</f>
        <v>7266</v>
      </c>
      <c r="G505" s="141">
        <f>ROUND((((G12)-(G23+G25+G26+G28+G29-G512))*$C$514),0)</f>
        <v>135886</v>
      </c>
      <c r="H505" s="141">
        <f>ROUND((((H12)-(H23+H25+H26+H28+H29))*$C$514),0)</f>
        <v>1653256</v>
      </c>
      <c r="I505" s="141">
        <f>ROUND((((I12)-(I23+I25+I26+I28+I29))*$C$514),0)</f>
        <v>32220</v>
      </c>
      <c r="J505" s="141">
        <f t="shared" ref="J505:AV505" si="586">ROUND((((J12)-(J23+J25+J26+J28+J29-J512))*$C$514),0)</f>
        <v>10222</v>
      </c>
      <c r="K505" s="141">
        <f t="shared" si="586"/>
        <v>-1086300</v>
      </c>
      <c r="L505" s="141">
        <f t="shared" si="586"/>
        <v>-340001</v>
      </c>
      <c r="M505" s="141">
        <f t="shared" si="586"/>
        <v>-661715</v>
      </c>
      <c r="N505" s="141">
        <f t="shared" si="586"/>
        <v>-2897</v>
      </c>
      <c r="O505" s="141">
        <f t="shared" si="586"/>
        <v>0</v>
      </c>
      <c r="P505" s="141">
        <f t="shared" si="586"/>
        <v>0</v>
      </c>
      <c r="Q505" s="141">
        <f t="shared" si="586"/>
        <v>-109171</v>
      </c>
      <c r="R505" s="141">
        <f t="shared" si="586"/>
        <v>-29285</v>
      </c>
      <c r="S505" s="141">
        <f t="shared" si="586"/>
        <v>-500062</v>
      </c>
      <c r="T505" s="141">
        <f t="shared" si="586"/>
        <v>-14655</v>
      </c>
      <c r="U505" s="141">
        <f>ROUND((((U12)-(U23+U25+U26+U28+U29))*$C$514),0)</f>
        <v>-243261</v>
      </c>
      <c r="V505" s="141">
        <f t="shared" si="586"/>
        <v>655562</v>
      </c>
      <c r="W505" s="141">
        <f t="shared" si="586"/>
        <v>12218</v>
      </c>
      <c r="X505" s="141">
        <f t="shared" si="586"/>
        <v>-10791</v>
      </c>
      <c r="Y505" s="141">
        <f t="shared" si="586"/>
        <v>0</v>
      </c>
      <c r="Z505" s="141">
        <f t="shared" si="586"/>
        <v>-12120</v>
      </c>
      <c r="AA505" s="141">
        <f t="shared" si="586"/>
        <v>2746</v>
      </c>
      <c r="AB505" s="141">
        <f t="shared" si="586"/>
        <v>-5859</v>
      </c>
      <c r="AC505" s="141">
        <f t="shared" si="586"/>
        <v>0</v>
      </c>
      <c r="AD505" s="141">
        <f t="shared" si="586"/>
        <v>3095</v>
      </c>
      <c r="AE505" s="141">
        <f t="shared" si="586"/>
        <v>-23319</v>
      </c>
      <c r="AF505" s="142">
        <f t="shared" si="586"/>
        <v>154627</v>
      </c>
      <c r="AG505" s="141">
        <f t="shared" si="586"/>
        <v>-169230</v>
      </c>
      <c r="AH505" s="141">
        <f t="shared" si="586"/>
        <v>1211</v>
      </c>
      <c r="AI505" s="141">
        <f t="shared" si="586"/>
        <v>0</v>
      </c>
      <c r="AJ505" s="141">
        <f t="shared" si="586"/>
        <v>0</v>
      </c>
      <c r="AK505" s="141">
        <f t="shared" si="586"/>
        <v>-6240</v>
      </c>
      <c r="AL505" s="141">
        <f t="shared" si="586"/>
        <v>-5738</v>
      </c>
      <c r="AM505" s="141">
        <f t="shared" si="586"/>
        <v>-294880</v>
      </c>
      <c r="AN505" s="141">
        <f t="shared" si="586"/>
        <v>-213554</v>
      </c>
      <c r="AO505" s="141">
        <f t="shared" si="586"/>
        <v>0</v>
      </c>
      <c r="AP505" s="141">
        <f t="shared" si="586"/>
        <v>-59642</v>
      </c>
      <c r="AQ505" s="141">
        <f t="shared" si="586"/>
        <v>-60727</v>
      </c>
      <c r="AR505" s="141">
        <f t="shared" si="586"/>
        <v>84628</v>
      </c>
      <c r="AS505" s="141">
        <f t="shared" si="586"/>
        <v>-7052</v>
      </c>
      <c r="AT505" s="141">
        <f t="shared" si="586"/>
        <v>-422112</v>
      </c>
      <c r="AU505" s="141">
        <f t="shared" si="586"/>
        <v>422112</v>
      </c>
      <c r="AV505" s="141">
        <f t="shared" si="586"/>
        <v>279289</v>
      </c>
      <c r="AW505" s="141">
        <f>ROUND((((AW12)-(AW23+AW25+AW26+AW28+AW29))*$C$514),0)</f>
        <v>-45887</v>
      </c>
      <c r="AX505" s="141">
        <f t="shared" ref="AX505" si="587">ROUND((((AX12)-(AX23+AX25+AX26+AX28+AX29))*$C$514),0)</f>
        <v>45887</v>
      </c>
      <c r="AY505" s="141">
        <f>ROUND((((AY12)-(AY23+AY25+AY26+AY28+AY29))*$C$514),0)</f>
        <v>0</v>
      </c>
      <c r="AZ505" s="141">
        <f>ROUND((((AZ12)-(AZ23+AZ25+AZ26+AZ28+AZ29-AZ512))*$C$514),0)</f>
        <v>0</v>
      </c>
      <c r="BA505" s="141">
        <v>594911.34996377851</v>
      </c>
      <c r="BB505" s="141">
        <f>ROUND((((BB12)-(BB23+BB25+BB26+BB28+BB29-BB512))*$C$514),0)</f>
        <v>0</v>
      </c>
      <c r="BC505" s="141">
        <v>0</v>
      </c>
      <c r="BD505" s="141">
        <f>ROUND((((BD12)-(BD23+BD25+BD26+BD28+BD29-BD512))*$C$514),0)</f>
        <v>0</v>
      </c>
      <c r="BE505" s="141">
        <f>ROUND((((BE12)-(BE23+BE25+BE26+BE28+BE29-BE512))*$C$514),0)</f>
        <v>0</v>
      </c>
      <c r="BF505" s="141">
        <f t="shared" ref="BF505" si="588">ROUND((((BF12)-(BF23+BF25+BF26+BF28+BF29))*$C$514),0)</f>
        <v>0</v>
      </c>
    </row>
    <row r="506" spans="1:58" ht="14.1" customHeight="1">
      <c r="A506" s="75">
        <f t="shared" si="553"/>
        <v>500</v>
      </c>
      <c r="B506" s="89" t="s">
        <v>693</v>
      </c>
      <c r="C506" s="80">
        <v>-469374.66569704702</v>
      </c>
      <c r="D506" s="141">
        <f>ROUND((((D12)-(D23+D25+D26+D28+D29-D512+D505))*$C$515),0)</f>
        <v>488642</v>
      </c>
      <c r="E506" s="141">
        <f>ROUND((((E12)-(E23+E25+E26+E28+E29-E512+E505))*$C$515),0)</f>
        <v>-102804</v>
      </c>
      <c r="F506" s="141">
        <f>ROUND((((F12)-(F23+F25+F26+F28+F29-F512+F505))*$C$515),0)</f>
        <v>28931</v>
      </c>
      <c r="G506" s="141">
        <f>ROUND((((G12)-(G23+G25+G26+G28+G29-G512+G505))*$C$515),0)</f>
        <v>541078</v>
      </c>
      <c r="H506" s="141">
        <f>ROUND((((H12)-(H23+H25+H26+H28+H29+H505))*$C$515),0)</f>
        <v>6583047</v>
      </c>
      <c r="I506" s="141">
        <f>ROUND((((I12)-(I23+I25+I26+I28+I29+I505))*$C$515),0)</f>
        <v>128295</v>
      </c>
      <c r="J506" s="141">
        <f t="shared" ref="J506:AM506" si="589">ROUND((((J12)-(J23+J25+J26+J28+J29-J512+J505))*$C$515),0)</f>
        <v>40702</v>
      </c>
      <c r="K506" s="141">
        <f t="shared" si="589"/>
        <v>-4325502</v>
      </c>
      <c r="L506" s="141">
        <f t="shared" si="589"/>
        <v>-1353840</v>
      </c>
      <c r="M506" s="141">
        <f t="shared" si="589"/>
        <v>-2634861</v>
      </c>
      <c r="N506" s="141">
        <f t="shared" si="589"/>
        <v>-11535</v>
      </c>
      <c r="O506" s="141">
        <f t="shared" si="589"/>
        <v>0</v>
      </c>
      <c r="P506" s="141">
        <f t="shared" si="589"/>
        <v>0</v>
      </c>
      <c r="Q506" s="141">
        <f t="shared" si="589"/>
        <v>-434705</v>
      </c>
      <c r="R506" s="141">
        <f t="shared" si="589"/>
        <v>-116608</v>
      </c>
      <c r="S506" s="141">
        <f t="shared" si="589"/>
        <v>-1991180</v>
      </c>
      <c r="T506" s="141">
        <f t="shared" si="589"/>
        <v>-58356</v>
      </c>
      <c r="U506" s="141">
        <f>ROUND((((U12)-(U23+U25+U26+U28+U29+U505))*$C$515),0)</f>
        <v>-968632</v>
      </c>
      <c r="V506" s="141">
        <f t="shared" si="589"/>
        <v>2610361</v>
      </c>
      <c r="W506" s="141">
        <f t="shared" si="589"/>
        <v>48649</v>
      </c>
      <c r="X506" s="141">
        <f t="shared" si="589"/>
        <v>-42970</v>
      </c>
      <c r="Y506" s="141">
        <f t="shared" si="589"/>
        <v>0</v>
      </c>
      <c r="Z506" s="141">
        <f t="shared" si="589"/>
        <v>-48262</v>
      </c>
      <c r="AA506" s="141">
        <f t="shared" si="589"/>
        <v>10932</v>
      </c>
      <c r="AB506" s="141">
        <f t="shared" si="589"/>
        <v>-23328</v>
      </c>
      <c r="AC506" s="141">
        <f t="shared" si="589"/>
        <v>0</v>
      </c>
      <c r="AD506" s="141">
        <f t="shared" si="589"/>
        <v>12325</v>
      </c>
      <c r="AE506" s="141">
        <f t="shared" si="589"/>
        <v>-92853</v>
      </c>
      <c r="AF506" s="142">
        <f t="shared" si="589"/>
        <v>615704</v>
      </c>
      <c r="AG506" s="141">
        <f t="shared" si="589"/>
        <v>-673853</v>
      </c>
      <c r="AH506" s="141">
        <f t="shared" si="589"/>
        <v>4822</v>
      </c>
      <c r="AI506" s="141">
        <f t="shared" si="589"/>
        <v>0</v>
      </c>
      <c r="AJ506" s="141">
        <f t="shared" si="589"/>
        <v>0</v>
      </c>
      <c r="AK506" s="141">
        <f t="shared" si="589"/>
        <v>-24849</v>
      </c>
      <c r="AL506" s="141">
        <f t="shared" si="589"/>
        <v>-22846</v>
      </c>
      <c r="AM506" s="141">
        <f t="shared" si="589"/>
        <v>-1174172</v>
      </c>
      <c r="AN506" s="141">
        <f>ROUND((((AN12)-(AN23+AN25+AN26+AN28+AN29-AN512+AN505))*$C$515),0)</f>
        <v>-850344</v>
      </c>
      <c r="AO506" s="141">
        <f t="shared" ref="AO506:AP506" si="590">ROUND((((AO12)-(AO23+AO25+AO26+AO28+AO29-AO512+AO505))*$C$515),0)</f>
        <v>0</v>
      </c>
      <c r="AP506" s="141">
        <f t="shared" si="590"/>
        <v>-237485</v>
      </c>
      <c r="AQ506" s="141">
        <f>ROUND((((AQ12)-(AQ23+AQ25+AQ26+AQ28+AQ29-AQ512+AQ505))*$C$515),0)</f>
        <v>-241809</v>
      </c>
      <c r="AR506" s="141">
        <f t="shared" ref="AR506" si="591">ROUND((((AR12)-(AR23+AR25+AR26+AR28+AR29-AR512+AR505))*$C$515),0)</f>
        <v>336976</v>
      </c>
      <c r="AS506" s="141">
        <f>ROUND((((AS12)-(AS23+AS25+AS26+AS28+AS29-AS512+AS505))*$C$515),0)</f>
        <v>-28081</v>
      </c>
      <c r="AT506" s="141">
        <f t="shared" ref="AT506:AV506" si="592">ROUND((((AT12)-(AT23+AT25+AT26+AT28+AT29-AT512+AT505))*$C$515),0)</f>
        <v>-1680795</v>
      </c>
      <c r="AU506" s="141">
        <f t="shared" si="592"/>
        <v>1680795</v>
      </c>
      <c r="AV506" s="141">
        <f t="shared" si="592"/>
        <v>1112091</v>
      </c>
      <c r="AW506" s="141">
        <f>ROUND((((AW12)-(AW23+AW25+AW26+AW28+AW29+AW505))*$C$515),0)</f>
        <v>-182717</v>
      </c>
      <c r="AX506" s="141">
        <f t="shared" ref="AX506" si="593">ROUND((((AX12)-(AX23+AX25+AX26+AX28+AX29+AX505))*$C$515),0)</f>
        <v>182717</v>
      </c>
      <c r="AY506" s="141">
        <f>ROUND((((AY12)-(AY23+AY25+AY26+AY28+AY29+AY505))*$C$515),0)</f>
        <v>0</v>
      </c>
      <c r="AZ506" s="141">
        <f>ROUND((((AZ12)-(AZ23+AZ25+AZ26+AZ28+AZ29-AZ512+AZ505))*$C$515),0)</f>
        <v>0</v>
      </c>
      <c r="BA506" s="141">
        <v>2368858.334302953</v>
      </c>
      <c r="BB506" s="141">
        <f>ROUND((((BB12)-(BB23+BB25+BB26+BB28+BB29-BB512+BB505))*$C$515),0)</f>
        <v>0</v>
      </c>
      <c r="BC506" s="141">
        <f>ROUND((((BC12)-(BC23+BC25+BC26+BC28+BC29-BC512+BC505))*$C$515),0)</f>
        <v>0</v>
      </c>
      <c r="BD506" s="141">
        <f>ROUND((((BD12)-(BD23+BD25+BD26+BD28+BD29-BD512+BD505))*$C$515),0)</f>
        <v>0</v>
      </c>
      <c r="BE506" s="141">
        <f>ROUND((((BE12)-(BE23+BE25+BE26+BE28+BE29-BE512+BE505))*$C$515),0)</f>
        <v>0</v>
      </c>
      <c r="BF506" s="141">
        <f t="shared" ref="BF506" si="594">ROUND((((BF12)-(BF23+BF25+BF26+BF28+BF29+BF505))*$C$515),0)</f>
        <v>0</v>
      </c>
    </row>
    <row r="507" spans="1:58" ht="14.1" customHeight="1">
      <c r="A507" s="75">
        <f t="shared" si="553"/>
        <v>501</v>
      </c>
      <c r="B507" s="89" t="s">
        <v>694</v>
      </c>
      <c r="C507" s="80">
        <f>SUM(D507:BF507)</f>
        <v>4873835</v>
      </c>
      <c r="D507" s="87">
        <f>ROUND(D512*D513*$C$515*-1,0)</f>
        <v>0</v>
      </c>
      <c r="E507" s="87">
        <f>ROUND(E512*E513*$C$515*-1,0)</f>
        <v>0</v>
      </c>
      <c r="F507" s="87">
        <v>0</v>
      </c>
      <c r="G507" s="87">
        <f>ROUND(G512*G513*$C$515*-1,0)</f>
        <v>0</v>
      </c>
      <c r="H507" s="87">
        <f>ROUND(H512*H513*$C$515*-1,0)</f>
        <v>0</v>
      </c>
      <c r="I507" s="87">
        <f>ROUND(I512*I513*$C$515*-1,0)</f>
        <v>0</v>
      </c>
      <c r="J507" s="87">
        <f t="shared" ref="J507:V507" si="595">ROUND(J512*J513*$C$515*-1,0)</f>
        <v>0</v>
      </c>
      <c r="K507" s="87">
        <f t="shared" si="595"/>
        <v>0</v>
      </c>
      <c r="L507" s="87">
        <f t="shared" si="595"/>
        <v>0</v>
      </c>
      <c r="M507" s="87">
        <f t="shared" si="595"/>
        <v>0</v>
      </c>
      <c r="N507" s="87">
        <f t="shared" si="595"/>
        <v>0</v>
      </c>
      <c r="O507" s="87">
        <f t="shared" si="595"/>
        <v>0</v>
      </c>
      <c r="P507" s="87">
        <f t="shared" si="595"/>
        <v>0</v>
      </c>
      <c r="Q507" s="87">
        <f t="shared" si="595"/>
        <v>0</v>
      </c>
      <c r="R507" s="87">
        <f t="shared" si="595"/>
        <v>0</v>
      </c>
      <c r="S507" s="87">
        <f t="shared" si="595"/>
        <v>0</v>
      </c>
      <c r="T507" s="87">
        <f t="shared" si="595"/>
        <v>0</v>
      </c>
      <c r="U507" s="87">
        <v>195366</v>
      </c>
      <c r="V507" s="87">
        <f t="shared" si="595"/>
        <v>0</v>
      </c>
      <c r="W507" s="87">
        <f>ROUND(W512*W513*$C$515*-1,0)</f>
        <v>0</v>
      </c>
      <c r="X507" s="87">
        <f t="shared" ref="X507:AD507" si="596">ROUND(X512*X513*$C$515*-1,0)</f>
        <v>0</v>
      </c>
      <c r="Y507" s="87">
        <f>ROUND(Y512*Y513*$C$515*-1,0)</f>
        <v>0</v>
      </c>
      <c r="Z507" s="87">
        <f t="shared" si="596"/>
        <v>0</v>
      </c>
      <c r="AA507" s="87">
        <f t="shared" si="596"/>
        <v>0</v>
      </c>
      <c r="AB507" s="87">
        <f t="shared" si="596"/>
        <v>0</v>
      </c>
      <c r="AC507" s="87">
        <f t="shared" si="596"/>
        <v>-1046851</v>
      </c>
      <c r="AD507" s="87">
        <f t="shared" si="596"/>
        <v>0</v>
      </c>
      <c r="AE507" s="87">
        <f>ROUND(AE512*AE513*$C$515*-1,0)</f>
        <v>0</v>
      </c>
      <c r="AF507" s="87">
        <f>ROUND(AF512*AF513*$C$515*-1,0)</f>
        <v>0</v>
      </c>
      <c r="AG507" s="87">
        <f>ROUND(AG512*AG513*$C$515*-1,0)</f>
        <v>0</v>
      </c>
      <c r="AH507" s="87">
        <f t="shared" ref="AH507:AM507" si="597">ROUND(AH512*AH513*$C$515*-1,0)</f>
        <v>0</v>
      </c>
      <c r="AI507" s="87">
        <f t="shared" si="597"/>
        <v>-442599</v>
      </c>
      <c r="AJ507" s="87">
        <f t="shared" si="597"/>
        <v>-23807</v>
      </c>
      <c r="AK507" s="87">
        <f t="shared" si="597"/>
        <v>0</v>
      </c>
      <c r="AL507" s="87">
        <f t="shared" si="597"/>
        <v>0</v>
      </c>
      <c r="AM507" s="87">
        <f t="shared" si="597"/>
        <v>1236096</v>
      </c>
      <c r="AN507" s="87">
        <f>ROUND(AN512*AN513*$C$515*-1,0)</f>
        <v>0</v>
      </c>
      <c r="AO507" s="87">
        <f t="shared" ref="AO507:AP507" si="598">ROUND(AO512*AO513*$C$515*-1,0)</f>
        <v>0</v>
      </c>
      <c r="AP507" s="87">
        <f t="shared" si="598"/>
        <v>0</v>
      </c>
      <c r="AQ507" s="87">
        <v>0</v>
      </c>
      <c r="AR507" s="87">
        <v>0</v>
      </c>
      <c r="AS507" s="87">
        <v>0</v>
      </c>
      <c r="AT507" s="87">
        <f t="shared" ref="AT507:AV507" si="599">ROUND(AT512*AT513*$C$515*-1,0)</f>
        <v>1053489</v>
      </c>
      <c r="AU507" s="87">
        <f t="shared" si="599"/>
        <v>0</v>
      </c>
      <c r="AV507" s="87">
        <f t="shared" si="599"/>
        <v>0</v>
      </c>
      <c r="AW507" s="87">
        <f>ROUND(AW512*AW513*$C$515*-1,0)</f>
        <v>0</v>
      </c>
      <c r="AX507" s="87">
        <f t="shared" ref="AX507" si="600">ROUND(AX512*AX513*$C$515*-1,0)</f>
        <v>0</v>
      </c>
      <c r="AY507" s="87">
        <f>ROUND(AY512*AY513*$C$515*-1,0)</f>
        <v>0</v>
      </c>
      <c r="AZ507" s="87">
        <v>3902141</v>
      </c>
      <c r="BA507" s="87">
        <v>0</v>
      </c>
      <c r="BB507" s="87">
        <f t="shared" ref="BB507" si="601">ROUND(BB512*BB513*$C$515*-1,0)</f>
        <v>0</v>
      </c>
      <c r="BC507" s="87">
        <f>ROUND(BC512*BC513*$C$515*-1,0)</f>
        <v>0</v>
      </c>
      <c r="BD507" s="87">
        <f>ROUND(BD512*BD513*$C$515*-1,0)</f>
        <v>0</v>
      </c>
      <c r="BE507" s="87">
        <f>ROUND(BE512*BE513*$C$515*-1,0)</f>
        <v>0</v>
      </c>
      <c r="BF507" s="87">
        <f t="shared" ref="BF507" si="602">ROUND(BF512*BF513*$C$515*-1,0)</f>
        <v>0</v>
      </c>
    </row>
    <row r="508" spans="1:58" ht="14.1" customHeight="1">
      <c r="A508" s="75">
        <f t="shared" si="553"/>
        <v>502</v>
      </c>
      <c r="B508" s="89" t="s">
        <v>695</v>
      </c>
      <c r="C508" s="80">
        <f>SUM(D508:BF508)</f>
        <v>0</v>
      </c>
      <c r="D508" s="87">
        <v>0</v>
      </c>
      <c r="E508" s="87">
        <v>0</v>
      </c>
      <c r="F508" s="87">
        <v>0</v>
      </c>
      <c r="G508" s="87">
        <v>0</v>
      </c>
      <c r="H508" s="87">
        <v>0</v>
      </c>
      <c r="I508" s="87">
        <v>0</v>
      </c>
      <c r="J508" s="87">
        <v>0</v>
      </c>
      <c r="K508" s="87">
        <v>0</v>
      </c>
      <c r="L508" s="87">
        <v>0</v>
      </c>
      <c r="M508" s="87">
        <v>0</v>
      </c>
      <c r="N508" s="87">
        <v>0</v>
      </c>
      <c r="O508" s="87">
        <v>0</v>
      </c>
      <c r="P508" s="87">
        <v>0</v>
      </c>
      <c r="Q508" s="87">
        <v>0</v>
      </c>
      <c r="R508" s="87">
        <v>0</v>
      </c>
      <c r="S508" s="87">
        <v>0</v>
      </c>
      <c r="T508" s="87">
        <v>0</v>
      </c>
      <c r="U508" s="87">
        <v>0</v>
      </c>
      <c r="V508" s="87">
        <v>0</v>
      </c>
      <c r="W508" s="87">
        <v>0</v>
      </c>
      <c r="X508" s="87">
        <v>0</v>
      </c>
      <c r="Y508" s="87">
        <v>0</v>
      </c>
      <c r="Z508" s="87">
        <v>0</v>
      </c>
      <c r="AA508" s="87">
        <v>0</v>
      </c>
      <c r="AB508" s="87">
        <v>0</v>
      </c>
      <c r="AC508" s="87">
        <v>0</v>
      </c>
      <c r="AD508" s="87">
        <v>0</v>
      </c>
      <c r="AE508" s="87">
        <v>0</v>
      </c>
      <c r="AF508" s="87">
        <v>0</v>
      </c>
      <c r="AG508" s="87">
        <v>0</v>
      </c>
      <c r="AH508" s="87">
        <v>0</v>
      </c>
      <c r="AI508" s="87">
        <v>0</v>
      </c>
      <c r="AJ508" s="87">
        <v>0</v>
      </c>
      <c r="AK508" s="87">
        <v>0</v>
      </c>
      <c r="AL508" s="87">
        <v>0</v>
      </c>
      <c r="AM508" s="87">
        <v>0</v>
      </c>
      <c r="AN508" s="87">
        <v>0</v>
      </c>
      <c r="AO508" s="87">
        <v>0</v>
      </c>
      <c r="AP508" s="87">
        <v>0</v>
      </c>
      <c r="AQ508" s="87">
        <v>0</v>
      </c>
      <c r="AR508" s="87">
        <v>0</v>
      </c>
      <c r="AS508" s="87">
        <v>0</v>
      </c>
      <c r="AT508" s="87">
        <v>0</v>
      </c>
      <c r="AU508" s="87">
        <v>0</v>
      </c>
      <c r="AV508" s="87">
        <v>0</v>
      </c>
      <c r="AW508" s="87">
        <v>0</v>
      </c>
      <c r="AX508" s="87">
        <v>0</v>
      </c>
      <c r="AY508" s="87">
        <v>0</v>
      </c>
      <c r="AZ508" s="87">
        <v>0</v>
      </c>
      <c r="BA508" s="87">
        <v>0</v>
      </c>
      <c r="BB508" s="87">
        <v>0</v>
      </c>
      <c r="BC508" s="87">
        <v>0</v>
      </c>
      <c r="BD508" s="87">
        <v>0</v>
      </c>
      <c r="BE508" s="87">
        <v>0</v>
      </c>
      <c r="BF508" s="87">
        <v>0</v>
      </c>
    </row>
    <row r="509" spans="1:58" ht="14.1" customHeight="1">
      <c r="A509" s="75">
        <f t="shared" si="553"/>
        <v>503</v>
      </c>
      <c r="B509" s="121" t="s">
        <v>696</v>
      </c>
      <c r="C509" s="80">
        <f>SUM(D509:BF509)</f>
        <v>0</v>
      </c>
      <c r="D509" s="87">
        <v>0</v>
      </c>
      <c r="E509" s="87">
        <v>0</v>
      </c>
      <c r="F509" s="87">
        <v>0</v>
      </c>
      <c r="G509" s="87">
        <v>0</v>
      </c>
      <c r="H509" s="87">
        <v>0</v>
      </c>
      <c r="I509" s="87">
        <v>0</v>
      </c>
      <c r="J509" s="87">
        <v>0</v>
      </c>
      <c r="K509" s="87">
        <v>0</v>
      </c>
      <c r="L509" s="87">
        <v>0</v>
      </c>
      <c r="M509" s="87">
        <v>0</v>
      </c>
      <c r="N509" s="87">
        <v>0</v>
      </c>
      <c r="O509" s="87">
        <v>0</v>
      </c>
      <c r="P509" s="87">
        <v>0</v>
      </c>
      <c r="Q509" s="87">
        <v>0</v>
      </c>
      <c r="R509" s="87">
        <v>0</v>
      </c>
      <c r="S509" s="87">
        <v>0</v>
      </c>
      <c r="T509" s="87">
        <v>0</v>
      </c>
      <c r="U509" s="87">
        <v>0</v>
      </c>
      <c r="V509" s="87">
        <v>0</v>
      </c>
      <c r="W509" s="87">
        <v>0</v>
      </c>
      <c r="X509" s="87">
        <v>0</v>
      </c>
      <c r="Y509" s="87">
        <v>0</v>
      </c>
      <c r="Z509" s="87">
        <v>0</v>
      </c>
      <c r="AA509" s="87">
        <v>0</v>
      </c>
      <c r="AB509" s="87">
        <v>0</v>
      </c>
      <c r="AC509" s="87">
        <v>0</v>
      </c>
      <c r="AD509" s="87">
        <v>0</v>
      </c>
      <c r="AE509" s="87">
        <v>0</v>
      </c>
      <c r="AF509" s="87">
        <v>0</v>
      </c>
      <c r="AG509" s="87">
        <v>0</v>
      </c>
      <c r="AH509" s="87">
        <v>0</v>
      </c>
      <c r="AI509" s="87">
        <v>0</v>
      </c>
      <c r="AJ509" s="87">
        <v>0</v>
      </c>
      <c r="AK509" s="87">
        <v>0</v>
      </c>
      <c r="AL509" s="87">
        <v>0</v>
      </c>
      <c r="AM509" s="87">
        <v>0</v>
      </c>
      <c r="AN509" s="87">
        <v>0</v>
      </c>
      <c r="AO509" s="87">
        <v>0</v>
      </c>
      <c r="AP509" s="87">
        <v>0</v>
      </c>
      <c r="AQ509" s="87">
        <v>0</v>
      </c>
      <c r="AR509" s="87">
        <v>0</v>
      </c>
      <c r="AS509" s="87">
        <v>0</v>
      </c>
      <c r="AT509" s="87">
        <v>0</v>
      </c>
      <c r="AU509" s="87">
        <v>0</v>
      </c>
      <c r="AV509" s="87">
        <v>0</v>
      </c>
      <c r="AW509" s="87">
        <v>0</v>
      </c>
      <c r="AX509" s="87">
        <v>0</v>
      </c>
      <c r="AY509" s="87">
        <v>0</v>
      </c>
      <c r="AZ509" s="87">
        <v>0</v>
      </c>
      <c r="BA509" s="87">
        <v>0</v>
      </c>
      <c r="BB509" s="87">
        <v>0</v>
      </c>
      <c r="BC509" s="87">
        <v>0</v>
      </c>
      <c r="BD509" s="87">
        <v>0</v>
      </c>
      <c r="BE509" s="87">
        <v>0</v>
      </c>
      <c r="BF509" s="87">
        <v>0</v>
      </c>
    </row>
    <row r="510" spans="1:58" ht="14.1" customHeight="1">
      <c r="A510" s="75">
        <f>+A509+1</f>
        <v>504</v>
      </c>
      <c r="B510" s="81" t="s">
        <v>697</v>
      </c>
      <c r="C510" s="110">
        <f t="shared" ref="C510:AD510" si="603">SUM(C504:C509)</f>
        <v>4263542.1142667318</v>
      </c>
      <c r="D510" s="110">
        <f t="shared" si="603"/>
        <v>611359</v>
      </c>
      <c r="E510" s="110">
        <f t="shared" si="603"/>
        <v>-128622</v>
      </c>
      <c r="F510" s="110">
        <f t="shared" si="603"/>
        <v>36197</v>
      </c>
      <c r="G510" s="110">
        <f t="shared" si="603"/>
        <v>676964</v>
      </c>
      <c r="H510" s="110">
        <f t="shared" si="603"/>
        <v>8236303</v>
      </c>
      <c r="I510" s="110">
        <f t="shared" si="603"/>
        <v>160515</v>
      </c>
      <c r="J510" s="110">
        <f t="shared" si="603"/>
        <v>50924</v>
      </c>
      <c r="K510" s="110">
        <f t="shared" si="603"/>
        <v>-5411802</v>
      </c>
      <c r="L510" s="110">
        <f t="shared" si="603"/>
        <v>-1693841</v>
      </c>
      <c r="M510" s="110">
        <f t="shared" si="603"/>
        <v>-3296576</v>
      </c>
      <c r="N510" s="110">
        <f t="shared" si="603"/>
        <v>-14432</v>
      </c>
      <c r="O510" s="110">
        <f t="shared" si="603"/>
        <v>0</v>
      </c>
      <c r="P510" s="110">
        <f t="shared" si="603"/>
        <v>0</v>
      </c>
      <c r="Q510" s="110">
        <f t="shared" si="603"/>
        <v>-543876</v>
      </c>
      <c r="R510" s="110">
        <f t="shared" si="603"/>
        <v>-145893</v>
      </c>
      <c r="S510" s="110">
        <f t="shared" si="603"/>
        <v>-2491242</v>
      </c>
      <c r="T510" s="110">
        <f t="shared" si="603"/>
        <v>-73011</v>
      </c>
      <c r="U510" s="110">
        <f t="shared" si="603"/>
        <v>-1016527</v>
      </c>
      <c r="V510" s="110">
        <f t="shared" si="603"/>
        <v>3265923</v>
      </c>
      <c r="W510" s="110">
        <f t="shared" si="603"/>
        <v>60867</v>
      </c>
      <c r="X510" s="110">
        <f t="shared" si="603"/>
        <v>-53761</v>
      </c>
      <c r="Y510" s="110">
        <f>SUM(Y504:Y509)</f>
        <v>0</v>
      </c>
      <c r="Z510" s="110">
        <f t="shared" si="603"/>
        <v>-60382</v>
      </c>
      <c r="AA510" s="110">
        <f t="shared" si="603"/>
        <v>13678</v>
      </c>
      <c r="AB510" s="110">
        <f t="shared" si="603"/>
        <v>-29187</v>
      </c>
      <c r="AC510" s="110">
        <f t="shared" si="603"/>
        <v>-1046851</v>
      </c>
      <c r="AD510" s="110">
        <f t="shared" si="603"/>
        <v>15420</v>
      </c>
      <c r="AE510" s="110">
        <f>SUM(AE504:AE509)</f>
        <v>-116172</v>
      </c>
      <c r="AF510" s="110">
        <f>SUM(AF504:AF509)</f>
        <v>770331</v>
      </c>
      <c r="AG510" s="110">
        <f>SUM(AG504:AG509)</f>
        <v>-843083</v>
      </c>
      <c r="AH510" s="110">
        <f t="shared" ref="AH510:AL510" si="604">SUM(AH504:AH509)</f>
        <v>6033</v>
      </c>
      <c r="AI510" s="110">
        <f t="shared" si="604"/>
        <v>-442599</v>
      </c>
      <c r="AJ510" s="110">
        <f t="shared" si="604"/>
        <v>-23807</v>
      </c>
      <c r="AK510" s="110">
        <f t="shared" si="604"/>
        <v>-31089</v>
      </c>
      <c r="AL510" s="110">
        <f t="shared" si="604"/>
        <v>-28584</v>
      </c>
      <c r="AM510" s="110">
        <f>SUM(AM504:AM509)</f>
        <v>-232956</v>
      </c>
      <c r="AN510" s="110">
        <f>SUM(AN504:AN509)</f>
        <v>-1063898</v>
      </c>
      <c r="AO510" s="110">
        <f>SUM(AO504:AO509)</f>
        <v>0</v>
      </c>
      <c r="AP510" s="110">
        <f>SUM(AP504:AP509)</f>
        <v>-297127</v>
      </c>
      <c r="AQ510" s="110">
        <f>SUM(AQ504:AQ509)</f>
        <v>-302536</v>
      </c>
      <c r="AR510" s="110">
        <f t="shared" ref="AR510" si="605">SUM(AR504:AR509)</f>
        <v>421604</v>
      </c>
      <c r="AS510" s="110">
        <f>SUM(AS504:AS509)</f>
        <v>-35133</v>
      </c>
      <c r="AT510" s="110">
        <f t="shared" ref="AT510:AV510" si="606">SUM(AT504:AT509)</f>
        <v>-1049418</v>
      </c>
      <c r="AU510" s="110">
        <f t="shared" si="606"/>
        <v>2102907</v>
      </c>
      <c r="AV510" s="110">
        <f t="shared" si="606"/>
        <v>1391380</v>
      </c>
      <c r="AW510" s="110">
        <f>SUM(AW504:AW509)</f>
        <v>-228604</v>
      </c>
      <c r="AX510" s="110">
        <f t="shared" ref="AX510:BF510" si="607">SUM(AX504:AX509)</f>
        <v>228604</v>
      </c>
      <c r="AY510" s="110">
        <f t="shared" si="607"/>
        <v>0</v>
      </c>
      <c r="AZ510" s="110">
        <f t="shared" si="607"/>
        <v>3902141</v>
      </c>
      <c r="BA510" s="110">
        <f t="shared" si="607"/>
        <v>2963769.6842667316</v>
      </c>
      <c r="BB510" s="110">
        <f t="shared" si="607"/>
        <v>0</v>
      </c>
      <c r="BC510" s="110">
        <f t="shared" si="607"/>
        <v>0</v>
      </c>
      <c r="BD510" s="110">
        <f t="shared" si="607"/>
        <v>0</v>
      </c>
      <c r="BE510" s="110">
        <f t="shared" si="607"/>
        <v>0</v>
      </c>
      <c r="BF510" s="110">
        <f t="shared" si="607"/>
        <v>0</v>
      </c>
    </row>
    <row r="512" spans="1:58" ht="14.1" customHeight="1">
      <c r="B512" s="98" t="s">
        <v>795</v>
      </c>
      <c r="C512" s="143">
        <f>SUM(J512:BF512)</f>
        <v>-4103301.3391264006</v>
      </c>
      <c r="D512" s="143">
        <v>0</v>
      </c>
      <c r="E512" s="143">
        <v>0</v>
      </c>
      <c r="F512" s="143">
        <v>0</v>
      </c>
      <c r="G512" s="143">
        <v>0</v>
      </c>
      <c r="H512" s="143">
        <v>0</v>
      </c>
      <c r="I512" s="143">
        <v>0</v>
      </c>
      <c r="J512" s="143">
        <v>0</v>
      </c>
      <c r="K512" s="143">
        <v>0</v>
      </c>
      <c r="L512" s="143">
        <v>0</v>
      </c>
      <c r="M512" s="143">
        <v>0</v>
      </c>
      <c r="N512" s="143">
        <v>0</v>
      </c>
      <c r="O512" s="143">
        <v>0</v>
      </c>
      <c r="P512" s="143">
        <v>0</v>
      </c>
      <c r="Q512" s="143">
        <v>0</v>
      </c>
      <c r="R512" s="143">
        <v>0</v>
      </c>
      <c r="S512" s="143">
        <v>0</v>
      </c>
      <c r="T512" s="143">
        <v>0</v>
      </c>
      <c r="U512" s="143">
        <v>0</v>
      </c>
      <c r="V512" s="143">
        <v>0</v>
      </c>
      <c r="W512" s="143">
        <v>0</v>
      </c>
      <c r="X512" s="143">
        <v>0</v>
      </c>
      <c r="Y512" s="143">
        <v>0</v>
      </c>
      <c r="Z512" s="143">
        <v>0</v>
      </c>
      <c r="AA512" s="143">
        <v>0</v>
      </c>
      <c r="AB512" s="143">
        <v>0</v>
      </c>
      <c r="AC512" s="143">
        <v>4985006.8612336004</v>
      </c>
      <c r="AD512" s="143">
        <v>0</v>
      </c>
      <c r="AE512" s="143">
        <v>0</v>
      </c>
      <c r="AF512" s="143">
        <v>0</v>
      </c>
      <c r="AG512" s="143">
        <v>0</v>
      </c>
      <c r="AH512" s="143">
        <v>0</v>
      </c>
      <c r="AI512" s="143">
        <v>3942450</v>
      </c>
      <c r="AJ512" s="143">
        <v>113368.78</v>
      </c>
      <c r="AK512" s="143">
        <v>0</v>
      </c>
      <c r="AL512" s="143">
        <v>0</v>
      </c>
      <c r="AM512" s="143">
        <v>-5886172.9803599995</v>
      </c>
      <c r="AN512" s="143">
        <v>0</v>
      </c>
      <c r="AO512" s="143">
        <f>0</f>
        <v>0</v>
      </c>
      <c r="AP512" s="143">
        <v>0</v>
      </c>
      <c r="AQ512" s="143">
        <v>0</v>
      </c>
      <c r="AR512" s="143">
        <v>0</v>
      </c>
      <c r="AS512" s="143">
        <v>0</v>
      </c>
      <c r="AT512" s="143">
        <v>-7257954</v>
      </c>
      <c r="AU512" s="143">
        <f>0</f>
        <v>0</v>
      </c>
      <c r="AV512" s="143">
        <v>0</v>
      </c>
      <c r="AW512" s="143">
        <v>0</v>
      </c>
      <c r="AX512" s="143">
        <v>0</v>
      </c>
      <c r="AY512" s="143">
        <v>0</v>
      </c>
      <c r="AZ512" s="143">
        <v>0</v>
      </c>
      <c r="BA512" s="143">
        <v>0</v>
      </c>
      <c r="BB512" s="143">
        <v>0</v>
      </c>
      <c r="BC512" s="143">
        <v>0</v>
      </c>
      <c r="BD512" s="143">
        <v>0</v>
      </c>
      <c r="BE512" s="143">
        <v>0</v>
      </c>
      <c r="BF512" s="143">
        <v>0</v>
      </c>
    </row>
    <row r="513" spans="2:58" ht="14.1" customHeight="1">
      <c r="B513" s="98" t="s">
        <v>796</v>
      </c>
      <c r="C513" s="144"/>
      <c r="D513" s="145">
        <v>1</v>
      </c>
      <c r="E513" s="145">
        <v>1</v>
      </c>
      <c r="F513" s="145">
        <v>1</v>
      </c>
      <c r="G513" s="145">
        <v>1</v>
      </c>
      <c r="H513" s="145">
        <v>1</v>
      </c>
      <c r="I513" s="145">
        <v>1</v>
      </c>
      <c r="J513" s="145">
        <v>1</v>
      </c>
      <c r="K513" s="145">
        <v>1</v>
      </c>
      <c r="L513" s="145">
        <v>1</v>
      </c>
      <c r="M513" s="145">
        <v>1</v>
      </c>
      <c r="N513" s="145">
        <v>1</v>
      </c>
      <c r="O513" s="145">
        <v>1</v>
      </c>
      <c r="P513" s="145">
        <v>1</v>
      </c>
      <c r="Q513" s="145">
        <v>1</v>
      </c>
      <c r="R513" s="145">
        <v>1</v>
      </c>
      <c r="S513" s="145">
        <v>1</v>
      </c>
      <c r="T513" s="145">
        <v>1</v>
      </c>
      <c r="U513" s="145">
        <v>1</v>
      </c>
      <c r="V513" s="145">
        <v>1</v>
      </c>
      <c r="W513" s="145">
        <v>1</v>
      </c>
      <c r="X513" s="145">
        <v>1</v>
      </c>
      <c r="Y513" s="145">
        <v>1</v>
      </c>
      <c r="Z513" s="145">
        <v>1</v>
      </c>
      <c r="AA513" s="145">
        <v>1</v>
      </c>
      <c r="AB513" s="145">
        <v>1</v>
      </c>
      <c r="AC513" s="145">
        <v>1</v>
      </c>
      <c r="AD513" s="145">
        <v>1</v>
      </c>
      <c r="AE513" s="145">
        <v>1</v>
      </c>
      <c r="AF513" s="145">
        <v>1</v>
      </c>
      <c r="AG513" s="145">
        <v>1</v>
      </c>
      <c r="AH513" s="145">
        <v>1</v>
      </c>
      <c r="AI513" s="145">
        <v>0.53459473170236782</v>
      </c>
      <c r="AJ513" s="145">
        <v>1</v>
      </c>
      <c r="AK513" s="145">
        <v>1</v>
      </c>
      <c r="AL513" s="145">
        <v>1</v>
      </c>
      <c r="AM513" s="145">
        <v>1</v>
      </c>
      <c r="AN513" s="145">
        <v>1</v>
      </c>
      <c r="AO513" s="145">
        <v>1</v>
      </c>
      <c r="AP513" s="145">
        <v>1</v>
      </c>
      <c r="AQ513" s="145">
        <v>1</v>
      </c>
      <c r="AR513" s="145">
        <v>1</v>
      </c>
      <c r="AS513" s="145">
        <v>1</v>
      </c>
      <c r="AT513" s="145">
        <v>0.69118831560519678</v>
      </c>
      <c r="AU513" s="145">
        <v>0.69118831560519678</v>
      </c>
      <c r="AV513" s="145">
        <v>1</v>
      </c>
      <c r="AW513" s="145">
        <v>1</v>
      </c>
      <c r="AX513" s="145">
        <v>1</v>
      </c>
      <c r="AY513" s="145">
        <v>1</v>
      </c>
      <c r="AZ513" s="145">
        <v>1</v>
      </c>
      <c r="BA513" s="145">
        <v>1</v>
      </c>
      <c r="BB513" s="145">
        <v>1</v>
      </c>
      <c r="BC513" s="145">
        <v>1</v>
      </c>
      <c r="BD513" s="145">
        <v>1</v>
      </c>
      <c r="BE513" s="145">
        <v>1</v>
      </c>
      <c r="BF513" s="145">
        <v>1</v>
      </c>
    </row>
    <row r="514" spans="2:58" ht="14.1" customHeight="1">
      <c r="B514" s="146" t="s">
        <v>797</v>
      </c>
      <c r="C514" s="147">
        <v>5.0097000000000003E-2</v>
      </c>
    </row>
    <row r="515" spans="2:58" ht="14.1" customHeight="1">
      <c r="B515" s="146" t="s">
        <v>798</v>
      </c>
      <c r="C515" s="148">
        <v>0.21</v>
      </c>
    </row>
    <row r="516" spans="2:58" ht="14.1" customHeight="1">
      <c r="B516" s="146" t="s">
        <v>799</v>
      </c>
      <c r="C516" s="149"/>
      <c r="D516" s="150">
        <f t="shared" ref="D516:AU516" si="608">D510/(D30+D27)</f>
        <v>0.24957676469831805</v>
      </c>
      <c r="E516" s="150">
        <f t="shared" si="608"/>
        <v>0.2495762019729019</v>
      </c>
      <c r="F516" s="150">
        <f t="shared" si="608"/>
        <v>0.24957596149868308</v>
      </c>
      <c r="G516" s="150">
        <f t="shared" si="608"/>
        <v>0.24957663818383721</v>
      </c>
      <c r="H516" s="150">
        <f t="shared" si="608"/>
        <v>0.24957664628579379</v>
      </c>
      <c r="I516" s="150">
        <f t="shared" si="608"/>
        <v>0.24957708023658629</v>
      </c>
      <c r="J516" s="150">
        <f t="shared" si="608"/>
        <v>0.24957590866160825</v>
      </c>
      <c r="K516" s="150">
        <f t="shared" si="608"/>
        <v>0.24957662067298103</v>
      </c>
      <c r="L516" s="150">
        <f t="shared" si="608"/>
        <v>0.24957668175072523</v>
      </c>
      <c r="M516" s="150">
        <f t="shared" si="608"/>
        <v>0.24957664460412801</v>
      </c>
      <c r="N516" s="150">
        <f t="shared" si="608"/>
        <v>0.2495726897751977</v>
      </c>
      <c r="O516" s="150" t="e">
        <f t="shared" si="608"/>
        <v>#DIV/0!</v>
      </c>
      <c r="P516" s="150" t="e">
        <f t="shared" si="608"/>
        <v>#DIV/0!</v>
      </c>
      <c r="Q516" s="150">
        <f t="shared" si="608"/>
        <v>0.24957665634893306</v>
      </c>
      <c r="R516" s="150">
        <f t="shared" si="608"/>
        <v>0.2495762691158338</v>
      </c>
      <c r="S516" s="150">
        <f t="shared" si="608"/>
        <v>0.24957660751644506</v>
      </c>
      <c r="T516" s="150">
        <f t="shared" si="608"/>
        <v>0.24957436036464772</v>
      </c>
      <c r="U516" s="150">
        <f t="shared" si="608"/>
        <v>0.20934317383615958</v>
      </c>
      <c r="V516" s="150">
        <f t="shared" si="608"/>
        <v>0.24957666108226359</v>
      </c>
      <c r="W516" s="150">
        <f t="shared" si="608"/>
        <v>0.24957879864307905</v>
      </c>
      <c r="X516" s="150">
        <f t="shared" si="608"/>
        <v>0.24957752269390951</v>
      </c>
      <c r="Y516" s="150" t="e">
        <f t="shared" si="608"/>
        <v>#DIV/0!</v>
      </c>
      <c r="Z516" s="150">
        <f t="shared" si="608"/>
        <v>0.24957534743474136</v>
      </c>
      <c r="AA516" s="150">
        <f t="shared" si="608"/>
        <v>0.24958137004078371</v>
      </c>
      <c r="AB516" s="150">
        <f t="shared" si="608"/>
        <v>0.2495821485015067</v>
      </c>
      <c r="AC516" s="150">
        <f t="shared" si="608"/>
        <v>0.20999991156299913</v>
      </c>
      <c r="AD516" s="150">
        <f t="shared" si="608"/>
        <v>0.24956706103225598</v>
      </c>
      <c r="AE516" s="150">
        <f t="shared" si="608"/>
        <v>0.24957720411676321</v>
      </c>
      <c r="AF516" s="150">
        <f t="shared" si="608"/>
        <v>0.24957679272222796</v>
      </c>
      <c r="AG516" s="150">
        <f t="shared" si="608"/>
        <v>0.24957658936712745</v>
      </c>
      <c r="AH516" s="150">
        <f t="shared" si="608"/>
        <v>0.24959270012717519</v>
      </c>
      <c r="AI516" s="150">
        <f t="shared" si="608"/>
        <v>0.11226496214282997</v>
      </c>
      <c r="AJ516" s="150">
        <f t="shared" si="608"/>
        <v>0.20999608534201392</v>
      </c>
      <c r="AK516" s="150">
        <f t="shared" si="608"/>
        <v>0.24957723435606563</v>
      </c>
      <c r="AL516" s="150">
        <f t="shared" si="608"/>
        <v>0.24957931949296217</v>
      </c>
      <c r="AM516" s="150" t="e">
        <f t="shared" si="608"/>
        <v>#DIV/0!</v>
      </c>
      <c r="AN516" s="150">
        <f t="shared" si="608"/>
        <v>0.24957649115370181</v>
      </c>
      <c r="AO516" s="150" t="e">
        <f t="shared" si="608"/>
        <v>#DIV/0!</v>
      </c>
      <c r="AP516" s="150">
        <f t="shared" si="608"/>
        <v>0.24957644736565801</v>
      </c>
      <c r="AQ516" s="150">
        <f t="shared" si="608"/>
        <v>0.24957646139637379</v>
      </c>
      <c r="AR516" s="150">
        <f t="shared" si="608"/>
        <v>0.24957674175208788</v>
      </c>
      <c r="AS516" s="150">
        <f t="shared" si="608"/>
        <v>0.24957200599546789</v>
      </c>
      <c r="AT516" s="150">
        <f t="shared" si="608"/>
        <v>0.89851900831171561</v>
      </c>
      <c r="AU516" s="150">
        <f t="shared" si="608"/>
        <v>0.24957666272195358</v>
      </c>
      <c r="AV516" s="150">
        <f>AV510/(AV30+AV27)</f>
        <v>0.24957659799570284</v>
      </c>
      <c r="AW516" s="150"/>
      <c r="AX516" s="150"/>
      <c r="AY516" s="150"/>
      <c r="AZ516" s="150"/>
      <c r="BA516" s="150"/>
      <c r="BB516" s="150"/>
      <c r="BC516" s="150"/>
      <c r="BD516" s="150"/>
      <c r="BE516" s="150"/>
      <c r="BF516" s="150"/>
    </row>
    <row r="517" spans="2:58" ht="14.1" customHeight="1">
      <c r="B517" s="146"/>
      <c r="C517" s="151"/>
      <c r="J517" s="144" t="s">
        <v>800</v>
      </c>
      <c r="K517" s="144" t="s">
        <v>801</v>
      </c>
      <c r="L517" s="76">
        <v>7012</v>
      </c>
      <c r="M517" s="144">
        <v>7328</v>
      </c>
      <c r="N517" s="144">
        <v>7099</v>
      </c>
      <c r="AC517" s="144" t="s">
        <v>802</v>
      </c>
      <c r="AE517" s="144">
        <v>7359</v>
      </c>
      <c r="AG517" s="144">
        <v>7048</v>
      </c>
      <c r="AI517" s="144" t="s">
        <v>803</v>
      </c>
      <c r="AJ517" s="144">
        <v>6004</v>
      </c>
      <c r="AK517" s="144">
        <v>7581</v>
      </c>
      <c r="AM517" s="76">
        <v>6002</v>
      </c>
      <c r="AO517" s="144">
        <v>7587</v>
      </c>
      <c r="AT517" s="144" t="s">
        <v>803</v>
      </c>
      <c r="AU517" s="144" t="s">
        <v>803</v>
      </c>
      <c r="AZ517" s="144"/>
    </row>
    <row r="518" spans="2:58" ht="14.1" customHeight="1">
      <c r="D518" s="144" t="s">
        <v>804</v>
      </c>
      <c r="L518" s="144" t="s">
        <v>804</v>
      </c>
      <c r="M518" s="144" t="s">
        <v>805</v>
      </c>
      <c r="N518" s="144" t="s">
        <v>806</v>
      </c>
      <c r="AZ518" s="76" t="s">
        <v>807</v>
      </c>
    </row>
    <row r="519" spans="2:58" ht="14.1" customHeight="1">
      <c r="B519" s="76" t="s">
        <v>807</v>
      </c>
      <c r="C519" s="80">
        <v>0</v>
      </c>
    </row>
    <row r="520" spans="2:58" ht="14.1" customHeight="1">
      <c r="B520" s="76" t="s">
        <v>808</v>
      </c>
      <c r="C520" s="80">
        <v>1611.7700581746176</v>
      </c>
    </row>
    <row r="521" spans="2:58" ht="14.1" customHeight="1">
      <c r="B521" s="76" t="s">
        <v>809</v>
      </c>
      <c r="C521" s="152">
        <v>407.54567739262711</v>
      </c>
    </row>
    <row r="522" spans="2:58" ht="14.1" customHeight="1">
      <c r="J522" s="76" t="s">
        <v>209</v>
      </c>
      <c r="AI522" s="87"/>
    </row>
    <row r="656" spans="1:58" s="153" customFormat="1" ht="14.1" customHeight="1">
      <c r="A656" s="75"/>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c r="AA656" s="76"/>
      <c r="AB656" s="76"/>
      <c r="AC656" s="76"/>
      <c r="AD656" s="76"/>
      <c r="AE656" s="76"/>
      <c r="AF656" s="76"/>
      <c r="AG656" s="76"/>
      <c r="AH656" s="76"/>
      <c r="AI656" s="76"/>
      <c r="AJ656" s="76"/>
      <c r="AK656" s="76"/>
      <c r="AL656" s="76"/>
      <c r="AM656" s="76"/>
      <c r="AN656" s="76"/>
      <c r="AO656" s="76"/>
      <c r="AP656" s="76"/>
      <c r="AQ656" s="76"/>
      <c r="AR656" s="76"/>
      <c r="AS656" s="76"/>
      <c r="AT656" s="76"/>
      <c r="AU656" s="76"/>
      <c r="AV656" s="76"/>
      <c r="AW656" s="76"/>
      <c r="AX656" s="76"/>
      <c r="AY656" s="76"/>
      <c r="AZ656" s="76"/>
      <c r="BA656" s="76"/>
      <c r="BB656" s="76"/>
      <c r="BC656" s="76"/>
      <c r="BD656" s="76"/>
      <c r="BE656" s="76"/>
      <c r="BF656" s="76"/>
    </row>
    <row r="657" spans="1:58" s="153" customFormat="1" ht="14.1" customHeight="1">
      <c r="A657" s="75"/>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c r="AA657" s="76"/>
      <c r="AB657" s="76"/>
      <c r="AC657" s="76"/>
      <c r="AD657" s="76"/>
      <c r="AE657" s="76"/>
      <c r="AF657" s="76"/>
      <c r="AG657" s="76"/>
      <c r="AH657" s="76"/>
      <c r="AI657" s="76"/>
      <c r="AJ657" s="76"/>
      <c r="AK657" s="76"/>
      <c r="AL657" s="76"/>
      <c r="AM657" s="76"/>
      <c r="AN657" s="76"/>
      <c r="AO657" s="76"/>
      <c r="AP657" s="76"/>
      <c r="AQ657" s="76"/>
      <c r="AR657" s="76"/>
      <c r="AS657" s="76"/>
      <c r="AT657" s="76"/>
      <c r="AU657" s="76"/>
      <c r="AV657" s="76"/>
      <c r="AW657" s="76"/>
      <c r="AX657" s="76"/>
      <c r="AY657" s="76"/>
      <c r="AZ657" s="76"/>
      <c r="BA657" s="76"/>
      <c r="BB657" s="76"/>
      <c r="BC657" s="76"/>
      <c r="BD657" s="76"/>
      <c r="BE657" s="76"/>
      <c r="BF657" s="76"/>
    </row>
    <row r="658" spans="1:58" s="153" customFormat="1" ht="14.1" customHeight="1">
      <c r="A658" s="75"/>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c r="AA658" s="76"/>
      <c r="AB658" s="76"/>
      <c r="AC658" s="76"/>
      <c r="AD658" s="76"/>
      <c r="AE658" s="76"/>
      <c r="AF658" s="76"/>
      <c r="AG658" s="76"/>
      <c r="AH658" s="76"/>
      <c r="AI658" s="76"/>
      <c r="AJ658" s="76"/>
      <c r="AK658" s="76"/>
      <c r="AL658" s="76"/>
      <c r="AM658" s="76"/>
      <c r="AN658" s="76"/>
      <c r="AO658" s="76"/>
      <c r="AP658" s="76"/>
      <c r="AQ658" s="76"/>
      <c r="AR658" s="76"/>
      <c r="AS658" s="76"/>
      <c r="AT658" s="76"/>
      <c r="AU658" s="76"/>
      <c r="AV658" s="76"/>
      <c r="AW658" s="76"/>
      <c r="AX658" s="76"/>
      <c r="AY658" s="76"/>
      <c r="AZ658" s="76"/>
      <c r="BA658" s="76"/>
      <c r="BB658" s="76"/>
      <c r="BC658" s="76"/>
      <c r="BD658" s="76"/>
      <c r="BE658" s="76"/>
      <c r="BF658" s="76"/>
    </row>
    <row r="659" spans="1:58" s="153" customFormat="1" ht="14.1" customHeight="1">
      <c r="A659" s="75"/>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c r="AA659" s="76"/>
      <c r="AB659" s="76"/>
      <c r="AC659" s="76"/>
      <c r="AD659" s="76"/>
      <c r="AE659" s="76"/>
      <c r="AF659" s="76"/>
      <c r="AG659" s="76"/>
      <c r="AH659" s="76"/>
      <c r="AI659" s="76"/>
      <c r="AJ659" s="76"/>
      <c r="AK659" s="76"/>
      <c r="AL659" s="76"/>
      <c r="AM659" s="76"/>
      <c r="AN659" s="76"/>
      <c r="AO659" s="76"/>
      <c r="AP659" s="76"/>
      <c r="AQ659" s="76"/>
      <c r="AR659" s="76"/>
      <c r="AS659" s="76"/>
      <c r="AT659" s="76"/>
      <c r="AU659" s="76"/>
      <c r="AV659" s="76"/>
      <c r="AW659" s="76"/>
      <c r="AX659" s="76"/>
      <c r="AY659" s="76"/>
      <c r="AZ659" s="76"/>
      <c r="BA659" s="76"/>
      <c r="BB659" s="76"/>
      <c r="BC659" s="76"/>
      <c r="BD659" s="76"/>
      <c r="BE659" s="76"/>
      <c r="BF659" s="76"/>
    </row>
    <row r="660" spans="1:58" s="153" customFormat="1" ht="14.1" customHeight="1">
      <c r="A660" s="75"/>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c r="AA660" s="76"/>
      <c r="AB660" s="76"/>
      <c r="AC660" s="76"/>
      <c r="AD660" s="76"/>
      <c r="AE660" s="76"/>
      <c r="AF660" s="76"/>
      <c r="AG660" s="76"/>
      <c r="AH660" s="76"/>
      <c r="AI660" s="76"/>
      <c r="AJ660" s="76"/>
      <c r="AK660" s="76"/>
      <c r="AL660" s="76"/>
      <c r="AM660" s="76"/>
      <c r="AN660" s="76"/>
      <c r="AO660" s="76"/>
      <c r="AP660" s="76"/>
      <c r="AQ660" s="76"/>
      <c r="AR660" s="76"/>
      <c r="AS660" s="76"/>
      <c r="AT660" s="76"/>
      <c r="AU660" s="76"/>
      <c r="AV660" s="76"/>
      <c r="AW660" s="76"/>
      <c r="AX660" s="76"/>
      <c r="AY660" s="76"/>
      <c r="AZ660" s="76"/>
      <c r="BA660" s="76"/>
      <c r="BB660" s="76"/>
      <c r="BC660" s="76"/>
      <c r="BD660" s="76"/>
      <c r="BE660" s="76"/>
      <c r="BF660" s="76"/>
    </row>
    <row r="661" spans="1:58" s="153" customFormat="1" ht="14.1" customHeight="1">
      <c r="A661" s="75"/>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c r="AA661" s="76"/>
      <c r="AB661" s="76"/>
      <c r="AC661" s="76"/>
      <c r="AD661" s="76"/>
      <c r="AE661" s="76"/>
      <c r="AF661" s="76"/>
      <c r="AG661" s="76"/>
      <c r="AH661" s="76"/>
      <c r="AI661" s="76"/>
      <c r="AJ661" s="76"/>
      <c r="AK661" s="76"/>
      <c r="AL661" s="76"/>
      <c r="AM661" s="76"/>
      <c r="AN661" s="76"/>
      <c r="AO661" s="76"/>
      <c r="AP661" s="76"/>
      <c r="AQ661" s="76"/>
      <c r="AR661" s="76"/>
      <c r="AS661" s="76"/>
      <c r="AT661" s="76"/>
      <c r="AU661" s="76"/>
      <c r="AV661" s="76"/>
      <c r="AW661" s="76"/>
      <c r="AX661" s="76"/>
      <c r="AY661" s="76"/>
      <c r="AZ661" s="76"/>
      <c r="BA661" s="76"/>
      <c r="BB661" s="76"/>
      <c r="BC661" s="76"/>
      <c r="BD661" s="76"/>
      <c r="BE661" s="76"/>
      <c r="BF661" s="76"/>
    </row>
    <row r="662" spans="1:58" s="153" customFormat="1" ht="14.1" customHeight="1">
      <c r="A662" s="75"/>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c r="AA662" s="76"/>
      <c r="AB662" s="76"/>
      <c r="AC662" s="76"/>
      <c r="AD662" s="76"/>
      <c r="AE662" s="76"/>
      <c r="AF662" s="76"/>
      <c r="AG662" s="76"/>
      <c r="AH662" s="76"/>
      <c r="AI662" s="76"/>
      <c r="AJ662" s="76"/>
      <c r="AK662" s="76"/>
      <c r="AL662" s="76"/>
      <c r="AM662" s="76"/>
      <c r="AN662" s="76"/>
      <c r="AO662" s="76"/>
      <c r="AP662" s="76"/>
      <c r="AQ662" s="76"/>
      <c r="AR662" s="76"/>
      <c r="AS662" s="76"/>
      <c r="AT662" s="76"/>
      <c r="AU662" s="76"/>
      <c r="AV662" s="76"/>
      <c r="AW662" s="76"/>
      <c r="AX662" s="76"/>
      <c r="AY662" s="76"/>
      <c r="AZ662" s="76"/>
      <c r="BA662" s="76"/>
      <c r="BB662" s="76"/>
      <c r="BC662" s="76"/>
      <c r="BD662" s="76"/>
      <c r="BE662" s="76"/>
      <c r="BF662" s="76"/>
    </row>
    <row r="663" spans="1:58" s="153" customFormat="1" ht="14.1" customHeight="1">
      <c r="A663" s="75"/>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c r="AA663" s="76"/>
      <c r="AB663" s="76"/>
      <c r="AC663" s="76"/>
      <c r="AD663" s="76"/>
      <c r="AE663" s="76"/>
      <c r="AF663" s="76"/>
      <c r="AG663" s="76"/>
      <c r="AH663" s="76"/>
      <c r="AI663" s="76"/>
      <c r="AJ663" s="76"/>
      <c r="AK663" s="76"/>
      <c r="AL663" s="76"/>
      <c r="AM663" s="76"/>
      <c r="AN663" s="76"/>
      <c r="AO663" s="76"/>
      <c r="AP663" s="76"/>
      <c r="AQ663" s="76"/>
      <c r="AR663" s="76"/>
      <c r="AS663" s="76"/>
      <c r="AT663" s="76"/>
      <c r="AU663" s="76"/>
      <c r="AV663" s="76"/>
      <c r="AW663" s="76"/>
      <c r="AX663" s="76"/>
      <c r="AY663" s="76"/>
      <c r="AZ663" s="76"/>
      <c r="BA663" s="76"/>
      <c r="BB663" s="76"/>
      <c r="BC663" s="76"/>
      <c r="BD663" s="76"/>
      <c r="BE663" s="76"/>
      <c r="BF663" s="76"/>
    </row>
    <row r="664" spans="1:58" s="153" customFormat="1" ht="14.1" customHeight="1">
      <c r="A664" s="75"/>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c r="AA664" s="76"/>
      <c r="AB664" s="76"/>
      <c r="AC664" s="76"/>
      <c r="AD664" s="76"/>
      <c r="AE664" s="76"/>
      <c r="AF664" s="76"/>
      <c r="AG664" s="76"/>
      <c r="AH664" s="76"/>
      <c r="AI664" s="76"/>
      <c r="AJ664" s="76"/>
      <c r="AK664" s="76"/>
      <c r="AL664" s="76"/>
      <c r="AM664" s="76"/>
      <c r="AN664" s="76"/>
      <c r="AO664" s="76"/>
      <c r="AP664" s="76"/>
      <c r="AQ664" s="76"/>
      <c r="AR664" s="76"/>
      <c r="AS664" s="76"/>
      <c r="AT664" s="76"/>
      <c r="AU664" s="76"/>
      <c r="AV664" s="76"/>
      <c r="AW664" s="76"/>
      <c r="AX664" s="76"/>
      <c r="AY664" s="76"/>
      <c r="AZ664" s="76"/>
      <c r="BA664" s="76"/>
      <c r="BB664" s="76"/>
      <c r="BC664" s="76"/>
      <c r="BD664" s="76"/>
      <c r="BE664" s="76"/>
      <c r="BF664" s="76"/>
    </row>
    <row r="665" spans="1:58" s="153" customFormat="1" ht="14.1" customHeight="1">
      <c r="A665" s="75"/>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c r="AA665" s="76"/>
      <c r="AB665" s="76"/>
      <c r="AC665" s="76"/>
      <c r="AD665" s="76"/>
      <c r="AE665" s="76"/>
      <c r="AF665" s="76"/>
      <c r="AG665" s="76"/>
      <c r="AH665" s="76"/>
      <c r="AI665" s="76"/>
      <c r="AJ665" s="76"/>
      <c r="AK665" s="76"/>
      <c r="AL665" s="76"/>
      <c r="AM665" s="76"/>
      <c r="AN665" s="76"/>
      <c r="AO665" s="76"/>
      <c r="AP665" s="76"/>
      <c r="AQ665" s="76"/>
      <c r="AR665" s="76"/>
      <c r="AS665" s="76"/>
      <c r="AT665" s="76"/>
      <c r="AU665" s="76"/>
      <c r="AV665" s="76"/>
      <c r="AW665" s="76"/>
      <c r="AX665" s="76"/>
      <c r="AY665" s="76"/>
      <c r="AZ665" s="76"/>
      <c r="BA665" s="76"/>
      <c r="BB665" s="76"/>
      <c r="BC665" s="76"/>
      <c r="BD665" s="76"/>
      <c r="BE665" s="76"/>
      <c r="BF665" s="76"/>
    </row>
    <row r="666" spans="1:58" s="153" customFormat="1" ht="14.1" customHeight="1">
      <c r="A666" s="75"/>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c r="AA666" s="76"/>
      <c r="AB666" s="76"/>
      <c r="AC666" s="76"/>
      <c r="AD666" s="76"/>
      <c r="AE666" s="76"/>
      <c r="AF666" s="76"/>
      <c r="AG666" s="76"/>
      <c r="AH666" s="76"/>
      <c r="AI666" s="76"/>
      <c r="AJ666" s="76"/>
      <c r="AK666" s="76"/>
      <c r="AL666" s="76"/>
      <c r="AM666" s="76"/>
      <c r="AN666" s="76"/>
      <c r="AO666" s="76"/>
      <c r="AP666" s="76"/>
      <c r="AQ666" s="76"/>
      <c r="AR666" s="76"/>
      <c r="AS666" s="76"/>
      <c r="AT666" s="76"/>
      <c r="AU666" s="76"/>
      <c r="AV666" s="76"/>
      <c r="AW666" s="76"/>
      <c r="AX666" s="76"/>
      <c r="AY666" s="76"/>
      <c r="AZ666" s="76"/>
      <c r="BA666" s="76"/>
      <c r="BB666" s="76"/>
      <c r="BC666" s="76"/>
      <c r="BD666" s="76"/>
      <c r="BE666" s="76"/>
      <c r="BF666" s="76"/>
    </row>
    <row r="667" spans="1:58" s="153" customFormat="1" ht="14.1" customHeight="1">
      <c r="A667" s="75"/>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c r="AA667" s="76"/>
      <c r="AB667" s="76"/>
      <c r="AC667" s="76"/>
      <c r="AD667" s="76"/>
      <c r="AE667" s="76"/>
      <c r="AF667" s="76"/>
      <c r="AG667" s="76"/>
      <c r="AH667" s="76"/>
      <c r="AI667" s="76"/>
      <c r="AJ667" s="76"/>
      <c r="AK667" s="76"/>
      <c r="AL667" s="76"/>
      <c r="AM667" s="76"/>
      <c r="AN667" s="76"/>
      <c r="AO667" s="76"/>
      <c r="AP667" s="76"/>
      <c r="AQ667" s="76"/>
      <c r="AR667" s="76"/>
      <c r="AS667" s="76"/>
      <c r="AT667" s="76"/>
      <c r="AU667" s="76"/>
      <c r="AV667" s="76"/>
      <c r="AW667" s="76"/>
      <c r="AX667" s="76"/>
      <c r="AY667" s="76"/>
      <c r="AZ667" s="76"/>
      <c r="BA667" s="76"/>
      <c r="BB667" s="76"/>
      <c r="BC667" s="76"/>
      <c r="BD667" s="76"/>
      <c r="BE667" s="76"/>
      <c r="BF667" s="76"/>
    </row>
    <row r="668" spans="1:58" s="153" customFormat="1" ht="14.1" customHeight="1">
      <c r="A668" s="75"/>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c r="AA668" s="76"/>
      <c r="AB668" s="76"/>
      <c r="AC668" s="76"/>
      <c r="AD668" s="76"/>
      <c r="AE668" s="76"/>
      <c r="AF668" s="76"/>
      <c r="AG668" s="76"/>
      <c r="AH668" s="76"/>
      <c r="AI668" s="76"/>
      <c r="AJ668" s="76"/>
      <c r="AK668" s="76"/>
      <c r="AL668" s="76"/>
      <c r="AM668" s="76"/>
      <c r="AN668" s="76"/>
      <c r="AO668" s="76"/>
      <c r="AP668" s="76"/>
      <c r="AQ668" s="76"/>
      <c r="AR668" s="76"/>
      <c r="AS668" s="76"/>
      <c r="AT668" s="76"/>
      <c r="AU668" s="76"/>
      <c r="AV668" s="76"/>
      <c r="AW668" s="76"/>
      <c r="AX668" s="76"/>
      <c r="AY668" s="76"/>
      <c r="AZ668" s="76"/>
      <c r="BA668" s="76"/>
      <c r="BB668" s="76"/>
      <c r="BC668" s="76"/>
      <c r="BD668" s="76"/>
      <c r="BE668" s="76"/>
      <c r="BF668" s="76"/>
    </row>
    <row r="669" spans="1:58" s="153" customFormat="1" ht="14.1" customHeight="1">
      <c r="A669" s="75"/>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c r="AA669" s="76"/>
      <c r="AB669" s="76"/>
      <c r="AC669" s="76"/>
      <c r="AD669" s="76"/>
      <c r="AE669" s="76"/>
      <c r="AF669" s="76"/>
      <c r="AG669" s="76"/>
      <c r="AH669" s="76"/>
      <c r="AI669" s="76"/>
      <c r="AJ669" s="76"/>
      <c r="AK669" s="76"/>
      <c r="AL669" s="76"/>
      <c r="AM669" s="76"/>
      <c r="AN669" s="76"/>
      <c r="AO669" s="76"/>
      <c r="AP669" s="76"/>
      <c r="AQ669" s="76"/>
      <c r="AR669" s="76"/>
      <c r="AS669" s="76"/>
      <c r="AT669" s="76"/>
      <c r="AU669" s="76"/>
      <c r="AV669" s="76"/>
      <c r="AW669" s="76"/>
      <c r="AX669" s="76"/>
      <c r="AY669" s="76"/>
      <c r="AZ669" s="76"/>
      <c r="BA669" s="76"/>
      <c r="BB669" s="76"/>
      <c r="BC669" s="76"/>
      <c r="BD669" s="76"/>
      <c r="BE669" s="76"/>
      <c r="BF669" s="76"/>
    </row>
    <row r="670" spans="1:58" s="153" customFormat="1" ht="14.1" customHeight="1">
      <c r="A670" s="75"/>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c r="AA670" s="76"/>
      <c r="AB670" s="76"/>
      <c r="AC670" s="76"/>
      <c r="AD670" s="76"/>
      <c r="AE670" s="76"/>
      <c r="AF670" s="76"/>
      <c r="AG670" s="76"/>
      <c r="AH670" s="76"/>
      <c r="AI670" s="76"/>
      <c r="AJ670" s="76"/>
      <c r="AK670" s="76"/>
      <c r="AL670" s="76"/>
      <c r="AM670" s="76"/>
      <c r="AN670" s="76"/>
      <c r="AO670" s="76"/>
      <c r="AP670" s="76"/>
      <c r="AQ670" s="76"/>
      <c r="AR670" s="76"/>
      <c r="AS670" s="76"/>
      <c r="AT670" s="76"/>
      <c r="AU670" s="76"/>
      <c r="AV670" s="76"/>
      <c r="AW670" s="76"/>
      <c r="AX670" s="76"/>
      <c r="AY670" s="76"/>
      <c r="AZ670" s="76"/>
      <c r="BA670" s="76"/>
      <c r="BB670" s="76"/>
      <c r="BC670" s="76"/>
      <c r="BD670" s="76"/>
      <c r="BE670" s="76"/>
      <c r="BF670" s="76"/>
    </row>
    <row r="671" spans="1:58" s="153" customFormat="1" ht="14.1" customHeight="1">
      <c r="A671" s="75"/>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c r="AA671" s="76"/>
      <c r="AB671" s="76"/>
      <c r="AC671" s="76"/>
      <c r="AD671" s="76"/>
      <c r="AE671" s="76"/>
      <c r="AF671" s="76"/>
      <c r="AG671" s="76"/>
      <c r="AH671" s="76"/>
      <c r="AI671" s="76"/>
      <c r="AJ671" s="76"/>
      <c r="AK671" s="76"/>
      <c r="AL671" s="76"/>
      <c r="AM671" s="76"/>
      <c r="AN671" s="76"/>
      <c r="AO671" s="76"/>
      <c r="AP671" s="76"/>
      <c r="AQ671" s="76"/>
      <c r="AR671" s="76"/>
      <c r="AS671" s="76"/>
      <c r="AT671" s="76"/>
      <c r="AU671" s="76"/>
      <c r="AV671" s="76"/>
      <c r="AW671" s="76"/>
      <c r="AX671" s="76"/>
      <c r="AY671" s="76"/>
      <c r="AZ671" s="76"/>
      <c r="BA671" s="76"/>
      <c r="BB671" s="76"/>
      <c r="BC671" s="76"/>
      <c r="BD671" s="76"/>
      <c r="BE671" s="76"/>
      <c r="BF671" s="76"/>
    </row>
    <row r="672" spans="1:58" s="153" customFormat="1" ht="14.1" customHeight="1">
      <c r="A672" s="75"/>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c r="AA672" s="76"/>
      <c r="AB672" s="76"/>
      <c r="AC672" s="76"/>
      <c r="AD672" s="76"/>
      <c r="AE672" s="76"/>
      <c r="AF672" s="76"/>
      <c r="AG672" s="76"/>
      <c r="AH672" s="76"/>
      <c r="AI672" s="76"/>
      <c r="AJ672" s="76"/>
      <c r="AK672" s="76"/>
      <c r="AL672" s="76"/>
      <c r="AM672" s="76"/>
      <c r="AN672" s="76"/>
      <c r="AO672" s="76"/>
      <c r="AP672" s="76"/>
      <c r="AQ672" s="76"/>
      <c r="AR672" s="76"/>
      <c r="AS672" s="76"/>
      <c r="AT672" s="76"/>
      <c r="AU672" s="76"/>
      <c r="AV672" s="76"/>
      <c r="AW672" s="76"/>
      <c r="AX672" s="76"/>
      <c r="AY672" s="76"/>
      <c r="AZ672" s="76"/>
      <c r="BA672" s="76"/>
      <c r="BB672" s="76"/>
      <c r="BC672" s="76"/>
      <c r="BD672" s="76"/>
      <c r="BE672" s="76"/>
      <c r="BF672" s="76"/>
    </row>
    <row r="673" spans="1:58" s="153" customFormat="1" ht="14.1" customHeight="1">
      <c r="A673" s="75"/>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c r="AA673" s="76"/>
      <c r="AB673" s="76"/>
      <c r="AC673" s="76"/>
      <c r="AD673" s="76"/>
      <c r="AE673" s="76"/>
      <c r="AF673" s="76"/>
      <c r="AG673" s="76"/>
      <c r="AH673" s="76"/>
      <c r="AI673" s="76"/>
      <c r="AJ673" s="76"/>
      <c r="AK673" s="76"/>
      <c r="AL673" s="76"/>
      <c r="AM673" s="76"/>
      <c r="AN673" s="76"/>
      <c r="AO673" s="76"/>
      <c r="AP673" s="76"/>
      <c r="AQ673" s="76"/>
      <c r="AR673" s="76"/>
      <c r="AS673" s="76"/>
      <c r="AT673" s="76"/>
      <c r="AU673" s="76"/>
      <c r="AV673" s="76"/>
      <c r="AW673" s="76"/>
      <c r="AX673" s="76"/>
      <c r="AY673" s="76"/>
      <c r="AZ673" s="76"/>
      <c r="BA673" s="76"/>
      <c r="BB673" s="76"/>
      <c r="BC673" s="76"/>
      <c r="BD673" s="76"/>
      <c r="BE673" s="76"/>
      <c r="BF673" s="76"/>
    </row>
    <row r="674" spans="1:58" s="153" customFormat="1" ht="14.1" customHeight="1">
      <c r="A674" s="75"/>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c r="AA674" s="76"/>
      <c r="AB674" s="76"/>
      <c r="AC674" s="76"/>
      <c r="AD674" s="76"/>
      <c r="AE674" s="76"/>
      <c r="AF674" s="76"/>
      <c r="AG674" s="76"/>
      <c r="AH674" s="76"/>
      <c r="AI674" s="76"/>
      <c r="AJ674" s="76"/>
      <c r="AK674" s="76"/>
      <c r="AL674" s="76"/>
      <c r="AM674" s="76"/>
      <c r="AN674" s="76"/>
      <c r="AO674" s="76"/>
      <c r="AP674" s="76"/>
      <c r="AQ674" s="76"/>
      <c r="AR674" s="76"/>
      <c r="AS674" s="76"/>
      <c r="AT674" s="76"/>
      <c r="AU674" s="76"/>
      <c r="AV674" s="76"/>
      <c r="AW674" s="76"/>
      <c r="AX674" s="76"/>
      <c r="AY674" s="76"/>
      <c r="AZ674" s="76"/>
      <c r="BA674" s="76"/>
      <c r="BB674" s="76"/>
      <c r="BC674" s="76"/>
      <c r="BD674" s="76"/>
      <c r="BE674" s="76"/>
      <c r="BF674" s="76"/>
    </row>
    <row r="675" spans="1:58" s="153" customFormat="1" ht="14.1" customHeight="1">
      <c r="A675" s="75"/>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c r="AA675" s="76"/>
      <c r="AB675" s="76"/>
      <c r="AC675" s="76"/>
      <c r="AD675" s="76"/>
      <c r="AE675" s="76"/>
      <c r="AF675" s="76"/>
      <c r="AG675" s="76"/>
      <c r="AH675" s="76"/>
      <c r="AI675" s="76"/>
      <c r="AJ675" s="76"/>
      <c r="AK675" s="76"/>
      <c r="AL675" s="76"/>
      <c r="AM675" s="76"/>
      <c r="AN675" s="76"/>
      <c r="AO675" s="76"/>
      <c r="AP675" s="76"/>
      <c r="AQ675" s="76"/>
      <c r="AR675" s="76"/>
      <c r="AS675" s="76"/>
      <c r="AT675" s="76"/>
      <c r="AU675" s="76"/>
      <c r="AV675" s="76"/>
      <c r="AW675" s="76"/>
      <c r="AX675" s="76"/>
      <c r="AY675" s="76"/>
      <c r="AZ675" s="76"/>
      <c r="BA675" s="76"/>
      <c r="BB675" s="76"/>
      <c r="BC675" s="76"/>
      <c r="BD675" s="76"/>
      <c r="BE675" s="76"/>
      <c r="BF675" s="76"/>
    </row>
    <row r="676" spans="1:58" s="153" customFormat="1" ht="14.1" customHeight="1">
      <c r="A676" s="75"/>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c r="AA676" s="76"/>
      <c r="AB676" s="76"/>
      <c r="AC676" s="76"/>
      <c r="AD676" s="76"/>
      <c r="AE676" s="76"/>
      <c r="AF676" s="76"/>
      <c r="AG676" s="76"/>
      <c r="AH676" s="76"/>
      <c r="AI676" s="76"/>
      <c r="AJ676" s="76"/>
      <c r="AK676" s="76"/>
      <c r="AL676" s="76"/>
      <c r="AM676" s="76"/>
      <c r="AN676" s="76"/>
      <c r="AO676" s="76"/>
      <c r="AP676" s="76"/>
      <c r="AQ676" s="76"/>
      <c r="AR676" s="76"/>
      <c r="AS676" s="76"/>
      <c r="AT676" s="76"/>
      <c r="AU676" s="76"/>
      <c r="AV676" s="76"/>
      <c r="AW676" s="76"/>
      <c r="AX676" s="76"/>
      <c r="AY676" s="76"/>
      <c r="AZ676" s="76"/>
      <c r="BA676" s="76"/>
      <c r="BB676" s="76"/>
      <c r="BC676" s="76"/>
      <c r="BD676" s="76"/>
      <c r="BE676" s="76"/>
      <c r="BF676" s="76"/>
    </row>
    <row r="677" spans="1:58" s="153" customFormat="1" ht="14.1" customHeight="1">
      <c r="A677" s="75"/>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c r="AA677" s="76"/>
      <c r="AB677" s="76"/>
      <c r="AC677" s="76"/>
      <c r="AD677" s="76"/>
      <c r="AE677" s="76"/>
      <c r="AF677" s="76"/>
      <c r="AG677" s="76"/>
      <c r="AH677" s="76"/>
      <c r="AI677" s="76"/>
      <c r="AJ677" s="76"/>
      <c r="AK677" s="76"/>
      <c r="AL677" s="76"/>
      <c r="AM677" s="76"/>
      <c r="AN677" s="76"/>
      <c r="AO677" s="76"/>
      <c r="AP677" s="76"/>
      <c r="AQ677" s="76"/>
      <c r="AR677" s="76"/>
      <c r="AS677" s="76"/>
      <c r="AT677" s="76"/>
      <c r="AU677" s="76"/>
      <c r="AV677" s="76"/>
      <c r="AW677" s="76"/>
      <c r="AX677" s="76"/>
      <c r="AY677" s="76"/>
      <c r="AZ677" s="76"/>
      <c r="BA677" s="76"/>
      <c r="BB677" s="76"/>
      <c r="BC677" s="76"/>
      <c r="BD677" s="76"/>
      <c r="BE677" s="76"/>
      <c r="BF677" s="76"/>
    </row>
    <row r="678" spans="1:58" s="153" customFormat="1" ht="14.1" customHeight="1">
      <c r="A678" s="75"/>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c r="AA678" s="76"/>
      <c r="AB678" s="76"/>
      <c r="AC678" s="76"/>
      <c r="AD678" s="76"/>
      <c r="AE678" s="76"/>
      <c r="AF678" s="76"/>
      <c r="AG678" s="76"/>
      <c r="AH678" s="76"/>
      <c r="AI678" s="76"/>
      <c r="AJ678" s="76"/>
      <c r="AK678" s="76"/>
      <c r="AL678" s="76"/>
      <c r="AM678" s="76"/>
      <c r="AN678" s="76"/>
      <c r="AO678" s="76"/>
      <c r="AP678" s="76"/>
      <c r="AQ678" s="76"/>
      <c r="AR678" s="76"/>
      <c r="AS678" s="76"/>
      <c r="AT678" s="76"/>
      <c r="AU678" s="76"/>
      <c r="AV678" s="76"/>
      <c r="AW678" s="76"/>
      <c r="AX678" s="76"/>
      <c r="AY678" s="76"/>
      <c r="AZ678" s="76"/>
      <c r="BA678" s="76"/>
      <c r="BB678" s="76"/>
      <c r="BC678" s="76"/>
      <c r="BD678" s="76"/>
      <c r="BE678" s="76"/>
      <c r="BF678" s="76"/>
    </row>
    <row r="679" spans="1:58" s="153" customFormat="1" ht="14.1" customHeight="1">
      <c r="A679" s="75"/>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c r="AA679" s="76"/>
      <c r="AB679" s="76"/>
      <c r="AC679" s="76"/>
      <c r="AD679" s="76"/>
      <c r="AE679" s="76"/>
      <c r="AF679" s="76"/>
      <c r="AG679" s="76"/>
      <c r="AH679" s="76"/>
      <c r="AI679" s="76"/>
      <c r="AJ679" s="76"/>
      <c r="AK679" s="76"/>
      <c r="AL679" s="76"/>
      <c r="AM679" s="76"/>
      <c r="AN679" s="76"/>
      <c r="AO679" s="76"/>
      <c r="AP679" s="76"/>
      <c r="AQ679" s="76"/>
      <c r="AR679" s="76"/>
      <c r="AS679" s="76"/>
      <c r="AT679" s="76"/>
      <c r="AU679" s="76"/>
      <c r="AV679" s="76"/>
      <c r="AW679" s="76"/>
      <c r="AX679" s="76"/>
      <c r="AY679" s="76"/>
      <c r="AZ679" s="76"/>
      <c r="BA679" s="76"/>
      <c r="BB679" s="76"/>
      <c r="BC679" s="76"/>
      <c r="BD679" s="76"/>
      <c r="BE679" s="76"/>
      <c r="BF679" s="76"/>
    </row>
    <row r="680" spans="1:58" s="153" customFormat="1" ht="14.1" customHeight="1">
      <c r="A680" s="75"/>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c r="AA680" s="76"/>
      <c r="AB680" s="76"/>
      <c r="AC680" s="76"/>
      <c r="AD680" s="76"/>
      <c r="AE680" s="76"/>
      <c r="AF680" s="76"/>
      <c r="AG680" s="76"/>
      <c r="AH680" s="76"/>
      <c r="AI680" s="76"/>
      <c r="AJ680" s="76"/>
      <c r="AK680" s="76"/>
      <c r="AL680" s="76"/>
      <c r="AM680" s="76"/>
      <c r="AN680" s="76"/>
      <c r="AO680" s="76"/>
      <c r="AP680" s="76"/>
      <c r="AQ680" s="76"/>
      <c r="AR680" s="76"/>
      <c r="AS680" s="76"/>
      <c r="AT680" s="76"/>
      <c r="AU680" s="76"/>
      <c r="AV680" s="76"/>
      <c r="AW680" s="76"/>
      <c r="AX680" s="76"/>
      <c r="AY680" s="76"/>
      <c r="AZ680" s="76"/>
      <c r="BA680" s="76"/>
      <c r="BB680" s="76"/>
      <c r="BC680" s="76"/>
      <c r="BD680" s="76"/>
      <c r="BE680" s="76"/>
      <c r="BF680" s="76"/>
    </row>
    <row r="681" spans="1:58" s="153" customFormat="1" ht="14.1" customHeight="1">
      <c r="A681" s="75"/>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c r="AA681" s="76"/>
      <c r="AB681" s="76"/>
      <c r="AC681" s="76"/>
      <c r="AD681" s="76"/>
      <c r="AE681" s="76"/>
      <c r="AF681" s="76"/>
      <c r="AG681" s="76"/>
      <c r="AH681" s="76"/>
      <c r="AI681" s="76"/>
      <c r="AJ681" s="76"/>
      <c r="AK681" s="76"/>
      <c r="AL681" s="76"/>
      <c r="AM681" s="76"/>
      <c r="AN681" s="76"/>
      <c r="AO681" s="76"/>
      <c r="AP681" s="76"/>
      <c r="AQ681" s="76"/>
      <c r="AR681" s="76"/>
      <c r="AS681" s="76"/>
      <c r="AT681" s="76"/>
      <c r="AU681" s="76"/>
      <c r="AV681" s="76"/>
      <c r="AW681" s="76"/>
      <c r="AX681" s="76"/>
      <c r="AY681" s="76"/>
      <c r="AZ681" s="76"/>
      <c r="BA681" s="76"/>
      <c r="BB681" s="76"/>
      <c r="BC681" s="76"/>
      <c r="BD681" s="76"/>
      <c r="BE681" s="76"/>
      <c r="BF681" s="76"/>
    </row>
    <row r="682" spans="1:58" s="153" customFormat="1" ht="14.1" customHeight="1">
      <c r="A682" s="75"/>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c r="AA682" s="76"/>
      <c r="AB682" s="76"/>
      <c r="AC682" s="76"/>
      <c r="AD682" s="76"/>
      <c r="AE682" s="76"/>
      <c r="AF682" s="76"/>
      <c r="AG682" s="76"/>
      <c r="AH682" s="76"/>
      <c r="AI682" s="76"/>
      <c r="AJ682" s="76"/>
      <c r="AK682" s="76"/>
      <c r="AL682" s="76"/>
      <c r="AM682" s="76"/>
      <c r="AN682" s="76"/>
      <c r="AO682" s="76"/>
      <c r="AP682" s="76"/>
      <c r="AQ682" s="76"/>
      <c r="AR682" s="76"/>
      <c r="AS682" s="76"/>
      <c r="AT682" s="76"/>
      <c r="AU682" s="76"/>
      <c r="AV682" s="76"/>
      <c r="AW682" s="76"/>
      <c r="AX682" s="76"/>
      <c r="AY682" s="76"/>
      <c r="AZ682" s="76"/>
      <c r="BA682" s="76"/>
      <c r="BB682" s="76"/>
      <c r="BC682" s="76"/>
      <c r="BD682" s="76"/>
      <c r="BE682" s="76"/>
      <c r="BF682" s="76"/>
    </row>
    <row r="683" spans="1:58" s="153" customFormat="1" ht="14.1" customHeight="1">
      <c r="A683" s="75"/>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c r="AA683" s="76"/>
      <c r="AB683" s="76"/>
      <c r="AC683" s="76"/>
      <c r="AD683" s="76"/>
      <c r="AE683" s="76"/>
      <c r="AF683" s="76"/>
      <c r="AG683" s="76"/>
      <c r="AH683" s="76"/>
      <c r="AI683" s="76"/>
      <c r="AJ683" s="76"/>
      <c r="AK683" s="76"/>
      <c r="AL683" s="76"/>
      <c r="AM683" s="76"/>
      <c r="AN683" s="76"/>
      <c r="AO683" s="76"/>
      <c r="AP683" s="76"/>
      <c r="AQ683" s="76"/>
      <c r="AR683" s="76"/>
      <c r="AS683" s="76"/>
      <c r="AT683" s="76"/>
      <c r="AU683" s="76"/>
      <c r="AV683" s="76"/>
      <c r="AW683" s="76"/>
      <c r="AX683" s="76"/>
      <c r="AY683" s="76"/>
      <c r="AZ683" s="76"/>
      <c r="BA683" s="76"/>
      <c r="BB683" s="76"/>
      <c r="BC683" s="76"/>
      <c r="BD683" s="76"/>
      <c r="BE683" s="76"/>
      <c r="BF683" s="76"/>
    </row>
    <row r="684" spans="1:58" s="153" customFormat="1" ht="14.1" customHeight="1">
      <c r="A684" s="75"/>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c r="AA684" s="76"/>
      <c r="AB684" s="76"/>
      <c r="AC684" s="76"/>
      <c r="AD684" s="76"/>
      <c r="AE684" s="76"/>
      <c r="AF684" s="76"/>
      <c r="AG684" s="76"/>
      <c r="AH684" s="76"/>
      <c r="AI684" s="76"/>
      <c r="AJ684" s="76"/>
      <c r="AK684" s="76"/>
      <c r="AL684" s="76"/>
      <c r="AM684" s="76"/>
      <c r="AN684" s="76"/>
      <c r="AO684" s="76"/>
      <c r="AP684" s="76"/>
      <c r="AQ684" s="76"/>
      <c r="AR684" s="76"/>
      <c r="AS684" s="76"/>
      <c r="AT684" s="76"/>
      <c r="AU684" s="76"/>
      <c r="AV684" s="76"/>
      <c r="AW684" s="76"/>
      <c r="AX684" s="76"/>
      <c r="AY684" s="76"/>
      <c r="AZ684" s="76"/>
      <c r="BA684" s="76"/>
      <c r="BB684" s="76"/>
      <c r="BC684" s="76"/>
      <c r="BD684" s="76"/>
      <c r="BE684" s="76"/>
      <c r="BF684" s="76"/>
    </row>
    <row r="685" spans="1:58" s="153" customFormat="1" ht="14.1" customHeight="1">
      <c r="A685" s="75"/>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c r="AA685" s="76"/>
      <c r="AB685" s="76"/>
      <c r="AC685" s="76"/>
      <c r="AD685" s="76"/>
      <c r="AE685" s="76"/>
      <c r="AF685" s="76"/>
      <c r="AG685" s="76"/>
      <c r="AH685" s="76"/>
      <c r="AI685" s="76"/>
      <c r="AJ685" s="76"/>
      <c r="AK685" s="76"/>
      <c r="AL685" s="76"/>
      <c r="AM685" s="76"/>
      <c r="AN685" s="76"/>
      <c r="AO685" s="76"/>
      <c r="AP685" s="76"/>
      <c r="AQ685" s="76"/>
      <c r="AR685" s="76"/>
      <c r="AS685" s="76"/>
      <c r="AT685" s="76"/>
      <c r="AU685" s="76"/>
      <c r="AV685" s="76"/>
      <c r="AW685" s="76"/>
      <c r="AX685" s="76"/>
      <c r="AY685" s="76"/>
      <c r="AZ685" s="76"/>
      <c r="BA685" s="76"/>
      <c r="BB685" s="76"/>
      <c r="BC685" s="76"/>
      <c r="BD685" s="76"/>
      <c r="BE685" s="76"/>
      <c r="BF685" s="76"/>
    </row>
    <row r="686" spans="1:58" s="153" customFormat="1" ht="14.1" customHeight="1">
      <c r="A686" s="75"/>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c r="AA686" s="76"/>
      <c r="AB686" s="76"/>
      <c r="AC686" s="76"/>
      <c r="AD686" s="76"/>
      <c r="AE686" s="76"/>
      <c r="AF686" s="76"/>
      <c r="AG686" s="76"/>
      <c r="AH686" s="76"/>
      <c r="AI686" s="76"/>
      <c r="AJ686" s="76"/>
      <c r="AK686" s="76"/>
      <c r="AL686" s="76"/>
      <c r="AM686" s="76"/>
      <c r="AN686" s="76"/>
      <c r="AO686" s="76"/>
      <c r="AP686" s="76"/>
      <c r="AQ686" s="76"/>
      <c r="AR686" s="76"/>
      <c r="AS686" s="76"/>
      <c r="AT686" s="76"/>
      <c r="AU686" s="76"/>
      <c r="AV686" s="76"/>
      <c r="AW686" s="76"/>
      <c r="AX686" s="76"/>
      <c r="AY686" s="76"/>
      <c r="AZ686" s="76"/>
      <c r="BA686" s="76"/>
      <c r="BB686" s="76"/>
      <c r="BC686" s="76"/>
      <c r="BD686" s="76"/>
      <c r="BE686" s="76"/>
      <c r="BF686" s="76"/>
    </row>
    <row r="687" spans="1:58" s="153" customFormat="1" ht="14.1" customHeight="1">
      <c r="A687" s="75"/>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c r="AA687" s="76"/>
      <c r="AB687" s="76"/>
      <c r="AC687" s="76"/>
      <c r="AD687" s="76"/>
      <c r="AE687" s="76"/>
      <c r="AF687" s="76"/>
      <c r="AG687" s="76"/>
      <c r="AH687" s="76"/>
      <c r="AI687" s="76"/>
      <c r="AJ687" s="76"/>
      <c r="AK687" s="76"/>
      <c r="AL687" s="76"/>
      <c r="AM687" s="76"/>
      <c r="AN687" s="76"/>
      <c r="AO687" s="76"/>
      <c r="AP687" s="76"/>
      <c r="AQ687" s="76"/>
      <c r="AR687" s="76"/>
      <c r="AS687" s="76"/>
      <c r="AT687" s="76"/>
      <c r="AU687" s="76"/>
      <c r="AV687" s="76"/>
      <c r="AW687" s="76"/>
      <c r="AX687" s="76"/>
      <c r="AY687" s="76"/>
      <c r="AZ687" s="76"/>
      <c r="BA687" s="76"/>
      <c r="BB687" s="76"/>
      <c r="BC687" s="76"/>
      <c r="BD687" s="76"/>
      <c r="BE687" s="76"/>
      <c r="BF687" s="76"/>
    </row>
    <row r="688" spans="1:58" s="153" customFormat="1" ht="14.1" customHeight="1">
      <c r="A688" s="75"/>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c r="AA688" s="76"/>
      <c r="AB688" s="76"/>
      <c r="AC688" s="76"/>
      <c r="AD688" s="76"/>
      <c r="AE688" s="76"/>
      <c r="AF688" s="76"/>
      <c r="AG688" s="76"/>
      <c r="AH688" s="76"/>
      <c r="AI688" s="76"/>
      <c r="AJ688" s="76"/>
      <c r="AK688" s="76"/>
      <c r="AL688" s="76"/>
      <c r="AM688" s="76"/>
      <c r="AN688" s="76"/>
      <c r="AO688" s="76"/>
      <c r="AP688" s="76"/>
      <c r="AQ688" s="76"/>
      <c r="AR688" s="76"/>
      <c r="AS688" s="76"/>
      <c r="AT688" s="76"/>
      <c r="AU688" s="76"/>
      <c r="AV688" s="76"/>
      <c r="AW688" s="76"/>
      <c r="AX688" s="76"/>
      <c r="AY688" s="76"/>
      <c r="AZ688" s="76"/>
      <c r="BA688" s="76"/>
      <c r="BB688" s="76"/>
      <c r="BC688" s="76"/>
      <c r="BD688" s="76"/>
      <c r="BE688" s="76"/>
      <c r="BF688" s="76"/>
    </row>
    <row r="689" spans="1:58" s="153" customFormat="1" ht="14.1" customHeight="1">
      <c r="A689" s="75"/>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c r="AA689" s="76"/>
      <c r="AB689" s="76"/>
      <c r="AC689" s="76"/>
      <c r="AD689" s="76"/>
      <c r="AE689" s="76"/>
      <c r="AF689" s="76"/>
      <c r="AG689" s="76"/>
      <c r="AH689" s="76"/>
      <c r="AI689" s="76"/>
      <c r="AJ689" s="76"/>
      <c r="AK689" s="76"/>
      <c r="AL689" s="76"/>
      <c r="AM689" s="76"/>
      <c r="AN689" s="76"/>
      <c r="AO689" s="76"/>
      <c r="AP689" s="76"/>
      <c r="AQ689" s="76"/>
      <c r="AR689" s="76"/>
      <c r="AS689" s="76"/>
      <c r="AT689" s="76"/>
      <c r="AU689" s="76"/>
      <c r="AV689" s="76"/>
      <c r="AW689" s="76"/>
      <c r="AX689" s="76"/>
      <c r="AY689" s="76"/>
      <c r="AZ689" s="76"/>
      <c r="BA689" s="76"/>
      <c r="BB689" s="76"/>
      <c r="BC689" s="76"/>
      <c r="BD689" s="76"/>
      <c r="BE689" s="76"/>
      <c r="BF689" s="76"/>
    </row>
    <row r="690" spans="1:58" s="153" customFormat="1" ht="14.1" customHeight="1">
      <c r="A690" s="7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c r="AA690" s="76"/>
      <c r="AB690" s="76"/>
      <c r="AC690" s="76"/>
      <c r="AD690" s="76"/>
      <c r="AE690" s="76"/>
      <c r="AF690" s="76"/>
      <c r="AG690" s="76"/>
      <c r="AH690" s="76"/>
      <c r="AI690" s="76"/>
      <c r="AJ690" s="76"/>
      <c r="AK690" s="76"/>
      <c r="AL690" s="76"/>
      <c r="AM690" s="76"/>
      <c r="AN690" s="76"/>
      <c r="AO690" s="76"/>
      <c r="AP690" s="76"/>
      <c r="AQ690" s="76"/>
      <c r="AR690" s="76"/>
      <c r="AS690" s="76"/>
      <c r="AT690" s="76"/>
      <c r="AU690" s="76"/>
      <c r="AV690" s="76"/>
      <c r="AW690" s="76"/>
      <c r="AX690" s="76"/>
      <c r="AY690" s="76"/>
      <c r="AZ690" s="76"/>
      <c r="BA690" s="76"/>
      <c r="BB690" s="76"/>
      <c r="BC690" s="76"/>
      <c r="BD690" s="76"/>
      <c r="BE690" s="76"/>
      <c r="BF690" s="76"/>
    </row>
    <row r="691" spans="1:58" s="153" customFormat="1" ht="14.1" customHeight="1">
      <c r="A691" s="75"/>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c r="AA691" s="76"/>
      <c r="AB691" s="76"/>
      <c r="AC691" s="76"/>
      <c r="AD691" s="76"/>
      <c r="AE691" s="76"/>
      <c r="AF691" s="76"/>
      <c r="AG691" s="76"/>
      <c r="AH691" s="76"/>
      <c r="AI691" s="76"/>
      <c r="AJ691" s="76"/>
      <c r="AK691" s="76"/>
      <c r="AL691" s="76"/>
      <c r="AM691" s="76"/>
      <c r="AN691" s="76"/>
      <c r="AO691" s="76"/>
      <c r="AP691" s="76"/>
      <c r="AQ691" s="76"/>
      <c r="AR691" s="76"/>
      <c r="AS691" s="76"/>
      <c r="AT691" s="76"/>
      <c r="AU691" s="76"/>
      <c r="AV691" s="76"/>
      <c r="AW691" s="76"/>
      <c r="AX691" s="76"/>
      <c r="AY691" s="76"/>
      <c r="AZ691" s="76"/>
      <c r="BA691" s="76"/>
      <c r="BB691" s="76"/>
      <c r="BC691" s="76"/>
      <c r="BD691" s="76"/>
      <c r="BE691" s="76"/>
      <c r="BF691" s="76"/>
    </row>
    <row r="692" spans="1:58" s="153" customFormat="1" ht="14.1" customHeight="1">
      <c r="A692" s="75"/>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c r="AA692" s="76"/>
      <c r="AB692" s="76"/>
      <c r="AC692" s="76"/>
      <c r="AD692" s="76"/>
      <c r="AE692" s="76"/>
      <c r="AF692" s="76"/>
      <c r="AG692" s="76"/>
      <c r="AH692" s="76"/>
      <c r="AI692" s="76"/>
      <c r="AJ692" s="76"/>
      <c r="AK692" s="76"/>
      <c r="AL692" s="76"/>
      <c r="AM692" s="76"/>
      <c r="AN692" s="76"/>
      <c r="AO692" s="76"/>
      <c r="AP692" s="76"/>
      <c r="AQ692" s="76"/>
      <c r="AR692" s="76"/>
      <c r="AS692" s="76"/>
      <c r="AT692" s="76"/>
      <c r="AU692" s="76"/>
      <c r="AV692" s="76"/>
      <c r="AW692" s="76"/>
      <c r="AX692" s="76"/>
      <c r="AY692" s="76"/>
      <c r="AZ692" s="76"/>
      <c r="BA692" s="76"/>
      <c r="BB692" s="76"/>
      <c r="BC692" s="76"/>
      <c r="BD692" s="76"/>
      <c r="BE692" s="76"/>
      <c r="BF692" s="76"/>
    </row>
    <row r="693" spans="1:58" s="153" customFormat="1" ht="14.1" customHeight="1">
      <c r="A693" s="75"/>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c r="AA693" s="76"/>
      <c r="AB693" s="76"/>
      <c r="AC693" s="76"/>
      <c r="AD693" s="76"/>
      <c r="AE693" s="76"/>
      <c r="AF693" s="76"/>
      <c r="AG693" s="76"/>
      <c r="AH693" s="76"/>
      <c r="AI693" s="76"/>
      <c r="AJ693" s="76"/>
      <c r="AK693" s="76"/>
      <c r="AL693" s="76"/>
      <c r="AM693" s="76"/>
      <c r="AN693" s="76"/>
      <c r="AO693" s="76"/>
      <c r="AP693" s="76"/>
      <c r="AQ693" s="76"/>
      <c r="AR693" s="76"/>
      <c r="AS693" s="76"/>
      <c r="AT693" s="76"/>
      <c r="AU693" s="76"/>
      <c r="AV693" s="76"/>
      <c r="AW693" s="76"/>
      <c r="AX693" s="76"/>
      <c r="AY693" s="76"/>
      <c r="AZ693" s="76"/>
      <c r="BA693" s="76"/>
      <c r="BB693" s="76"/>
      <c r="BC693" s="76"/>
      <c r="BD693" s="76"/>
      <c r="BE693" s="76"/>
      <c r="BF693" s="76"/>
    </row>
    <row r="694" spans="1:58" s="153" customFormat="1" ht="14.1" customHeight="1">
      <c r="A694" s="75"/>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c r="AA694" s="76"/>
      <c r="AB694" s="76"/>
      <c r="AC694" s="76"/>
      <c r="AD694" s="76"/>
      <c r="AE694" s="76"/>
      <c r="AF694" s="76"/>
      <c r="AG694" s="76"/>
      <c r="AH694" s="76"/>
      <c r="AI694" s="76"/>
      <c r="AJ694" s="76"/>
      <c r="AK694" s="76"/>
      <c r="AL694" s="76"/>
      <c r="AM694" s="76"/>
      <c r="AN694" s="76"/>
      <c r="AO694" s="76"/>
      <c r="AP694" s="76"/>
      <c r="AQ694" s="76"/>
      <c r="AR694" s="76"/>
      <c r="AS694" s="76"/>
      <c r="AT694" s="76"/>
      <c r="AU694" s="76"/>
      <c r="AV694" s="76"/>
      <c r="AW694" s="76"/>
      <c r="AX694" s="76"/>
      <c r="AY694" s="76"/>
      <c r="AZ694" s="76"/>
      <c r="BA694" s="76"/>
      <c r="BB694" s="76"/>
      <c r="BC694" s="76"/>
      <c r="BD694" s="76"/>
      <c r="BE694" s="76"/>
      <c r="BF694" s="76"/>
    </row>
    <row r="695" spans="1:58" s="153" customFormat="1" ht="14.1" customHeight="1">
      <c r="A695" s="75"/>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c r="AA695" s="76"/>
      <c r="AB695" s="76"/>
      <c r="AC695" s="76"/>
      <c r="AD695" s="76"/>
      <c r="AE695" s="76"/>
      <c r="AF695" s="76"/>
      <c r="AG695" s="76"/>
      <c r="AH695" s="76"/>
      <c r="AI695" s="76"/>
      <c r="AJ695" s="76"/>
      <c r="AK695" s="76"/>
      <c r="AL695" s="76"/>
      <c r="AM695" s="76"/>
      <c r="AN695" s="76"/>
      <c r="AO695" s="76"/>
      <c r="AP695" s="76"/>
      <c r="AQ695" s="76"/>
      <c r="AR695" s="76"/>
      <c r="AS695" s="76"/>
      <c r="AT695" s="76"/>
      <c r="AU695" s="76"/>
      <c r="AV695" s="76"/>
      <c r="AW695" s="76"/>
      <c r="AX695" s="76"/>
      <c r="AY695" s="76"/>
      <c r="AZ695" s="76"/>
      <c r="BA695" s="76"/>
      <c r="BB695" s="76"/>
      <c r="BC695" s="76"/>
      <c r="BD695" s="76"/>
      <c r="BE695" s="76"/>
      <c r="BF695" s="76"/>
    </row>
    <row r="696" spans="1:58" s="153" customFormat="1" ht="14.1" customHeight="1">
      <c r="A696" s="75"/>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c r="AA696" s="76"/>
      <c r="AB696" s="76"/>
      <c r="AC696" s="76"/>
      <c r="AD696" s="76"/>
      <c r="AE696" s="76"/>
      <c r="AF696" s="76"/>
      <c r="AG696" s="76"/>
      <c r="AH696" s="76"/>
      <c r="AI696" s="76"/>
      <c r="AJ696" s="76"/>
      <c r="AK696" s="76"/>
      <c r="AL696" s="76"/>
      <c r="AM696" s="76"/>
      <c r="AN696" s="76"/>
      <c r="AO696" s="76"/>
      <c r="AP696" s="76"/>
      <c r="AQ696" s="76"/>
      <c r="AR696" s="76"/>
      <c r="AS696" s="76"/>
      <c r="AT696" s="76"/>
      <c r="AU696" s="76"/>
      <c r="AV696" s="76"/>
      <c r="AW696" s="76"/>
      <c r="AX696" s="76"/>
      <c r="AY696" s="76"/>
      <c r="AZ696" s="76"/>
      <c r="BA696" s="76"/>
      <c r="BB696" s="76"/>
      <c r="BC696" s="76"/>
      <c r="BD696" s="76"/>
      <c r="BE696" s="76"/>
      <c r="BF696" s="76"/>
    </row>
    <row r="697" spans="1:58" s="153" customFormat="1" ht="14.1" customHeight="1">
      <c r="A697" s="75"/>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c r="AA697" s="76"/>
      <c r="AB697" s="76"/>
      <c r="AC697" s="76"/>
      <c r="AD697" s="76"/>
      <c r="AE697" s="76"/>
      <c r="AF697" s="76"/>
      <c r="AG697" s="76"/>
      <c r="AH697" s="76"/>
      <c r="AI697" s="76"/>
      <c r="AJ697" s="76"/>
      <c r="AK697" s="76"/>
      <c r="AL697" s="76"/>
      <c r="AM697" s="76"/>
      <c r="AN697" s="76"/>
      <c r="AO697" s="76"/>
      <c r="AP697" s="76"/>
      <c r="AQ697" s="76"/>
      <c r="AR697" s="76"/>
      <c r="AS697" s="76"/>
      <c r="AT697" s="76"/>
      <c r="AU697" s="76"/>
      <c r="AV697" s="76"/>
      <c r="AW697" s="76"/>
      <c r="AX697" s="76"/>
      <c r="AY697" s="76"/>
      <c r="AZ697" s="76"/>
      <c r="BA697" s="76"/>
      <c r="BB697" s="76"/>
      <c r="BC697" s="76"/>
      <c r="BD697" s="76"/>
      <c r="BE697" s="76"/>
      <c r="BF697" s="76"/>
    </row>
    <row r="698" spans="1:58" s="153" customFormat="1" ht="14.1" customHeight="1">
      <c r="A698" s="75"/>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c r="AA698" s="76"/>
      <c r="AB698" s="76"/>
      <c r="AC698" s="76"/>
      <c r="AD698" s="76"/>
      <c r="AE698" s="76"/>
      <c r="AF698" s="76"/>
      <c r="AG698" s="76"/>
      <c r="AH698" s="76"/>
      <c r="AI698" s="76"/>
      <c r="AJ698" s="76"/>
      <c r="AK698" s="76"/>
      <c r="AL698" s="76"/>
      <c r="AM698" s="76"/>
      <c r="AN698" s="76"/>
      <c r="AO698" s="76"/>
      <c r="AP698" s="76"/>
      <c r="AQ698" s="76"/>
      <c r="AR698" s="76"/>
      <c r="AS698" s="76"/>
      <c r="AT698" s="76"/>
      <c r="AU698" s="76"/>
      <c r="AV698" s="76"/>
      <c r="AW698" s="76"/>
      <c r="AX698" s="76"/>
      <c r="AY698" s="76"/>
      <c r="AZ698" s="76"/>
      <c r="BA698" s="76"/>
      <c r="BB698" s="76"/>
      <c r="BC698" s="76"/>
      <c r="BD698" s="76"/>
      <c r="BE698" s="76"/>
      <c r="BF698" s="76"/>
    </row>
    <row r="699" spans="1:58" s="153" customFormat="1" ht="14.1" customHeight="1">
      <c r="A699" s="75"/>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c r="AA699" s="76"/>
      <c r="AB699" s="76"/>
      <c r="AC699" s="76"/>
      <c r="AD699" s="76"/>
      <c r="AE699" s="76"/>
      <c r="AF699" s="76"/>
      <c r="AG699" s="76"/>
      <c r="AH699" s="76"/>
      <c r="AI699" s="76"/>
      <c r="AJ699" s="76"/>
      <c r="AK699" s="76"/>
      <c r="AL699" s="76"/>
      <c r="AM699" s="76"/>
      <c r="AN699" s="76"/>
      <c r="AO699" s="76"/>
      <c r="AP699" s="76"/>
      <c r="AQ699" s="76"/>
      <c r="AR699" s="76"/>
      <c r="AS699" s="76"/>
      <c r="AT699" s="76"/>
      <c r="AU699" s="76"/>
      <c r="AV699" s="76"/>
      <c r="AW699" s="76"/>
      <c r="AX699" s="76"/>
      <c r="AY699" s="76"/>
      <c r="AZ699" s="76"/>
      <c r="BA699" s="76"/>
      <c r="BB699" s="76"/>
      <c r="BC699" s="76"/>
      <c r="BD699" s="76"/>
      <c r="BE699" s="76"/>
      <c r="BF699" s="76"/>
    </row>
    <row r="700" spans="1:58" s="153" customFormat="1" ht="14.1" customHeight="1">
      <c r="A700" s="75"/>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c r="AA700" s="76"/>
      <c r="AB700" s="76"/>
      <c r="AC700" s="76"/>
      <c r="AD700" s="76"/>
      <c r="AE700" s="76"/>
      <c r="AF700" s="76"/>
      <c r="AG700" s="76"/>
      <c r="AH700" s="76"/>
      <c r="AI700" s="76"/>
      <c r="AJ700" s="76"/>
      <c r="AK700" s="76"/>
      <c r="AL700" s="76"/>
      <c r="AM700" s="76"/>
      <c r="AN700" s="76"/>
      <c r="AO700" s="76"/>
      <c r="AP700" s="76"/>
      <c r="AQ700" s="76"/>
      <c r="AR700" s="76"/>
      <c r="AS700" s="76"/>
      <c r="AT700" s="76"/>
      <c r="AU700" s="76"/>
      <c r="AV700" s="76"/>
      <c r="AW700" s="76"/>
      <c r="AX700" s="76"/>
      <c r="AY700" s="76"/>
      <c r="AZ700" s="76"/>
      <c r="BA700" s="76"/>
      <c r="BB700" s="76"/>
      <c r="BC700" s="76"/>
      <c r="BD700" s="76"/>
      <c r="BE700" s="76"/>
      <c r="BF700" s="76"/>
    </row>
    <row r="701" spans="1:58" s="153" customFormat="1" ht="14.1" customHeight="1">
      <c r="A701" s="75"/>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c r="AA701" s="76"/>
      <c r="AB701" s="76"/>
      <c r="AC701" s="76"/>
      <c r="AD701" s="76"/>
      <c r="AE701" s="76"/>
      <c r="AF701" s="76"/>
      <c r="AG701" s="76"/>
      <c r="AH701" s="76"/>
      <c r="AI701" s="76"/>
      <c r="AJ701" s="76"/>
      <c r="AK701" s="76"/>
      <c r="AL701" s="76"/>
      <c r="AM701" s="76"/>
      <c r="AN701" s="76"/>
      <c r="AO701" s="76"/>
      <c r="AP701" s="76"/>
      <c r="AQ701" s="76"/>
      <c r="AR701" s="76"/>
      <c r="AS701" s="76"/>
      <c r="AT701" s="76"/>
      <c r="AU701" s="76"/>
      <c r="AV701" s="76"/>
      <c r="AW701" s="76"/>
      <c r="AX701" s="76"/>
      <c r="AY701" s="76"/>
      <c r="AZ701" s="76"/>
      <c r="BA701" s="76"/>
      <c r="BB701" s="76"/>
      <c r="BC701" s="76"/>
      <c r="BD701" s="76"/>
      <c r="BE701" s="76"/>
      <c r="BF701" s="76"/>
    </row>
    <row r="702" spans="1:58" s="153" customFormat="1" ht="14.1" customHeight="1">
      <c r="A702" s="75"/>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c r="AA702" s="76"/>
      <c r="AB702" s="76"/>
      <c r="AC702" s="76"/>
      <c r="AD702" s="76"/>
      <c r="AE702" s="76"/>
      <c r="AF702" s="76"/>
      <c r="AG702" s="76"/>
      <c r="AH702" s="76"/>
      <c r="AI702" s="76"/>
      <c r="AJ702" s="76"/>
      <c r="AK702" s="76"/>
      <c r="AL702" s="76"/>
      <c r="AM702" s="76"/>
      <c r="AN702" s="76"/>
      <c r="AO702" s="76"/>
      <c r="AP702" s="76"/>
      <c r="AQ702" s="76"/>
      <c r="AR702" s="76"/>
      <c r="AS702" s="76"/>
      <c r="AT702" s="76"/>
      <c r="AU702" s="76"/>
      <c r="AV702" s="76"/>
      <c r="AW702" s="76"/>
      <c r="AX702" s="76"/>
      <c r="AY702" s="76"/>
      <c r="AZ702" s="76"/>
      <c r="BA702" s="76"/>
      <c r="BB702" s="76"/>
      <c r="BC702" s="76"/>
      <c r="BD702" s="76"/>
      <c r="BE702" s="76"/>
      <c r="BF702" s="76"/>
    </row>
    <row r="703" spans="1:58" s="153" customFormat="1" ht="14.1" customHeight="1">
      <c r="A703" s="75"/>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c r="AA703" s="76"/>
      <c r="AB703" s="76"/>
      <c r="AC703" s="76"/>
      <c r="AD703" s="76"/>
      <c r="AE703" s="76"/>
      <c r="AF703" s="76"/>
      <c r="AG703" s="76"/>
      <c r="AH703" s="76"/>
      <c r="AI703" s="76"/>
      <c r="AJ703" s="76"/>
      <c r="AK703" s="76"/>
      <c r="AL703" s="76"/>
      <c r="AM703" s="76"/>
      <c r="AN703" s="76"/>
      <c r="AO703" s="76"/>
      <c r="AP703" s="76"/>
      <c r="AQ703" s="76"/>
      <c r="AR703" s="76"/>
      <c r="AS703" s="76"/>
      <c r="AT703" s="76"/>
      <c r="AU703" s="76"/>
      <c r="AV703" s="76"/>
      <c r="AW703" s="76"/>
      <c r="AX703" s="76"/>
      <c r="AY703" s="76"/>
      <c r="AZ703" s="76"/>
      <c r="BA703" s="76"/>
      <c r="BB703" s="76"/>
      <c r="BC703" s="76"/>
      <c r="BD703" s="76"/>
      <c r="BE703" s="76"/>
      <c r="BF703" s="76"/>
    </row>
    <row r="704" spans="1:58" s="153" customFormat="1" ht="14.1" customHeight="1">
      <c r="A704" s="75"/>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c r="AA704" s="76"/>
      <c r="AB704" s="76"/>
      <c r="AC704" s="76"/>
      <c r="AD704" s="76"/>
      <c r="AE704" s="76"/>
      <c r="AF704" s="76"/>
      <c r="AG704" s="76"/>
      <c r="AH704" s="76"/>
      <c r="AI704" s="76"/>
      <c r="AJ704" s="76"/>
      <c r="AK704" s="76"/>
      <c r="AL704" s="76"/>
      <c r="AM704" s="76"/>
      <c r="AN704" s="76"/>
      <c r="AO704" s="76"/>
      <c r="AP704" s="76"/>
      <c r="AQ704" s="76"/>
      <c r="AR704" s="76"/>
      <c r="AS704" s="76"/>
      <c r="AT704" s="76"/>
      <c r="AU704" s="76"/>
      <c r="AV704" s="76"/>
      <c r="AW704" s="76"/>
      <c r="AX704" s="76"/>
      <c r="AY704" s="76"/>
      <c r="AZ704" s="76"/>
      <c r="BA704" s="76"/>
      <c r="BB704" s="76"/>
      <c r="BC704" s="76"/>
      <c r="BD704" s="76"/>
      <c r="BE704" s="76"/>
      <c r="BF704" s="76"/>
    </row>
    <row r="705" spans="1:58" s="153" customFormat="1" ht="14.1" customHeight="1">
      <c r="A705" s="75"/>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c r="AA705" s="76"/>
      <c r="AB705" s="76"/>
      <c r="AC705" s="76"/>
      <c r="AD705" s="76"/>
      <c r="AE705" s="76"/>
      <c r="AF705" s="76"/>
      <c r="AG705" s="76"/>
      <c r="AH705" s="76"/>
      <c r="AI705" s="76"/>
      <c r="AJ705" s="76"/>
      <c r="AK705" s="76"/>
      <c r="AL705" s="76"/>
      <c r="AM705" s="76"/>
      <c r="AN705" s="76"/>
      <c r="AO705" s="76"/>
      <c r="AP705" s="76"/>
      <c r="AQ705" s="76"/>
      <c r="AR705" s="76"/>
      <c r="AS705" s="76"/>
      <c r="AT705" s="76"/>
      <c r="AU705" s="76"/>
      <c r="AV705" s="76"/>
      <c r="AW705" s="76"/>
      <c r="AX705" s="76"/>
      <c r="AY705" s="76"/>
      <c r="AZ705" s="76"/>
      <c r="BA705" s="76"/>
      <c r="BB705" s="76"/>
      <c r="BC705" s="76"/>
      <c r="BD705" s="76"/>
      <c r="BE705" s="76"/>
      <c r="BF705" s="76"/>
    </row>
    <row r="706" spans="1:58" s="153" customFormat="1" ht="14.1" customHeight="1">
      <c r="A706" s="75"/>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c r="AA706" s="76"/>
      <c r="AB706" s="76"/>
      <c r="AC706" s="76"/>
      <c r="AD706" s="76"/>
      <c r="AE706" s="76"/>
      <c r="AF706" s="76"/>
      <c r="AG706" s="76"/>
      <c r="AH706" s="76"/>
      <c r="AI706" s="76"/>
      <c r="AJ706" s="76"/>
      <c r="AK706" s="76"/>
      <c r="AL706" s="76"/>
      <c r="AM706" s="76"/>
      <c r="AN706" s="76"/>
      <c r="AO706" s="76"/>
      <c r="AP706" s="76"/>
      <c r="AQ706" s="76"/>
      <c r="AR706" s="76"/>
      <c r="AS706" s="76"/>
      <c r="AT706" s="76"/>
      <c r="AU706" s="76"/>
      <c r="AV706" s="76"/>
      <c r="AW706" s="76"/>
      <c r="AX706" s="76"/>
      <c r="AY706" s="76"/>
      <c r="AZ706" s="76"/>
      <c r="BA706" s="76"/>
      <c r="BB706" s="76"/>
      <c r="BC706" s="76"/>
      <c r="BD706" s="76"/>
      <c r="BE706" s="76"/>
      <c r="BF706" s="76"/>
    </row>
    <row r="707" spans="1:58" s="153" customFormat="1" ht="14.1" customHeight="1">
      <c r="A707" s="75"/>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c r="AA707" s="76"/>
      <c r="AB707" s="76"/>
      <c r="AC707" s="76"/>
      <c r="AD707" s="76"/>
      <c r="AE707" s="76"/>
      <c r="AF707" s="76"/>
      <c r="AG707" s="76"/>
      <c r="AH707" s="76"/>
      <c r="AI707" s="76"/>
      <c r="AJ707" s="76"/>
      <c r="AK707" s="76"/>
      <c r="AL707" s="76"/>
      <c r="AM707" s="76"/>
      <c r="AN707" s="76"/>
      <c r="AO707" s="76"/>
      <c r="AP707" s="76"/>
      <c r="AQ707" s="76"/>
      <c r="AR707" s="76"/>
      <c r="AS707" s="76"/>
      <c r="AT707" s="76"/>
      <c r="AU707" s="76"/>
      <c r="AV707" s="76"/>
      <c r="AW707" s="76"/>
      <c r="AX707" s="76"/>
      <c r="AY707" s="76"/>
      <c r="AZ707" s="76"/>
      <c r="BA707" s="76"/>
      <c r="BB707" s="76"/>
      <c r="BC707" s="76"/>
      <c r="BD707" s="76"/>
      <c r="BE707" s="76"/>
      <c r="BF707" s="76"/>
    </row>
    <row r="708" spans="1:58" s="153" customFormat="1" ht="14.1" customHeight="1">
      <c r="A708" s="75"/>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c r="AA708" s="76"/>
      <c r="AB708" s="76"/>
      <c r="AC708" s="76"/>
      <c r="AD708" s="76"/>
      <c r="AE708" s="76"/>
      <c r="AF708" s="76"/>
      <c r="AG708" s="76"/>
      <c r="AH708" s="76"/>
      <c r="AI708" s="76"/>
      <c r="AJ708" s="76"/>
      <c r="AK708" s="76"/>
      <c r="AL708" s="76"/>
      <c r="AM708" s="76"/>
      <c r="AN708" s="76"/>
      <c r="AO708" s="76"/>
      <c r="AP708" s="76"/>
      <c r="AQ708" s="76"/>
      <c r="AR708" s="76"/>
      <c r="AS708" s="76"/>
      <c r="AT708" s="76"/>
      <c r="AU708" s="76"/>
      <c r="AV708" s="76"/>
      <c r="AW708" s="76"/>
      <c r="AX708" s="76"/>
      <c r="AY708" s="76"/>
      <c r="AZ708" s="76"/>
      <c r="BA708" s="76"/>
      <c r="BB708" s="76"/>
      <c r="BC708" s="76"/>
      <c r="BD708" s="76"/>
      <c r="BE708" s="76"/>
      <c r="BF708" s="76"/>
    </row>
    <row r="709" spans="1:58" s="153" customFormat="1" ht="14.1" customHeight="1">
      <c r="A709" s="75"/>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c r="AA709" s="76"/>
      <c r="AB709" s="76"/>
      <c r="AC709" s="76"/>
      <c r="AD709" s="76"/>
      <c r="AE709" s="76"/>
      <c r="AF709" s="76"/>
      <c r="AG709" s="76"/>
      <c r="AH709" s="76"/>
      <c r="AI709" s="76"/>
      <c r="AJ709" s="76"/>
      <c r="AK709" s="76"/>
      <c r="AL709" s="76"/>
      <c r="AM709" s="76"/>
      <c r="AN709" s="76"/>
      <c r="AO709" s="76"/>
      <c r="AP709" s="76"/>
      <c r="AQ709" s="76"/>
      <c r="AR709" s="76"/>
      <c r="AS709" s="76"/>
      <c r="AT709" s="76"/>
      <c r="AU709" s="76"/>
      <c r="AV709" s="76"/>
      <c r="AW709" s="76"/>
      <c r="AX709" s="76"/>
      <c r="AY709" s="76"/>
      <c r="AZ709" s="76"/>
      <c r="BA709" s="76"/>
      <c r="BB709" s="76"/>
      <c r="BC709" s="76"/>
      <c r="BD709" s="76"/>
      <c r="BE709" s="76"/>
      <c r="BF709" s="76"/>
    </row>
    <row r="710" spans="1:58" s="153" customFormat="1" ht="14.1" customHeight="1">
      <c r="A710" s="75"/>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c r="AA710" s="76"/>
      <c r="AB710" s="76"/>
      <c r="AC710" s="76"/>
      <c r="AD710" s="76"/>
      <c r="AE710" s="76"/>
      <c r="AF710" s="76"/>
      <c r="AG710" s="76"/>
      <c r="AH710" s="76"/>
      <c r="AI710" s="76"/>
      <c r="AJ710" s="76"/>
      <c r="AK710" s="76"/>
      <c r="AL710" s="76"/>
      <c r="AM710" s="76"/>
      <c r="AN710" s="76"/>
      <c r="AO710" s="76"/>
      <c r="AP710" s="76"/>
      <c r="AQ710" s="76"/>
      <c r="AR710" s="76"/>
      <c r="AS710" s="76"/>
      <c r="AT710" s="76"/>
      <c r="AU710" s="76"/>
      <c r="AV710" s="76"/>
      <c r="AW710" s="76"/>
      <c r="AX710" s="76"/>
      <c r="AY710" s="76"/>
      <c r="AZ710" s="76"/>
      <c r="BA710" s="76"/>
      <c r="BB710" s="76"/>
      <c r="BC710" s="76"/>
      <c r="BD710" s="76"/>
      <c r="BE710" s="76"/>
      <c r="BF710" s="76"/>
    </row>
    <row r="711" spans="1:58" s="153" customFormat="1" ht="14.1" customHeight="1">
      <c r="A711" s="75"/>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c r="AA711" s="76"/>
      <c r="AB711" s="76"/>
      <c r="AC711" s="76"/>
      <c r="AD711" s="76"/>
      <c r="AE711" s="76"/>
      <c r="AF711" s="76"/>
      <c r="AG711" s="76"/>
      <c r="AH711" s="76"/>
      <c r="AI711" s="76"/>
      <c r="AJ711" s="76"/>
      <c r="AK711" s="76"/>
      <c r="AL711" s="76"/>
      <c r="AM711" s="76"/>
      <c r="AN711" s="76"/>
      <c r="AO711" s="76"/>
      <c r="AP711" s="76"/>
      <c r="AQ711" s="76"/>
      <c r="AR711" s="76"/>
      <c r="AS711" s="76"/>
      <c r="AT711" s="76"/>
      <c r="AU711" s="76"/>
      <c r="AV711" s="76"/>
      <c r="AW711" s="76"/>
      <c r="AX711" s="76"/>
      <c r="AY711" s="76"/>
      <c r="AZ711" s="76"/>
      <c r="BA711" s="76"/>
      <c r="BB711" s="76"/>
      <c r="BC711" s="76"/>
      <c r="BD711" s="76"/>
      <c r="BE711" s="76"/>
      <c r="BF711" s="76"/>
    </row>
    <row r="712" spans="1:58" s="153" customFormat="1" ht="14.1" customHeight="1">
      <c r="A712" s="75"/>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c r="AA712" s="76"/>
      <c r="AB712" s="76"/>
      <c r="AC712" s="76"/>
      <c r="AD712" s="76"/>
      <c r="AE712" s="76"/>
      <c r="AF712" s="76"/>
      <c r="AG712" s="76"/>
      <c r="AH712" s="76"/>
      <c r="AI712" s="76"/>
      <c r="AJ712" s="76"/>
      <c r="AK712" s="76"/>
      <c r="AL712" s="76"/>
      <c r="AM712" s="76"/>
      <c r="AN712" s="76"/>
      <c r="AO712" s="76"/>
      <c r="AP712" s="76"/>
      <c r="AQ712" s="76"/>
      <c r="AR712" s="76"/>
      <c r="AS712" s="76"/>
      <c r="AT712" s="76"/>
      <c r="AU712" s="76"/>
      <c r="AV712" s="76"/>
      <c r="AW712" s="76"/>
      <c r="AX712" s="76"/>
      <c r="AY712" s="76"/>
      <c r="AZ712" s="76"/>
      <c r="BA712" s="76"/>
      <c r="BB712" s="76"/>
      <c r="BC712" s="76"/>
      <c r="BD712" s="76"/>
      <c r="BE712" s="76"/>
      <c r="BF712" s="76"/>
    </row>
    <row r="713" spans="1:58" s="153" customFormat="1" ht="14.1" customHeight="1">
      <c r="A713" s="75"/>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c r="AA713" s="76"/>
      <c r="AB713" s="76"/>
      <c r="AC713" s="76"/>
      <c r="AD713" s="76"/>
      <c r="AE713" s="76"/>
      <c r="AF713" s="76"/>
      <c r="AG713" s="76"/>
      <c r="AH713" s="76"/>
      <c r="AI713" s="76"/>
      <c r="AJ713" s="76"/>
      <c r="AK713" s="76"/>
      <c r="AL713" s="76"/>
      <c r="AM713" s="76"/>
      <c r="AN713" s="76"/>
      <c r="AO713" s="76"/>
      <c r="AP713" s="76"/>
      <c r="AQ713" s="76"/>
      <c r="AR713" s="76"/>
      <c r="AS713" s="76"/>
      <c r="AT713" s="76"/>
      <c r="AU713" s="76"/>
      <c r="AV713" s="76"/>
      <c r="AW713" s="76"/>
      <c r="AX713" s="76"/>
      <c r="AY713" s="76"/>
      <c r="AZ713" s="76"/>
      <c r="BA713" s="76"/>
      <c r="BB713" s="76"/>
      <c r="BC713" s="76"/>
      <c r="BD713" s="76"/>
      <c r="BE713" s="76"/>
      <c r="BF713" s="76"/>
    </row>
    <row r="714" spans="1:58" s="153" customFormat="1" ht="14.1" customHeight="1">
      <c r="A714" s="75"/>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c r="AA714" s="76"/>
      <c r="AB714" s="76"/>
      <c r="AC714" s="76"/>
      <c r="AD714" s="76"/>
      <c r="AE714" s="76"/>
      <c r="AF714" s="76"/>
      <c r="AG714" s="76"/>
      <c r="AH714" s="76"/>
      <c r="AI714" s="76"/>
      <c r="AJ714" s="76"/>
      <c r="AK714" s="76"/>
      <c r="AL714" s="76"/>
      <c r="AM714" s="76"/>
      <c r="AN714" s="76"/>
      <c r="AO714" s="76"/>
      <c r="AP714" s="76"/>
      <c r="AQ714" s="76"/>
      <c r="AR714" s="76"/>
      <c r="AS714" s="76"/>
      <c r="AT714" s="76"/>
      <c r="AU714" s="76"/>
      <c r="AV714" s="76"/>
      <c r="AW714" s="76"/>
      <c r="AX714" s="76"/>
      <c r="AY714" s="76"/>
      <c r="AZ714" s="76"/>
      <c r="BA714" s="76"/>
      <c r="BB714" s="76"/>
      <c r="BC714" s="76"/>
      <c r="BD714" s="76"/>
      <c r="BE714" s="76"/>
      <c r="BF714" s="76"/>
    </row>
    <row r="715" spans="1:58" s="153" customFormat="1" ht="14.1" customHeight="1">
      <c r="A715" s="75"/>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c r="AA715" s="76"/>
      <c r="AB715" s="76"/>
      <c r="AC715" s="76"/>
      <c r="AD715" s="76"/>
      <c r="AE715" s="76"/>
      <c r="AF715" s="76"/>
      <c r="AG715" s="76"/>
      <c r="AH715" s="76"/>
      <c r="AI715" s="76"/>
      <c r="AJ715" s="76"/>
      <c r="AK715" s="76"/>
      <c r="AL715" s="76"/>
      <c r="AM715" s="76"/>
      <c r="AN715" s="76"/>
      <c r="AO715" s="76"/>
      <c r="AP715" s="76"/>
      <c r="AQ715" s="76"/>
      <c r="AR715" s="76"/>
      <c r="AS715" s="76"/>
      <c r="AT715" s="76"/>
      <c r="AU715" s="76"/>
      <c r="AV715" s="76"/>
      <c r="AW715" s="76"/>
      <c r="AX715" s="76"/>
      <c r="AY715" s="76"/>
      <c r="AZ715" s="76"/>
      <c r="BA715" s="76"/>
      <c r="BB715" s="76"/>
      <c r="BC715" s="76"/>
      <c r="BD715" s="76"/>
      <c r="BE715" s="76"/>
      <c r="BF715" s="76"/>
    </row>
    <row r="716" spans="1:58" s="153" customFormat="1" ht="14.1" customHeight="1">
      <c r="A716" s="75"/>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c r="AA716" s="76"/>
      <c r="AB716" s="76"/>
      <c r="AC716" s="76"/>
      <c r="AD716" s="76"/>
      <c r="AE716" s="76"/>
      <c r="AF716" s="76"/>
      <c r="AG716" s="76"/>
      <c r="AH716" s="76"/>
      <c r="AI716" s="76"/>
      <c r="AJ716" s="76"/>
      <c r="AK716" s="76"/>
      <c r="AL716" s="76"/>
      <c r="AM716" s="76"/>
      <c r="AN716" s="76"/>
      <c r="AO716" s="76"/>
      <c r="AP716" s="76"/>
      <c r="AQ716" s="76"/>
      <c r="AR716" s="76"/>
      <c r="AS716" s="76"/>
      <c r="AT716" s="76"/>
      <c r="AU716" s="76"/>
      <c r="AV716" s="76"/>
      <c r="AW716" s="76"/>
      <c r="AX716" s="76"/>
      <c r="AY716" s="76"/>
      <c r="AZ716" s="76"/>
      <c r="BA716" s="76"/>
      <c r="BB716" s="76"/>
      <c r="BC716" s="76"/>
      <c r="BD716" s="76"/>
      <c r="BE716" s="76"/>
      <c r="BF716" s="76"/>
    </row>
    <row r="717" spans="1:58" s="153" customFormat="1" ht="14.1" customHeight="1">
      <c r="A717" s="75"/>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c r="AA717" s="76"/>
      <c r="AB717" s="76"/>
      <c r="AC717" s="76"/>
      <c r="AD717" s="76"/>
      <c r="AE717" s="76"/>
      <c r="AF717" s="76"/>
      <c r="AG717" s="76"/>
      <c r="AH717" s="76"/>
      <c r="AI717" s="76"/>
      <c r="AJ717" s="76"/>
      <c r="AK717" s="76"/>
      <c r="AL717" s="76"/>
      <c r="AM717" s="76"/>
      <c r="AN717" s="76"/>
      <c r="AO717" s="76"/>
      <c r="AP717" s="76"/>
      <c r="AQ717" s="76"/>
      <c r="AR717" s="76"/>
      <c r="AS717" s="76"/>
      <c r="AT717" s="76"/>
      <c r="AU717" s="76"/>
      <c r="AV717" s="76"/>
      <c r="AW717" s="76"/>
      <c r="AX717" s="76"/>
      <c r="AY717" s="76"/>
      <c r="AZ717" s="76"/>
      <c r="BA717" s="76"/>
      <c r="BB717" s="76"/>
      <c r="BC717" s="76"/>
      <c r="BD717" s="76"/>
      <c r="BE717" s="76"/>
      <c r="BF717" s="76"/>
    </row>
    <row r="718" spans="1:58" s="153" customFormat="1" ht="14.1" customHeight="1">
      <c r="A718" s="75"/>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c r="AA718" s="76"/>
      <c r="AB718" s="76"/>
      <c r="AC718" s="76"/>
      <c r="AD718" s="76"/>
      <c r="AE718" s="76"/>
      <c r="AF718" s="76"/>
      <c r="AG718" s="76"/>
      <c r="AH718" s="76"/>
      <c r="AI718" s="76"/>
      <c r="AJ718" s="76"/>
      <c r="AK718" s="76"/>
      <c r="AL718" s="76"/>
      <c r="AM718" s="76"/>
      <c r="AN718" s="76"/>
      <c r="AO718" s="76"/>
      <c r="AP718" s="76"/>
      <c r="AQ718" s="76"/>
      <c r="AR718" s="76"/>
      <c r="AS718" s="76"/>
      <c r="AT718" s="76"/>
      <c r="AU718" s="76"/>
      <c r="AV718" s="76"/>
      <c r="AW718" s="76"/>
      <c r="AX718" s="76"/>
      <c r="AY718" s="76"/>
      <c r="AZ718" s="76"/>
      <c r="BA718" s="76"/>
      <c r="BB718" s="76"/>
      <c r="BC718" s="76"/>
      <c r="BD718" s="76"/>
      <c r="BE718" s="76"/>
      <c r="BF718" s="76"/>
    </row>
    <row r="719" spans="1:58" s="153" customFormat="1" ht="14.1" customHeight="1">
      <c r="A719" s="75"/>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c r="AA719" s="76"/>
      <c r="AB719" s="76"/>
      <c r="AC719" s="76"/>
      <c r="AD719" s="76"/>
      <c r="AE719" s="76"/>
      <c r="AF719" s="76"/>
      <c r="AG719" s="76"/>
      <c r="AH719" s="76"/>
      <c r="AI719" s="76"/>
      <c r="AJ719" s="76"/>
      <c r="AK719" s="76"/>
      <c r="AL719" s="76"/>
      <c r="AM719" s="76"/>
      <c r="AN719" s="76"/>
      <c r="AO719" s="76"/>
      <c r="AP719" s="76"/>
      <c r="AQ719" s="76"/>
      <c r="AR719" s="76"/>
      <c r="AS719" s="76"/>
      <c r="AT719" s="76"/>
      <c r="AU719" s="76"/>
      <c r="AV719" s="76"/>
      <c r="AW719" s="76"/>
      <c r="AX719" s="76"/>
      <c r="AY719" s="76"/>
      <c r="AZ719" s="76"/>
      <c r="BA719" s="76"/>
      <c r="BB719" s="76"/>
      <c r="BC719" s="76"/>
      <c r="BD719" s="76"/>
      <c r="BE719" s="76"/>
      <c r="BF719" s="76"/>
    </row>
    <row r="720" spans="1:58" s="153" customFormat="1" ht="14.1" customHeight="1">
      <c r="A720" s="75"/>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c r="AA720" s="76"/>
      <c r="AB720" s="76"/>
      <c r="AC720" s="76"/>
      <c r="AD720" s="76"/>
      <c r="AE720" s="76"/>
      <c r="AF720" s="76"/>
      <c r="AG720" s="76"/>
      <c r="AH720" s="76"/>
      <c r="AI720" s="76"/>
      <c r="AJ720" s="76"/>
      <c r="AK720" s="76"/>
      <c r="AL720" s="76"/>
      <c r="AM720" s="76"/>
      <c r="AN720" s="76"/>
      <c r="AO720" s="76"/>
      <c r="AP720" s="76"/>
      <c r="AQ720" s="76"/>
      <c r="AR720" s="76"/>
      <c r="AS720" s="76"/>
      <c r="AT720" s="76"/>
      <c r="AU720" s="76"/>
      <c r="AV720" s="76"/>
      <c r="AW720" s="76"/>
      <c r="AX720" s="76"/>
      <c r="AY720" s="76"/>
      <c r="AZ720" s="76"/>
      <c r="BA720" s="76"/>
      <c r="BB720" s="76"/>
      <c r="BC720" s="76"/>
      <c r="BD720" s="76"/>
      <c r="BE720" s="76"/>
      <c r="BF720" s="76"/>
    </row>
    <row r="721" spans="1:58" s="153" customFormat="1" ht="14.1" customHeight="1">
      <c r="A721" s="75"/>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c r="AA721" s="76"/>
      <c r="AB721" s="76"/>
      <c r="AC721" s="76"/>
      <c r="AD721" s="76"/>
      <c r="AE721" s="76"/>
      <c r="AF721" s="76"/>
      <c r="AG721" s="76"/>
      <c r="AH721" s="76"/>
      <c r="AI721" s="76"/>
      <c r="AJ721" s="76"/>
      <c r="AK721" s="76"/>
      <c r="AL721" s="76"/>
      <c r="AM721" s="76"/>
      <c r="AN721" s="76"/>
      <c r="AO721" s="76"/>
      <c r="AP721" s="76"/>
      <c r="AQ721" s="76"/>
      <c r="AR721" s="76"/>
      <c r="AS721" s="76"/>
      <c r="AT721" s="76"/>
      <c r="AU721" s="76"/>
      <c r="AV721" s="76"/>
      <c r="AW721" s="76"/>
      <c r="AX721" s="76"/>
      <c r="AY721" s="76"/>
      <c r="AZ721" s="76"/>
      <c r="BA721" s="76"/>
      <c r="BB721" s="76"/>
      <c r="BC721" s="76"/>
      <c r="BD721" s="76"/>
      <c r="BE721" s="76"/>
      <c r="BF721" s="76"/>
    </row>
    <row r="722" spans="1:58" s="153" customFormat="1" ht="14.1" customHeight="1">
      <c r="A722" s="75"/>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c r="AA722" s="76"/>
      <c r="AB722" s="76"/>
      <c r="AC722" s="76"/>
      <c r="AD722" s="76"/>
      <c r="AE722" s="76"/>
      <c r="AF722" s="76"/>
      <c r="AG722" s="76"/>
      <c r="AH722" s="76"/>
      <c r="AI722" s="76"/>
      <c r="AJ722" s="76"/>
      <c r="AK722" s="76"/>
      <c r="AL722" s="76"/>
      <c r="AM722" s="76"/>
      <c r="AN722" s="76"/>
      <c r="AO722" s="76"/>
      <c r="AP722" s="76"/>
      <c r="AQ722" s="76"/>
      <c r="AR722" s="76"/>
      <c r="AS722" s="76"/>
      <c r="AT722" s="76"/>
      <c r="AU722" s="76"/>
      <c r="AV722" s="76"/>
      <c r="AW722" s="76"/>
      <c r="AX722" s="76"/>
      <c r="AY722" s="76"/>
      <c r="AZ722" s="76"/>
      <c r="BA722" s="76"/>
      <c r="BB722" s="76"/>
      <c r="BC722" s="76"/>
      <c r="BD722" s="76"/>
      <c r="BE722" s="76"/>
      <c r="BF722" s="76"/>
    </row>
    <row r="723" spans="1:58" s="153" customFormat="1" ht="14.1" customHeight="1">
      <c r="A723" s="75"/>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c r="AA723" s="76"/>
      <c r="AB723" s="76"/>
      <c r="AC723" s="76"/>
      <c r="AD723" s="76"/>
      <c r="AE723" s="76"/>
      <c r="AF723" s="76"/>
      <c r="AG723" s="76"/>
      <c r="AH723" s="76"/>
      <c r="AI723" s="76"/>
      <c r="AJ723" s="76"/>
      <c r="AK723" s="76"/>
      <c r="AL723" s="76"/>
      <c r="AM723" s="76"/>
      <c r="AN723" s="76"/>
      <c r="AO723" s="76"/>
      <c r="AP723" s="76"/>
      <c r="AQ723" s="76"/>
      <c r="AR723" s="76"/>
      <c r="AS723" s="76"/>
      <c r="AT723" s="76"/>
      <c r="AU723" s="76"/>
      <c r="AV723" s="76"/>
      <c r="AW723" s="76"/>
      <c r="AX723" s="76"/>
      <c r="AY723" s="76"/>
      <c r="AZ723" s="76"/>
      <c r="BA723" s="76"/>
      <c r="BB723" s="76"/>
      <c r="BC723" s="76"/>
      <c r="BD723" s="76"/>
      <c r="BE723" s="76"/>
      <c r="BF723" s="76"/>
    </row>
    <row r="724" spans="1:58" s="153" customFormat="1" ht="14.1" customHeight="1">
      <c r="A724" s="75"/>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c r="AA724" s="76"/>
      <c r="AB724" s="76"/>
      <c r="AC724" s="76"/>
      <c r="AD724" s="76"/>
      <c r="AE724" s="76"/>
      <c r="AF724" s="76"/>
      <c r="AG724" s="76"/>
      <c r="AH724" s="76"/>
      <c r="AI724" s="76"/>
      <c r="AJ724" s="76"/>
      <c r="AK724" s="76"/>
      <c r="AL724" s="76"/>
      <c r="AM724" s="76"/>
      <c r="AN724" s="76"/>
      <c r="AO724" s="76"/>
      <c r="AP724" s="76"/>
      <c r="AQ724" s="76"/>
      <c r="AR724" s="76"/>
      <c r="AS724" s="76"/>
      <c r="AT724" s="76"/>
      <c r="AU724" s="76"/>
      <c r="AV724" s="76"/>
      <c r="AW724" s="76"/>
      <c r="AX724" s="76"/>
      <c r="AY724" s="76"/>
      <c r="AZ724" s="76"/>
      <c r="BA724" s="76"/>
      <c r="BB724" s="76"/>
      <c r="BC724" s="76"/>
      <c r="BD724" s="76"/>
      <c r="BE724" s="76"/>
      <c r="BF724" s="76"/>
    </row>
    <row r="725" spans="1:58" s="153" customFormat="1" ht="14.1" customHeight="1">
      <c r="A725" s="75"/>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c r="AA725" s="76"/>
      <c r="AB725" s="76"/>
      <c r="AC725" s="76"/>
      <c r="AD725" s="76"/>
      <c r="AE725" s="76"/>
      <c r="AF725" s="76"/>
      <c r="AG725" s="76"/>
      <c r="AH725" s="76"/>
      <c r="AI725" s="76"/>
      <c r="AJ725" s="76"/>
      <c r="AK725" s="76"/>
      <c r="AL725" s="76"/>
      <c r="AM725" s="76"/>
      <c r="AN725" s="76"/>
      <c r="AO725" s="76"/>
      <c r="AP725" s="76"/>
      <c r="AQ725" s="76"/>
      <c r="AR725" s="76"/>
      <c r="AS725" s="76"/>
      <c r="AT725" s="76"/>
      <c r="AU725" s="76"/>
      <c r="AV725" s="76"/>
      <c r="AW725" s="76"/>
      <c r="AX725" s="76"/>
      <c r="AY725" s="76"/>
      <c r="AZ725" s="76"/>
      <c r="BA725" s="76"/>
      <c r="BB725" s="76"/>
      <c r="BC725" s="76"/>
      <c r="BD725" s="76"/>
      <c r="BE725" s="76"/>
      <c r="BF725" s="76"/>
    </row>
    <row r="726" spans="1:58" s="153" customFormat="1" ht="14.1" customHeight="1">
      <c r="A726" s="7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c r="AA726" s="76"/>
      <c r="AB726" s="76"/>
      <c r="AC726" s="76"/>
      <c r="AD726" s="76"/>
      <c r="AE726" s="76"/>
      <c r="AF726" s="76"/>
      <c r="AG726" s="76"/>
      <c r="AH726" s="76"/>
      <c r="AI726" s="76"/>
      <c r="AJ726" s="76"/>
      <c r="AK726" s="76"/>
      <c r="AL726" s="76"/>
      <c r="AM726" s="76"/>
      <c r="AN726" s="76"/>
      <c r="AO726" s="76"/>
      <c r="AP726" s="76"/>
      <c r="AQ726" s="76"/>
      <c r="AR726" s="76"/>
      <c r="AS726" s="76"/>
      <c r="AT726" s="76"/>
      <c r="AU726" s="76"/>
      <c r="AV726" s="76"/>
      <c r="AW726" s="76"/>
      <c r="AX726" s="76"/>
      <c r="AY726" s="76"/>
      <c r="AZ726" s="76"/>
      <c r="BA726" s="76"/>
      <c r="BB726" s="76"/>
      <c r="BC726" s="76"/>
      <c r="BD726" s="76"/>
      <c r="BE726" s="76"/>
      <c r="BF726" s="76"/>
    </row>
    <row r="727" spans="1:58" s="153" customFormat="1" ht="14.1" customHeight="1">
      <c r="A727" s="75"/>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c r="AA727" s="76"/>
      <c r="AB727" s="76"/>
      <c r="AC727" s="76"/>
      <c r="AD727" s="76"/>
      <c r="AE727" s="76"/>
      <c r="AF727" s="76"/>
      <c r="AG727" s="76"/>
      <c r="AH727" s="76"/>
      <c r="AI727" s="76"/>
      <c r="AJ727" s="76"/>
      <c r="AK727" s="76"/>
      <c r="AL727" s="76"/>
      <c r="AM727" s="76"/>
      <c r="AN727" s="76"/>
      <c r="AO727" s="76"/>
      <c r="AP727" s="76"/>
      <c r="AQ727" s="76"/>
      <c r="AR727" s="76"/>
      <c r="AS727" s="76"/>
      <c r="AT727" s="76"/>
      <c r="AU727" s="76"/>
      <c r="AV727" s="76"/>
      <c r="AW727" s="76"/>
      <c r="AX727" s="76"/>
      <c r="AY727" s="76"/>
      <c r="AZ727" s="76"/>
      <c r="BA727" s="76"/>
      <c r="BB727" s="76"/>
      <c r="BC727" s="76"/>
      <c r="BD727" s="76"/>
      <c r="BE727" s="76"/>
      <c r="BF727" s="76"/>
    </row>
    <row r="728" spans="1:58" s="153" customFormat="1" ht="14.1" customHeight="1">
      <c r="A728" s="75"/>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c r="AA728" s="76"/>
      <c r="AB728" s="76"/>
      <c r="AC728" s="76"/>
      <c r="AD728" s="76"/>
      <c r="AE728" s="76"/>
      <c r="AF728" s="76"/>
      <c r="AG728" s="76"/>
      <c r="AH728" s="76"/>
      <c r="AI728" s="76"/>
      <c r="AJ728" s="76"/>
      <c r="AK728" s="76"/>
      <c r="AL728" s="76"/>
      <c r="AM728" s="76"/>
      <c r="AN728" s="76"/>
      <c r="AO728" s="76"/>
      <c r="AP728" s="76"/>
      <c r="AQ728" s="76"/>
      <c r="AR728" s="76"/>
      <c r="AS728" s="76"/>
      <c r="AT728" s="76"/>
      <c r="AU728" s="76"/>
      <c r="AV728" s="76"/>
      <c r="AW728" s="76"/>
      <c r="AX728" s="76"/>
      <c r="AY728" s="76"/>
      <c r="AZ728" s="76"/>
      <c r="BA728" s="76"/>
      <c r="BB728" s="76"/>
      <c r="BC728" s="76"/>
      <c r="BD728" s="76"/>
      <c r="BE728" s="76"/>
      <c r="BF728" s="76"/>
    </row>
    <row r="729" spans="1:58" s="153" customFormat="1" ht="14.1" customHeight="1">
      <c r="A729" s="75"/>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c r="AA729" s="76"/>
      <c r="AB729" s="76"/>
      <c r="AC729" s="76"/>
      <c r="AD729" s="76"/>
      <c r="AE729" s="76"/>
      <c r="AF729" s="76"/>
      <c r="AG729" s="76"/>
      <c r="AH729" s="76"/>
      <c r="AI729" s="76"/>
      <c r="AJ729" s="76"/>
      <c r="AK729" s="76"/>
      <c r="AL729" s="76"/>
      <c r="AM729" s="76"/>
      <c r="AN729" s="76"/>
      <c r="AO729" s="76"/>
      <c r="AP729" s="76"/>
      <c r="AQ729" s="76"/>
      <c r="AR729" s="76"/>
      <c r="AS729" s="76"/>
      <c r="AT729" s="76"/>
      <c r="AU729" s="76"/>
      <c r="AV729" s="76"/>
      <c r="AW729" s="76"/>
      <c r="AX729" s="76"/>
      <c r="AY729" s="76"/>
      <c r="AZ729" s="76"/>
      <c r="BA729" s="76"/>
      <c r="BB729" s="76"/>
      <c r="BC729" s="76"/>
      <c r="BD729" s="76"/>
      <c r="BE729" s="76"/>
      <c r="BF729" s="76"/>
    </row>
    <row r="730" spans="1:58" s="153" customFormat="1" ht="14.1" customHeight="1">
      <c r="A730" s="75"/>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c r="AA730" s="76"/>
      <c r="AB730" s="76"/>
      <c r="AC730" s="76"/>
      <c r="AD730" s="76"/>
      <c r="AE730" s="76"/>
      <c r="AF730" s="76"/>
      <c r="AG730" s="76"/>
      <c r="AH730" s="76"/>
      <c r="AI730" s="76"/>
      <c r="AJ730" s="76"/>
      <c r="AK730" s="76"/>
      <c r="AL730" s="76"/>
      <c r="AM730" s="76"/>
      <c r="AN730" s="76"/>
      <c r="AO730" s="76"/>
      <c r="AP730" s="76"/>
      <c r="AQ730" s="76"/>
      <c r="AR730" s="76"/>
      <c r="AS730" s="76"/>
      <c r="AT730" s="76"/>
      <c r="AU730" s="76"/>
      <c r="AV730" s="76"/>
      <c r="AW730" s="76"/>
      <c r="AX730" s="76"/>
      <c r="AY730" s="76"/>
      <c r="AZ730" s="76"/>
      <c r="BA730" s="76"/>
      <c r="BB730" s="76"/>
      <c r="BC730" s="76"/>
      <c r="BD730" s="76"/>
      <c r="BE730" s="76"/>
      <c r="BF730" s="76"/>
    </row>
    <row r="731" spans="1:58" s="153" customFormat="1" ht="14.1" customHeight="1">
      <c r="A731" s="75"/>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c r="AA731" s="76"/>
      <c r="AB731" s="76"/>
      <c r="AC731" s="76"/>
      <c r="AD731" s="76"/>
      <c r="AE731" s="76"/>
      <c r="AF731" s="76"/>
      <c r="AG731" s="76"/>
      <c r="AH731" s="76"/>
      <c r="AI731" s="76"/>
      <c r="AJ731" s="76"/>
      <c r="AK731" s="76"/>
      <c r="AL731" s="76"/>
      <c r="AM731" s="76"/>
      <c r="AN731" s="76"/>
      <c r="AO731" s="76"/>
      <c r="AP731" s="76"/>
      <c r="AQ731" s="76"/>
      <c r="AR731" s="76"/>
      <c r="AS731" s="76"/>
      <c r="AT731" s="76"/>
      <c r="AU731" s="76"/>
      <c r="AV731" s="76"/>
      <c r="AW731" s="76"/>
      <c r="AX731" s="76"/>
      <c r="AY731" s="76"/>
      <c r="AZ731" s="76"/>
      <c r="BA731" s="76"/>
      <c r="BB731" s="76"/>
      <c r="BC731" s="76"/>
      <c r="BD731" s="76"/>
      <c r="BE731" s="76"/>
      <c r="BF731" s="76"/>
    </row>
    <row r="732" spans="1:58" s="153" customFormat="1" ht="14.1" customHeight="1">
      <c r="A732" s="75"/>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c r="AA732" s="76"/>
      <c r="AB732" s="76"/>
      <c r="AC732" s="76"/>
      <c r="AD732" s="76"/>
      <c r="AE732" s="76"/>
      <c r="AF732" s="76"/>
      <c r="AG732" s="76"/>
      <c r="AH732" s="76"/>
      <c r="AI732" s="76"/>
      <c r="AJ732" s="76"/>
      <c r="AK732" s="76"/>
      <c r="AL732" s="76"/>
      <c r="AM732" s="76"/>
      <c r="AN732" s="76"/>
      <c r="AO732" s="76"/>
      <c r="AP732" s="76"/>
      <c r="AQ732" s="76"/>
      <c r="AR732" s="76"/>
      <c r="AS732" s="76"/>
      <c r="AT732" s="76"/>
      <c r="AU732" s="76"/>
      <c r="AV732" s="76"/>
      <c r="AW732" s="76"/>
      <c r="AX732" s="76"/>
      <c r="AY732" s="76"/>
      <c r="AZ732" s="76"/>
      <c r="BA732" s="76"/>
      <c r="BB732" s="76"/>
      <c r="BC732" s="76"/>
      <c r="BD732" s="76"/>
      <c r="BE732" s="76"/>
      <c r="BF732" s="76"/>
    </row>
    <row r="733" spans="1:58" s="153" customFormat="1" ht="14.1" customHeight="1">
      <c r="A733" s="75"/>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c r="AA733" s="76"/>
      <c r="AB733" s="76"/>
      <c r="AC733" s="76"/>
      <c r="AD733" s="76"/>
      <c r="AE733" s="76"/>
      <c r="AF733" s="76"/>
      <c r="AG733" s="76"/>
      <c r="AH733" s="76"/>
      <c r="AI733" s="76"/>
      <c r="AJ733" s="76"/>
      <c r="AK733" s="76"/>
      <c r="AL733" s="76"/>
      <c r="AM733" s="76"/>
      <c r="AN733" s="76"/>
      <c r="AO733" s="76"/>
      <c r="AP733" s="76"/>
      <c r="AQ733" s="76"/>
      <c r="AR733" s="76"/>
      <c r="AS733" s="76"/>
      <c r="AT733" s="76"/>
      <c r="AU733" s="76"/>
      <c r="AV733" s="76"/>
      <c r="AW733" s="76"/>
      <c r="AX733" s="76"/>
      <c r="AY733" s="76"/>
      <c r="AZ733" s="76"/>
      <c r="BA733" s="76"/>
      <c r="BB733" s="76"/>
      <c r="BC733" s="76"/>
      <c r="BD733" s="76"/>
      <c r="BE733" s="76"/>
      <c r="BF733" s="76"/>
    </row>
    <row r="734" spans="1:58" s="153" customFormat="1" ht="14.1" customHeight="1">
      <c r="A734" s="75"/>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c r="AA734" s="76"/>
      <c r="AB734" s="76"/>
      <c r="AC734" s="76"/>
      <c r="AD734" s="76"/>
      <c r="AE734" s="76"/>
      <c r="AF734" s="76"/>
      <c r="AG734" s="76"/>
      <c r="AH734" s="76"/>
      <c r="AI734" s="76"/>
      <c r="AJ734" s="76"/>
      <c r="AK734" s="76"/>
      <c r="AL734" s="76"/>
      <c r="AM734" s="76"/>
      <c r="AN734" s="76"/>
      <c r="AO734" s="76"/>
      <c r="AP734" s="76"/>
      <c r="AQ734" s="76"/>
      <c r="AR734" s="76"/>
      <c r="AS734" s="76"/>
      <c r="AT734" s="76"/>
      <c r="AU734" s="76"/>
      <c r="AV734" s="76"/>
      <c r="AW734" s="76"/>
      <c r="AX734" s="76"/>
      <c r="AY734" s="76"/>
      <c r="AZ734" s="76"/>
      <c r="BA734" s="76"/>
      <c r="BB734" s="76"/>
      <c r="BC734" s="76"/>
      <c r="BD734" s="76"/>
      <c r="BE734" s="76"/>
      <c r="BF734" s="76"/>
    </row>
    <row r="735" spans="1:58" s="153" customFormat="1" ht="14.1" customHeight="1">
      <c r="A735" s="75"/>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c r="AA735" s="76"/>
      <c r="AB735" s="76"/>
      <c r="AC735" s="76"/>
      <c r="AD735" s="76"/>
      <c r="AE735" s="76"/>
      <c r="AF735" s="76"/>
      <c r="AG735" s="76"/>
      <c r="AH735" s="76"/>
      <c r="AI735" s="76"/>
      <c r="AJ735" s="76"/>
      <c r="AK735" s="76"/>
      <c r="AL735" s="76"/>
      <c r="AM735" s="76"/>
      <c r="AN735" s="76"/>
      <c r="AO735" s="76"/>
      <c r="AP735" s="76"/>
      <c r="AQ735" s="76"/>
      <c r="AR735" s="76"/>
      <c r="AS735" s="76"/>
      <c r="AT735" s="76"/>
      <c r="AU735" s="76"/>
      <c r="AV735" s="76"/>
      <c r="AW735" s="76"/>
      <c r="AX735" s="76"/>
      <c r="AY735" s="76"/>
      <c r="AZ735" s="76"/>
      <c r="BA735" s="76"/>
      <c r="BB735" s="76"/>
      <c r="BC735" s="76"/>
      <c r="BD735" s="76"/>
      <c r="BE735" s="76"/>
      <c r="BF735" s="76"/>
    </row>
    <row r="736" spans="1:58" s="153" customFormat="1" ht="14.1" customHeight="1">
      <c r="A736" s="75"/>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c r="AA736" s="76"/>
      <c r="AB736" s="76"/>
      <c r="AC736" s="76"/>
      <c r="AD736" s="76"/>
      <c r="AE736" s="76"/>
      <c r="AF736" s="76"/>
      <c r="AG736" s="76"/>
      <c r="AH736" s="76"/>
      <c r="AI736" s="76"/>
      <c r="AJ736" s="76"/>
      <c r="AK736" s="76"/>
      <c r="AL736" s="76"/>
      <c r="AM736" s="76"/>
      <c r="AN736" s="76"/>
      <c r="AO736" s="76"/>
      <c r="AP736" s="76"/>
      <c r="AQ736" s="76"/>
      <c r="AR736" s="76"/>
      <c r="AS736" s="76"/>
      <c r="AT736" s="76"/>
      <c r="AU736" s="76"/>
      <c r="AV736" s="76"/>
      <c r="AW736" s="76"/>
      <c r="AX736" s="76"/>
      <c r="AY736" s="76"/>
      <c r="AZ736" s="76"/>
      <c r="BA736" s="76"/>
      <c r="BB736" s="76"/>
      <c r="BC736" s="76"/>
      <c r="BD736" s="76"/>
      <c r="BE736" s="76"/>
      <c r="BF736" s="76"/>
    </row>
    <row r="737" spans="1:58" s="153" customFormat="1" ht="14.1" customHeight="1">
      <c r="A737" s="75"/>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c r="AA737" s="76"/>
      <c r="AB737" s="76"/>
      <c r="AC737" s="76"/>
      <c r="AD737" s="76"/>
      <c r="AE737" s="76"/>
      <c r="AF737" s="76"/>
      <c r="AG737" s="76"/>
      <c r="AH737" s="76"/>
      <c r="AI737" s="76"/>
      <c r="AJ737" s="76"/>
      <c r="AK737" s="76"/>
      <c r="AL737" s="76"/>
      <c r="AM737" s="76"/>
      <c r="AN737" s="76"/>
      <c r="AO737" s="76"/>
      <c r="AP737" s="76"/>
      <c r="AQ737" s="76"/>
      <c r="AR737" s="76"/>
      <c r="AS737" s="76"/>
      <c r="AT737" s="76"/>
      <c r="AU737" s="76"/>
      <c r="AV737" s="76"/>
      <c r="AW737" s="76"/>
      <c r="AX737" s="76"/>
      <c r="AY737" s="76"/>
      <c r="AZ737" s="76"/>
      <c r="BA737" s="76"/>
      <c r="BB737" s="76"/>
      <c r="BC737" s="76"/>
      <c r="BD737" s="76"/>
      <c r="BE737" s="76"/>
      <c r="BF737" s="76"/>
    </row>
    <row r="738" spans="1:58" s="153" customFormat="1" ht="14.1" customHeight="1">
      <c r="A738" s="75"/>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c r="AA738" s="76"/>
      <c r="AB738" s="76"/>
      <c r="AC738" s="76"/>
      <c r="AD738" s="76"/>
      <c r="AE738" s="76"/>
      <c r="AF738" s="76"/>
      <c r="AG738" s="76"/>
      <c r="AH738" s="76"/>
      <c r="AI738" s="76"/>
      <c r="AJ738" s="76"/>
      <c r="AK738" s="76"/>
      <c r="AL738" s="76"/>
      <c r="AM738" s="76"/>
      <c r="AN738" s="76"/>
      <c r="AO738" s="76"/>
      <c r="AP738" s="76"/>
      <c r="AQ738" s="76"/>
      <c r="AR738" s="76"/>
      <c r="AS738" s="76"/>
      <c r="AT738" s="76"/>
      <c r="AU738" s="76"/>
      <c r="AV738" s="76"/>
      <c r="AW738" s="76"/>
      <c r="AX738" s="76"/>
      <c r="AY738" s="76"/>
      <c r="AZ738" s="76"/>
      <c r="BA738" s="76"/>
      <c r="BB738" s="76"/>
      <c r="BC738" s="76"/>
      <c r="BD738" s="76"/>
      <c r="BE738" s="76"/>
      <c r="BF738" s="76"/>
    </row>
    <row r="739" spans="1:58" s="153" customFormat="1" ht="14.1" customHeight="1">
      <c r="A739" s="75"/>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c r="AA739" s="76"/>
      <c r="AB739" s="76"/>
      <c r="AC739" s="76"/>
      <c r="AD739" s="76"/>
      <c r="AE739" s="76"/>
      <c r="AF739" s="76"/>
      <c r="AG739" s="76"/>
      <c r="AH739" s="76"/>
      <c r="AI739" s="76"/>
      <c r="AJ739" s="76"/>
      <c r="AK739" s="76"/>
      <c r="AL739" s="76"/>
      <c r="AM739" s="76"/>
      <c r="AN739" s="76"/>
      <c r="AO739" s="76"/>
      <c r="AP739" s="76"/>
      <c r="AQ739" s="76"/>
      <c r="AR739" s="76"/>
      <c r="AS739" s="76"/>
      <c r="AT739" s="76"/>
      <c r="AU739" s="76"/>
      <c r="AV739" s="76"/>
      <c r="AW739" s="76"/>
      <c r="AX739" s="76"/>
      <c r="AY739" s="76"/>
      <c r="AZ739" s="76"/>
      <c r="BA739" s="76"/>
      <c r="BB739" s="76"/>
      <c r="BC739" s="76"/>
      <c r="BD739" s="76"/>
      <c r="BE739" s="76"/>
      <c r="BF739" s="76"/>
    </row>
    <row r="740" spans="1:58" s="153" customFormat="1" ht="14.1" customHeight="1">
      <c r="A740" s="75"/>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c r="AA740" s="76"/>
      <c r="AB740" s="76"/>
      <c r="AC740" s="76"/>
      <c r="AD740" s="76"/>
      <c r="AE740" s="76"/>
      <c r="AF740" s="76"/>
      <c r="AG740" s="76"/>
      <c r="AH740" s="76"/>
      <c r="AI740" s="76"/>
      <c r="AJ740" s="76"/>
      <c r="AK740" s="76"/>
      <c r="AL740" s="76"/>
      <c r="AM740" s="76"/>
      <c r="AN740" s="76"/>
      <c r="AO740" s="76"/>
      <c r="AP740" s="76"/>
      <c r="AQ740" s="76"/>
      <c r="AR740" s="76"/>
      <c r="AS740" s="76"/>
      <c r="AT740" s="76"/>
      <c r="AU740" s="76"/>
      <c r="AV740" s="76"/>
      <c r="AW740" s="76"/>
      <c r="AX740" s="76"/>
      <c r="AY740" s="76"/>
      <c r="AZ740" s="76"/>
      <c r="BA740" s="76"/>
      <c r="BB740" s="76"/>
      <c r="BC740" s="76"/>
      <c r="BD740" s="76"/>
      <c r="BE740" s="76"/>
      <c r="BF740" s="76"/>
    </row>
    <row r="741" spans="1:58" s="153" customFormat="1" ht="14.1" customHeight="1">
      <c r="A741" s="75"/>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c r="AA741" s="76"/>
      <c r="AB741" s="76"/>
      <c r="AC741" s="76"/>
      <c r="AD741" s="76"/>
      <c r="AE741" s="76"/>
      <c r="AF741" s="76"/>
      <c r="AG741" s="76"/>
      <c r="AH741" s="76"/>
      <c r="AI741" s="76"/>
      <c r="AJ741" s="76"/>
      <c r="AK741" s="76"/>
      <c r="AL741" s="76"/>
      <c r="AM741" s="76"/>
      <c r="AN741" s="76"/>
      <c r="AO741" s="76"/>
      <c r="AP741" s="76"/>
      <c r="AQ741" s="76"/>
      <c r="AR741" s="76"/>
      <c r="AS741" s="76"/>
      <c r="AT741" s="76"/>
      <c r="AU741" s="76"/>
      <c r="AV741" s="76"/>
      <c r="AW741" s="76"/>
      <c r="AX741" s="76"/>
      <c r="AY741" s="76"/>
      <c r="AZ741" s="76"/>
      <c r="BA741" s="76"/>
      <c r="BB741" s="76"/>
      <c r="BC741" s="76"/>
      <c r="BD741" s="76"/>
      <c r="BE741" s="76"/>
      <c r="BF741" s="76"/>
    </row>
    <row r="742" spans="1:58" s="153" customFormat="1" ht="14.1" customHeight="1">
      <c r="A742" s="75"/>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c r="AA742" s="76"/>
      <c r="AB742" s="76"/>
      <c r="AC742" s="76"/>
      <c r="AD742" s="76"/>
      <c r="AE742" s="76"/>
      <c r="AF742" s="76"/>
      <c r="AG742" s="76"/>
      <c r="AH742" s="76"/>
      <c r="AI742" s="76"/>
      <c r="AJ742" s="76"/>
      <c r="AK742" s="76"/>
      <c r="AL742" s="76"/>
      <c r="AM742" s="76"/>
      <c r="AN742" s="76"/>
      <c r="AO742" s="76"/>
      <c r="AP742" s="76"/>
      <c r="AQ742" s="76"/>
      <c r="AR742" s="76"/>
      <c r="AS742" s="76"/>
      <c r="AT742" s="76"/>
      <c r="AU742" s="76"/>
      <c r="AV742" s="76"/>
      <c r="AW742" s="76"/>
      <c r="AX742" s="76"/>
      <c r="AY742" s="76"/>
      <c r="AZ742" s="76"/>
      <c r="BA742" s="76"/>
      <c r="BB742" s="76"/>
      <c r="BC742" s="76"/>
      <c r="BD742" s="76"/>
      <c r="BE742" s="76"/>
      <c r="BF742" s="76"/>
    </row>
    <row r="743" spans="1:58" s="153" customFormat="1" ht="14.1" customHeight="1">
      <c r="A743" s="75"/>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c r="AA743" s="76"/>
      <c r="AB743" s="76"/>
      <c r="AC743" s="76"/>
      <c r="AD743" s="76"/>
      <c r="AE743" s="76"/>
      <c r="AF743" s="76"/>
      <c r="AG743" s="76"/>
      <c r="AH743" s="76"/>
      <c r="AI743" s="76"/>
      <c r="AJ743" s="76"/>
      <c r="AK743" s="76"/>
      <c r="AL743" s="76"/>
      <c r="AM743" s="76"/>
      <c r="AN743" s="76"/>
      <c r="AO743" s="76"/>
      <c r="AP743" s="76"/>
      <c r="AQ743" s="76"/>
      <c r="AR743" s="76"/>
      <c r="AS743" s="76"/>
      <c r="AT743" s="76"/>
      <c r="AU743" s="76"/>
      <c r="AV743" s="76"/>
      <c r="AW743" s="76"/>
      <c r="AX743" s="76"/>
      <c r="AY743" s="76"/>
      <c r="AZ743" s="76"/>
      <c r="BA743" s="76"/>
      <c r="BB743" s="76"/>
      <c r="BC743" s="76"/>
      <c r="BD743" s="76"/>
      <c r="BE743" s="76"/>
      <c r="BF743" s="76"/>
    </row>
    <row r="744" spans="1:58" s="153" customFormat="1" ht="14.1" customHeight="1">
      <c r="A744" s="75"/>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c r="AA744" s="76"/>
      <c r="AB744" s="76"/>
      <c r="AC744" s="76"/>
      <c r="AD744" s="76"/>
      <c r="AE744" s="76"/>
      <c r="AF744" s="76"/>
      <c r="AG744" s="76"/>
      <c r="AH744" s="76"/>
      <c r="AI744" s="76"/>
      <c r="AJ744" s="76"/>
      <c r="AK744" s="76"/>
      <c r="AL744" s="76"/>
      <c r="AM744" s="76"/>
      <c r="AN744" s="76"/>
      <c r="AO744" s="76"/>
      <c r="AP744" s="76"/>
      <c r="AQ744" s="76"/>
      <c r="AR744" s="76"/>
      <c r="AS744" s="76"/>
      <c r="AT744" s="76"/>
      <c r="AU744" s="76"/>
      <c r="AV744" s="76"/>
      <c r="AW744" s="76"/>
      <c r="AX744" s="76"/>
      <c r="AY744" s="76"/>
      <c r="AZ744" s="76"/>
      <c r="BA744" s="76"/>
      <c r="BB744" s="76"/>
      <c r="BC744" s="76"/>
      <c r="BD744" s="76"/>
      <c r="BE744" s="76"/>
      <c r="BF744" s="76"/>
    </row>
    <row r="745" spans="1:58" s="153" customFormat="1" ht="14.1" customHeight="1">
      <c r="A745" s="75"/>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c r="AA745" s="76"/>
      <c r="AB745" s="76"/>
      <c r="AC745" s="76"/>
      <c r="AD745" s="76"/>
      <c r="AE745" s="76"/>
      <c r="AF745" s="76"/>
      <c r="AG745" s="76"/>
      <c r="AH745" s="76"/>
      <c r="AI745" s="76"/>
      <c r="AJ745" s="76"/>
      <c r="AK745" s="76"/>
      <c r="AL745" s="76"/>
      <c r="AM745" s="76"/>
      <c r="AN745" s="76"/>
      <c r="AO745" s="76"/>
      <c r="AP745" s="76"/>
      <c r="AQ745" s="76"/>
      <c r="AR745" s="76"/>
      <c r="AS745" s="76"/>
      <c r="AT745" s="76"/>
      <c r="AU745" s="76"/>
      <c r="AV745" s="76"/>
      <c r="AW745" s="76"/>
      <c r="AX745" s="76"/>
      <c r="AY745" s="76"/>
      <c r="AZ745" s="76"/>
      <c r="BA745" s="76"/>
      <c r="BB745" s="76"/>
      <c r="BC745" s="76"/>
      <c r="BD745" s="76"/>
      <c r="BE745" s="76"/>
      <c r="BF745" s="76"/>
    </row>
    <row r="746" spans="1:58" s="153" customFormat="1" ht="14.1" customHeight="1">
      <c r="A746" s="75"/>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c r="AA746" s="76"/>
      <c r="AB746" s="76"/>
      <c r="AC746" s="76"/>
      <c r="AD746" s="76"/>
      <c r="AE746" s="76"/>
      <c r="AF746" s="76"/>
      <c r="AG746" s="76"/>
      <c r="AH746" s="76"/>
      <c r="AI746" s="76"/>
      <c r="AJ746" s="76"/>
      <c r="AK746" s="76"/>
      <c r="AL746" s="76"/>
      <c r="AM746" s="76"/>
      <c r="AN746" s="76"/>
      <c r="AO746" s="76"/>
      <c r="AP746" s="76"/>
      <c r="AQ746" s="76"/>
      <c r="AR746" s="76"/>
      <c r="AS746" s="76"/>
      <c r="AT746" s="76"/>
      <c r="AU746" s="76"/>
      <c r="AV746" s="76"/>
      <c r="AW746" s="76"/>
      <c r="AX746" s="76"/>
      <c r="AY746" s="76"/>
      <c r="AZ746" s="76"/>
      <c r="BA746" s="76"/>
      <c r="BB746" s="76"/>
      <c r="BC746" s="76"/>
      <c r="BD746" s="76"/>
      <c r="BE746" s="76"/>
      <c r="BF746" s="76"/>
    </row>
    <row r="747" spans="1:58" s="153" customFormat="1" ht="14.1" customHeight="1">
      <c r="A747" s="75"/>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c r="AA747" s="76"/>
      <c r="AB747" s="76"/>
      <c r="AC747" s="76"/>
      <c r="AD747" s="76"/>
      <c r="AE747" s="76"/>
      <c r="AF747" s="76"/>
      <c r="AG747" s="76"/>
      <c r="AH747" s="76"/>
      <c r="AI747" s="76"/>
      <c r="AJ747" s="76"/>
      <c r="AK747" s="76"/>
      <c r="AL747" s="76"/>
      <c r="AM747" s="76"/>
      <c r="AN747" s="76"/>
      <c r="AO747" s="76"/>
      <c r="AP747" s="76"/>
      <c r="AQ747" s="76"/>
      <c r="AR747" s="76"/>
      <c r="AS747" s="76"/>
      <c r="AT747" s="76"/>
      <c r="AU747" s="76"/>
      <c r="AV747" s="76"/>
      <c r="AW747" s="76"/>
      <c r="AX747" s="76"/>
      <c r="AY747" s="76"/>
      <c r="AZ747" s="76"/>
      <c r="BA747" s="76"/>
      <c r="BB747" s="76"/>
      <c r="BC747" s="76"/>
      <c r="BD747" s="76"/>
      <c r="BE747" s="76"/>
      <c r="BF747" s="76"/>
    </row>
    <row r="748" spans="1:58" s="153" customFormat="1" ht="14.1" customHeight="1">
      <c r="A748" s="75"/>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c r="AA748" s="76"/>
      <c r="AB748" s="76"/>
      <c r="AC748" s="76"/>
      <c r="AD748" s="76"/>
      <c r="AE748" s="76"/>
      <c r="AF748" s="76"/>
      <c r="AG748" s="76"/>
      <c r="AH748" s="76"/>
      <c r="AI748" s="76"/>
      <c r="AJ748" s="76"/>
      <c r="AK748" s="76"/>
      <c r="AL748" s="76"/>
      <c r="AM748" s="76"/>
      <c r="AN748" s="76"/>
      <c r="AO748" s="76"/>
      <c r="AP748" s="76"/>
      <c r="AQ748" s="76"/>
      <c r="AR748" s="76"/>
      <c r="AS748" s="76"/>
      <c r="AT748" s="76"/>
      <c r="AU748" s="76"/>
      <c r="AV748" s="76"/>
      <c r="AW748" s="76"/>
      <c r="AX748" s="76"/>
      <c r="AY748" s="76"/>
      <c r="AZ748" s="76"/>
      <c r="BA748" s="76"/>
      <c r="BB748" s="76"/>
      <c r="BC748" s="76"/>
      <c r="BD748" s="76"/>
      <c r="BE748" s="76"/>
      <c r="BF748" s="76"/>
    </row>
    <row r="749" spans="1:58" s="153" customFormat="1" ht="14.1" customHeight="1">
      <c r="A749" s="75"/>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c r="AA749" s="76"/>
      <c r="AB749" s="76"/>
      <c r="AC749" s="76"/>
      <c r="AD749" s="76"/>
      <c r="AE749" s="76"/>
      <c r="AF749" s="76"/>
      <c r="AG749" s="76"/>
      <c r="AH749" s="76"/>
      <c r="AI749" s="76"/>
      <c r="AJ749" s="76"/>
      <c r="AK749" s="76"/>
      <c r="AL749" s="76"/>
      <c r="AM749" s="76"/>
      <c r="AN749" s="76"/>
      <c r="AO749" s="76"/>
      <c r="AP749" s="76"/>
      <c r="AQ749" s="76"/>
      <c r="AR749" s="76"/>
      <c r="AS749" s="76"/>
      <c r="AT749" s="76"/>
      <c r="AU749" s="76"/>
      <c r="AV749" s="76"/>
      <c r="AW749" s="76"/>
      <c r="AX749" s="76"/>
      <c r="AY749" s="76"/>
      <c r="AZ749" s="76"/>
      <c r="BA749" s="76"/>
      <c r="BB749" s="76"/>
      <c r="BC749" s="76"/>
      <c r="BD749" s="76"/>
      <c r="BE749" s="76"/>
      <c r="BF749" s="76"/>
    </row>
    <row r="750" spans="1:58" s="153" customFormat="1" ht="14.1" customHeight="1">
      <c r="A750" s="75"/>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c r="AA750" s="76"/>
      <c r="AB750" s="76"/>
      <c r="AC750" s="76"/>
      <c r="AD750" s="76"/>
      <c r="AE750" s="76"/>
      <c r="AF750" s="76"/>
      <c r="AG750" s="76"/>
      <c r="AH750" s="76"/>
      <c r="AI750" s="76"/>
      <c r="AJ750" s="76"/>
      <c r="AK750" s="76"/>
      <c r="AL750" s="76"/>
      <c r="AM750" s="76"/>
      <c r="AN750" s="76"/>
      <c r="AO750" s="76"/>
      <c r="AP750" s="76"/>
      <c r="AQ750" s="76"/>
      <c r="AR750" s="76"/>
      <c r="AS750" s="76"/>
      <c r="AT750" s="76"/>
      <c r="AU750" s="76"/>
      <c r="AV750" s="76"/>
      <c r="AW750" s="76"/>
      <c r="AX750" s="76"/>
      <c r="AY750" s="76"/>
      <c r="AZ750" s="76"/>
      <c r="BA750" s="76"/>
      <c r="BB750" s="76"/>
      <c r="BC750" s="76"/>
      <c r="BD750" s="76"/>
      <c r="BE750" s="76"/>
      <c r="BF750" s="76"/>
    </row>
    <row r="751" spans="1:58" s="153" customFormat="1" ht="14.1" customHeight="1">
      <c r="A751" s="75"/>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c r="AA751" s="76"/>
      <c r="AB751" s="76"/>
      <c r="AC751" s="76"/>
      <c r="AD751" s="76"/>
      <c r="AE751" s="76"/>
      <c r="AF751" s="76"/>
      <c r="AG751" s="76"/>
      <c r="AH751" s="76"/>
      <c r="AI751" s="76"/>
      <c r="AJ751" s="76"/>
      <c r="AK751" s="76"/>
      <c r="AL751" s="76"/>
      <c r="AM751" s="76"/>
      <c r="AN751" s="76"/>
      <c r="AO751" s="76"/>
      <c r="AP751" s="76"/>
      <c r="AQ751" s="76"/>
      <c r="AR751" s="76"/>
      <c r="AS751" s="76"/>
      <c r="AT751" s="76"/>
      <c r="AU751" s="76"/>
      <c r="AV751" s="76"/>
      <c r="AW751" s="76"/>
      <c r="AX751" s="76"/>
      <c r="AY751" s="76"/>
      <c r="AZ751" s="76"/>
      <c r="BA751" s="76"/>
      <c r="BB751" s="76"/>
      <c r="BC751" s="76"/>
      <c r="BD751" s="76"/>
      <c r="BE751" s="76"/>
      <c r="BF751" s="76"/>
    </row>
    <row r="752" spans="1:58" s="153" customFormat="1" ht="14.1" customHeight="1">
      <c r="A752" s="75"/>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153">
        <v>2100000000</v>
      </c>
      <c r="AA752" s="76"/>
      <c r="AB752" s="153">
        <v>50000</v>
      </c>
      <c r="AC752" s="76"/>
      <c r="AD752" s="76"/>
      <c r="AE752" s="76"/>
      <c r="AF752" s="76"/>
      <c r="AG752" s="76"/>
      <c r="AH752" s="76"/>
      <c r="AI752" s="76"/>
      <c r="AJ752" s="76"/>
      <c r="AK752" s="76"/>
      <c r="AL752" s="76"/>
      <c r="AM752" s="76"/>
      <c r="AN752" s="76"/>
      <c r="AO752" s="76"/>
      <c r="AP752" s="76"/>
      <c r="AQ752" s="76"/>
      <c r="AR752" s="76"/>
      <c r="AS752" s="76"/>
      <c r="AT752" s="76"/>
      <c r="AU752" s="76"/>
      <c r="AV752" s="76"/>
      <c r="AW752" s="76"/>
      <c r="AX752" s="76"/>
      <c r="AY752" s="76"/>
      <c r="AZ752" s="76"/>
      <c r="BA752" s="76"/>
      <c r="BB752" s="76"/>
      <c r="BC752" s="76"/>
      <c r="BD752" s="76"/>
      <c r="BE752" s="76"/>
      <c r="BF752" s="76"/>
    </row>
    <row r="753" spans="1:58" s="153" customFormat="1" ht="14.1" customHeight="1">
      <c r="A753" s="75"/>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154">
        <v>1.9000000000000001E-4</v>
      </c>
      <c r="AB753" s="155">
        <f>+Z753</f>
        <v>1.9000000000000001E-4</v>
      </c>
      <c r="AC753" s="76"/>
      <c r="AD753" s="76"/>
      <c r="AE753" s="76"/>
      <c r="AF753" s="76"/>
      <c r="AG753" s="76"/>
      <c r="AH753" s="76"/>
      <c r="AI753" s="76"/>
      <c r="AJ753" s="76"/>
      <c r="AK753" s="76"/>
      <c r="AL753" s="76"/>
      <c r="AM753" s="76"/>
      <c r="AN753" s="76"/>
      <c r="AO753" s="76"/>
      <c r="AP753" s="76"/>
      <c r="AQ753" s="76"/>
      <c r="AR753" s="76"/>
      <c r="AS753" s="76"/>
      <c r="AT753" s="76"/>
      <c r="AU753" s="76"/>
      <c r="AV753" s="76"/>
      <c r="AW753" s="76"/>
      <c r="AX753" s="76"/>
      <c r="AY753" s="76"/>
      <c r="AZ753" s="76"/>
      <c r="BA753" s="76"/>
      <c r="BB753" s="76"/>
      <c r="BC753" s="76"/>
      <c r="BD753" s="76"/>
      <c r="BE753" s="76"/>
      <c r="BF753" s="76"/>
    </row>
    <row r="754" spans="1:58" s="153" customFormat="1" ht="14.1" customHeight="1">
      <c r="A754" s="75"/>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153">
        <f>+Z752*Z753</f>
        <v>399000</v>
      </c>
      <c r="AB754" s="156">
        <f>+AB752*AB753</f>
        <v>9.5</v>
      </c>
      <c r="AC754" s="76"/>
      <c r="AD754" s="76"/>
      <c r="AE754" s="76"/>
      <c r="AF754" s="76"/>
      <c r="AG754" s="76"/>
      <c r="AH754" s="76"/>
      <c r="AI754" s="76"/>
      <c r="AJ754" s="76"/>
      <c r="AK754" s="76"/>
      <c r="AL754" s="76"/>
      <c r="AM754" s="76"/>
      <c r="AN754" s="76"/>
      <c r="AO754" s="76"/>
      <c r="AP754" s="76"/>
      <c r="AQ754" s="76"/>
      <c r="AR754" s="76"/>
      <c r="AS754" s="76"/>
      <c r="AT754" s="76"/>
      <c r="AU754" s="76"/>
      <c r="AV754" s="76"/>
      <c r="AW754" s="76"/>
      <c r="AX754" s="76"/>
      <c r="AY754" s="76"/>
      <c r="AZ754" s="76"/>
      <c r="BA754" s="76"/>
      <c r="BB754" s="76"/>
      <c r="BC754" s="76"/>
      <c r="BD754" s="76"/>
      <c r="BE754" s="76"/>
      <c r="BF754" s="76"/>
    </row>
    <row r="755" spans="1:58" s="153" customFormat="1" ht="14.1" customHeight="1">
      <c r="A755" s="75"/>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c r="AA755" s="76"/>
      <c r="AB755" s="76"/>
      <c r="AC755" s="76"/>
      <c r="AD755" s="76"/>
      <c r="AE755" s="76"/>
      <c r="AF755" s="76"/>
      <c r="AG755" s="76"/>
      <c r="AH755" s="76"/>
      <c r="AI755" s="76"/>
      <c r="AJ755" s="76"/>
      <c r="AK755" s="76"/>
      <c r="AL755" s="76"/>
      <c r="AM755" s="76"/>
      <c r="AN755" s="76"/>
      <c r="AO755" s="76"/>
      <c r="AP755" s="76"/>
      <c r="AQ755" s="76"/>
      <c r="AR755" s="76"/>
      <c r="AS755" s="76"/>
      <c r="AT755" s="76"/>
      <c r="AU755" s="76"/>
      <c r="AV755" s="76"/>
      <c r="AW755" s="76"/>
      <c r="AX755" s="76"/>
      <c r="AY755" s="76"/>
      <c r="AZ755" s="76"/>
      <c r="BA755" s="76"/>
      <c r="BB755" s="76"/>
      <c r="BC755" s="76"/>
      <c r="BD755" s="76"/>
      <c r="BE755" s="76"/>
      <c r="BF755" s="76"/>
    </row>
    <row r="756" spans="1:58" s="153" customFormat="1" ht="14.1" customHeight="1">
      <c r="A756" s="75"/>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153">
        <v>400000</v>
      </c>
      <c r="AA756" s="76"/>
      <c r="AB756" s="76"/>
      <c r="AC756" s="76"/>
      <c r="AD756" s="76"/>
      <c r="AE756" s="76"/>
      <c r="AF756" s="76"/>
      <c r="AG756" s="76"/>
      <c r="AH756" s="76"/>
      <c r="AI756" s="76"/>
      <c r="AJ756" s="76"/>
      <c r="AK756" s="76"/>
      <c r="AL756" s="76"/>
      <c r="AM756" s="76"/>
      <c r="AN756" s="76"/>
      <c r="AO756" s="76"/>
      <c r="AP756" s="76"/>
      <c r="AQ756" s="76"/>
      <c r="AR756" s="76"/>
      <c r="AS756" s="76"/>
      <c r="AT756" s="76"/>
      <c r="AU756" s="76"/>
      <c r="AV756" s="76"/>
      <c r="AW756" s="76"/>
      <c r="AX756" s="76"/>
      <c r="AY756" s="76"/>
      <c r="AZ756" s="76"/>
      <c r="BA756" s="76"/>
      <c r="BB756" s="76"/>
      <c r="BC756" s="76"/>
      <c r="BD756" s="76"/>
      <c r="BE756" s="76"/>
      <c r="BF756" s="76"/>
    </row>
    <row r="757" spans="1:58" s="153" customFormat="1" ht="14.1" customHeight="1">
      <c r="A757" s="75"/>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157">
        <f>+Z756/Z752</f>
        <v>1.9047619047619048E-4</v>
      </c>
      <c r="AA757" s="76"/>
      <c r="AB757" s="76"/>
      <c r="AC757" s="76"/>
      <c r="AD757" s="76"/>
      <c r="AE757" s="76"/>
      <c r="AF757" s="76"/>
      <c r="AG757" s="76"/>
      <c r="AH757" s="76"/>
      <c r="AI757" s="76"/>
      <c r="AJ757" s="76"/>
      <c r="AK757" s="76"/>
      <c r="AL757" s="76"/>
      <c r="AM757" s="76"/>
      <c r="AN757" s="76"/>
      <c r="AO757" s="76"/>
      <c r="AP757" s="76"/>
      <c r="AQ757" s="76"/>
      <c r="AR757" s="76"/>
      <c r="AS757" s="76"/>
      <c r="AT757" s="76"/>
      <c r="AU757" s="76"/>
      <c r="AV757" s="76"/>
      <c r="AW757" s="76"/>
      <c r="AX757" s="76"/>
      <c r="AY757" s="76"/>
      <c r="AZ757" s="76"/>
      <c r="BA757" s="76"/>
      <c r="BB757" s="76"/>
      <c r="BC757" s="76"/>
      <c r="BD757" s="76"/>
      <c r="BE757" s="76"/>
      <c r="BF757" s="76"/>
    </row>
    <row r="758" spans="1:58" s="153" customFormat="1" ht="14.1" customHeight="1">
      <c r="A758" s="75"/>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c r="AA758" s="76"/>
      <c r="AB758" s="76"/>
      <c r="AC758" s="76"/>
      <c r="AD758" s="76"/>
      <c r="AE758" s="76"/>
      <c r="AF758" s="76"/>
      <c r="AG758" s="76"/>
      <c r="AH758" s="76"/>
      <c r="AI758" s="76"/>
      <c r="AJ758" s="76"/>
      <c r="AK758" s="76"/>
      <c r="AL758" s="76"/>
      <c r="AM758" s="76"/>
      <c r="AN758" s="76"/>
      <c r="AO758" s="76"/>
      <c r="AP758" s="76"/>
      <c r="AQ758" s="76"/>
      <c r="AR758" s="76"/>
      <c r="AS758" s="76"/>
      <c r="AT758" s="76"/>
      <c r="AU758" s="76"/>
      <c r="AV758" s="76"/>
      <c r="AW758" s="76"/>
      <c r="AX758" s="76"/>
      <c r="AY758" s="76"/>
      <c r="AZ758" s="76"/>
      <c r="BA758" s="76"/>
      <c r="BB758" s="76"/>
      <c r="BC758" s="76"/>
      <c r="BD758" s="76"/>
      <c r="BE758" s="76"/>
      <c r="BF758" s="76"/>
    </row>
    <row r="759" spans="1:58" s="153" customFormat="1" ht="14.1" customHeight="1">
      <c r="A759" s="75"/>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c r="AA759" s="76"/>
      <c r="AB759" s="76"/>
      <c r="AC759" s="76"/>
      <c r="AD759" s="76"/>
      <c r="AE759" s="76"/>
      <c r="AF759" s="76"/>
      <c r="AG759" s="76"/>
      <c r="AH759" s="76"/>
      <c r="AI759" s="76"/>
      <c r="AJ759" s="76"/>
      <c r="AK759" s="76"/>
      <c r="AL759" s="76"/>
      <c r="AM759" s="76"/>
      <c r="AN759" s="76"/>
      <c r="AO759" s="76"/>
      <c r="AP759" s="76"/>
      <c r="AQ759" s="76"/>
      <c r="AR759" s="76"/>
      <c r="AS759" s="76"/>
      <c r="AT759" s="76"/>
      <c r="AU759" s="76"/>
      <c r="AV759" s="76"/>
      <c r="AW759" s="76"/>
      <c r="AX759" s="76"/>
      <c r="AY759" s="76"/>
      <c r="AZ759" s="76"/>
      <c r="BA759" s="76"/>
      <c r="BB759" s="76"/>
      <c r="BC759" s="76"/>
      <c r="BD759" s="76"/>
      <c r="BE759" s="76"/>
      <c r="BF759" s="76"/>
    </row>
    <row r="760" spans="1:58" s="153" customFormat="1" ht="14.1" customHeight="1">
      <c r="A760" s="75"/>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c r="AA760" s="76"/>
      <c r="AB760" s="76"/>
      <c r="AC760" s="76"/>
      <c r="AD760" s="76"/>
      <c r="AE760" s="76"/>
      <c r="AF760" s="76"/>
      <c r="AG760" s="76"/>
      <c r="AH760" s="76"/>
      <c r="AI760" s="76"/>
      <c r="AJ760" s="76"/>
      <c r="AK760" s="76"/>
      <c r="AL760" s="76"/>
      <c r="AM760" s="76"/>
      <c r="AN760" s="76"/>
      <c r="AO760" s="76"/>
      <c r="AP760" s="76"/>
      <c r="AQ760" s="76"/>
      <c r="AR760" s="76"/>
      <c r="AS760" s="76"/>
      <c r="AT760" s="76"/>
      <c r="AU760" s="76"/>
      <c r="AV760" s="76"/>
      <c r="AW760" s="76"/>
      <c r="AX760" s="76"/>
      <c r="AY760" s="76"/>
      <c r="AZ760" s="76"/>
      <c r="BA760" s="76"/>
      <c r="BB760" s="76"/>
      <c r="BC760" s="76"/>
      <c r="BD760" s="76"/>
      <c r="BE760" s="76"/>
      <c r="BF760" s="76"/>
    </row>
    <row r="761" spans="1:58" s="153" customFormat="1" ht="14.1" customHeight="1">
      <c r="A761" s="75"/>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c r="AA761" s="76"/>
      <c r="AB761" s="76"/>
      <c r="AC761" s="76"/>
      <c r="AD761" s="76"/>
      <c r="AE761" s="76"/>
      <c r="AF761" s="76"/>
      <c r="AG761" s="76"/>
      <c r="AH761" s="76"/>
      <c r="AI761" s="76"/>
      <c r="AJ761" s="76"/>
      <c r="AK761" s="76"/>
      <c r="AL761" s="76"/>
      <c r="AM761" s="76"/>
      <c r="AN761" s="76"/>
      <c r="AO761" s="76"/>
      <c r="AP761" s="76"/>
      <c r="AQ761" s="76"/>
      <c r="AR761" s="76"/>
      <c r="AS761" s="76"/>
      <c r="AT761" s="76"/>
      <c r="AU761" s="76"/>
      <c r="AV761" s="76"/>
      <c r="AW761" s="76"/>
      <c r="AX761" s="76"/>
      <c r="AY761" s="76"/>
      <c r="AZ761" s="76"/>
      <c r="BA761" s="76"/>
      <c r="BB761" s="76"/>
      <c r="BC761" s="76"/>
      <c r="BD761" s="76"/>
      <c r="BE761" s="76"/>
      <c r="BF761" s="76"/>
    </row>
    <row r="762" spans="1:58" s="153" customFormat="1" ht="14.1" customHeight="1">
      <c r="A762" s="7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c r="AA762" s="76"/>
      <c r="AB762" s="76"/>
      <c r="AC762" s="76"/>
      <c r="AD762" s="76"/>
      <c r="AE762" s="76"/>
      <c r="AF762" s="76"/>
      <c r="AG762" s="76"/>
      <c r="AH762" s="76"/>
      <c r="AI762" s="76"/>
      <c r="AJ762" s="76"/>
      <c r="AK762" s="76"/>
      <c r="AL762" s="76"/>
      <c r="AM762" s="76"/>
      <c r="AN762" s="76"/>
      <c r="AO762" s="76"/>
      <c r="AP762" s="76"/>
      <c r="AQ762" s="76"/>
      <c r="AR762" s="76"/>
      <c r="AS762" s="76"/>
      <c r="AT762" s="76"/>
      <c r="AU762" s="76"/>
      <c r="AV762" s="76"/>
      <c r="AW762" s="76"/>
      <c r="AX762" s="76"/>
      <c r="AY762" s="76"/>
      <c r="AZ762" s="76"/>
      <c r="BA762" s="76"/>
      <c r="BB762" s="76"/>
      <c r="BC762" s="76"/>
      <c r="BD762" s="76"/>
      <c r="BE762" s="76"/>
      <c r="BF762" s="76"/>
    </row>
    <row r="763" spans="1:58" s="153" customFormat="1" ht="14.1" customHeight="1">
      <c r="A763" s="75"/>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c r="AA763" s="76"/>
      <c r="AB763" s="76"/>
      <c r="AC763" s="76"/>
      <c r="AD763" s="76"/>
      <c r="AE763" s="76"/>
      <c r="AF763" s="76"/>
      <c r="AG763" s="76"/>
      <c r="AH763" s="76"/>
      <c r="AI763" s="76"/>
      <c r="AJ763" s="76"/>
      <c r="AK763" s="76"/>
      <c r="AL763" s="76"/>
      <c r="AM763" s="76"/>
      <c r="AN763" s="76"/>
      <c r="AO763" s="76"/>
      <c r="AP763" s="76"/>
      <c r="AQ763" s="76"/>
      <c r="AR763" s="76"/>
      <c r="AS763" s="76"/>
      <c r="AT763" s="76"/>
      <c r="AU763" s="76"/>
      <c r="AV763" s="76"/>
      <c r="AW763" s="76"/>
      <c r="AX763" s="76"/>
      <c r="AY763" s="76"/>
      <c r="AZ763" s="76"/>
      <c r="BA763" s="76"/>
      <c r="BB763" s="76"/>
      <c r="BC763" s="76"/>
      <c r="BD763" s="76"/>
      <c r="BE763" s="76"/>
      <c r="BF763" s="76"/>
    </row>
    <row r="764" spans="1:58" s="153" customFormat="1" ht="14.1" customHeight="1">
      <c r="A764" s="75"/>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c r="AA764" s="76"/>
      <c r="AB764" s="76"/>
      <c r="AC764" s="76"/>
      <c r="AD764" s="76"/>
      <c r="AE764" s="76"/>
      <c r="AF764" s="76"/>
      <c r="AG764" s="76"/>
      <c r="AH764" s="76"/>
      <c r="AI764" s="76"/>
      <c r="AJ764" s="76"/>
      <c r="AK764" s="76"/>
      <c r="AL764" s="76"/>
      <c r="AM764" s="76"/>
      <c r="AN764" s="76"/>
      <c r="AO764" s="76"/>
      <c r="AP764" s="76"/>
      <c r="AQ764" s="76"/>
      <c r="AR764" s="76"/>
      <c r="AS764" s="76"/>
      <c r="AT764" s="76"/>
      <c r="AU764" s="76"/>
      <c r="AV764" s="76"/>
      <c r="AW764" s="76"/>
      <c r="AX764" s="76"/>
      <c r="AY764" s="76"/>
      <c r="AZ764" s="76"/>
      <c r="BA764" s="76"/>
      <c r="BB764" s="76"/>
      <c r="BC764" s="76"/>
      <c r="BD764" s="76"/>
      <c r="BE764" s="76"/>
      <c r="BF764" s="76"/>
    </row>
    <row r="765" spans="1:58" s="153" customFormat="1" ht="14.1" customHeight="1">
      <c r="A765" s="75"/>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c r="AA765" s="76"/>
      <c r="AB765" s="76"/>
      <c r="AC765" s="76"/>
      <c r="AD765" s="76"/>
      <c r="AE765" s="76"/>
      <c r="AF765" s="76"/>
      <c r="AG765" s="76"/>
      <c r="AH765" s="76"/>
      <c r="AI765" s="76"/>
      <c r="AJ765" s="76"/>
      <c r="AK765" s="76"/>
      <c r="AL765" s="76"/>
      <c r="AM765" s="76"/>
      <c r="AN765" s="76"/>
      <c r="AO765" s="76"/>
      <c r="AP765" s="76"/>
      <c r="AQ765" s="76"/>
      <c r="AR765" s="76"/>
      <c r="AS765" s="76"/>
      <c r="AT765" s="76"/>
      <c r="AU765" s="76"/>
      <c r="AV765" s="76"/>
      <c r="AW765" s="76"/>
      <c r="AX765" s="76"/>
      <c r="AY765" s="76"/>
      <c r="AZ765" s="76"/>
      <c r="BA765" s="76"/>
      <c r="BB765" s="76"/>
      <c r="BC765" s="76"/>
      <c r="BD765" s="76"/>
      <c r="BE765" s="76"/>
      <c r="BF765" s="76"/>
    </row>
    <row r="766" spans="1:58" s="153" customFormat="1" ht="14.1" customHeight="1">
      <c r="A766" s="75"/>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c r="AA766" s="76"/>
      <c r="AB766" s="76"/>
      <c r="AC766" s="76"/>
      <c r="AD766" s="76"/>
      <c r="AE766" s="76"/>
      <c r="AF766" s="76"/>
      <c r="AG766" s="76"/>
      <c r="AH766" s="76"/>
      <c r="AI766" s="76"/>
      <c r="AJ766" s="76"/>
      <c r="AK766" s="76"/>
      <c r="AL766" s="76"/>
      <c r="AM766" s="76"/>
      <c r="AN766" s="76"/>
      <c r="AO766" s="76"/>
      <c r="AP766" s="76"/>
      <c r="AQ766" s="76"/>
      <c r="AR766" s="76"/>
      <c r="AS766" s="76"/>
      <c r="AT766" s="76"/>
      <c r="AU766" s="76"/>
      <c r="AV766" s="76"/>
      <c r="AW766" s="76"/>
      <c r="AX766" s="76"/>
      <c r="AY766" s="76"/>
      <c r="AZ766" s="76"/>
      <c r="BA766" s="76"/>
      <c r="BB766" s="76"/>
      <c r="BC766" s="76"/>
      <c r="BD766" s="76"/>
      <c r="BE766" s="76"/>
      <c r="BF766" s="76"/>
    </row>
    <row r="767" spans="1:58" s="153" customFormat="1" ht="14.1" customHeight="1">
      <c r="A767" s="75"/>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c r="AA767" s="76"/>
      <c r="AB767" s="76"/>
      <c r="AC767" s="76"/>
      <c r="AD767" s="76"/>
      <c r="AE767" s="76"/>
      <c r="AF767" s="76"/>
      <c r="AG767" s="76"/>
      <c r="AH767" s="76"/>
      <c r="AI767" s="76"/>
      <c r="AJ767" s="76"/>
      <c r="AK767" s="76"/>
      <c r="AL767" s="76"/>
      <c r="AM767" s="76"/>
      <c r="AN767" s="76"/>
      <c r="AO767" s="76"/>
      <c r="AP767" s="76"/>
      <c r="AQ767" s="76"/>
      <c r="AR767" s="76"/>
      <c r="AS767" s="76"/>
      <c r="AT767" s="76"/>
      <c r="AU767" s="76"/>
      <c r="AV767" s="76"/>
      <c r="AW767" s="76"/>
      <c r="AX767" s="76"/>
      <c r="AY767" s="76"/>
      <c r="AZ767" s="76"/>
      <c r="BA767" s="76"/>
      <c r="BB767" s="76"/>
      <c r="BC767" s="76"/>
      <c r="BD767" s="76"/>
      <c r="BE767" s="76"/>
      <c r="BF767" s="76"/>
    </row>
    <row r="768" spans="1:58" s="153" customFormat="1" ht="14.1" customHeight="1">
      <c r="A768" s="75"/>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c r="AA768" s="76"/>
      <c r="AB768" s="76"/>
      <c r="AC768" s="76"/>
      <c r="AD768" s="76"/>
      <c r="AE768" s="76"/>
      <c r="AF768" s="76"/>
      <c r="AG768" s="76"/>
      <c r="AH768" s="76"/>
      <c r="AI768" s="76"/>
      <c r="AJ768" s="76"/>
      <c r="AK768" s="76"/>
      <c r="AL768" s="76"/>
      <c r="AM768" s="76"/>
      <c r="AN768" s="76"/>
      <c r="AO768" s="76"/>
      <c r="AP768" s="76"/>
      <c r="AQ768" s="76"/>
      <c r="AR768" s="76"/>
      <c r="AS768" s="76"/>
      <c r="AT768" s="76"/>
      <c r="AU768" s="76"/>
      <c r="AV768" s="76"/>
      <c r="AW768" s="76"/>
      <c r="AX768" s="76"/>
      <c r="AY768" s="76"/>
      <c r="AZ768" s="76"/>
      <c r="BA768" s="76"/>
      <c r="BB768" s="76"/>
      <c r="BC768" s="76"/>
      <c r="BD768" s="76"/>
      <c r="BE768" s="76"/>
      <c r="BF768" s="76"/>
    </row>
    <row r="769" spans="1:58" s="153" customFormat="1" ht="14.1" customHeight="1">
      <c r="A769" s="75"/>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c r="AA769" s="76"/>
      <c r="AB769" s="76"/>
      <c r="AC769" s="76"/>
      <c r="AD769" s="76"/>
      <c r="AE769" s="76"/>
      <c r="AF769" s="76"/>
      <c r="AG769" s="76"/>
      <c r="AH769" s="76"/>
      <c r="AI769" s="76"/>
      <c r="AJ769" s="76"/>
      <c r="AK769" s="76"/>
      <c r="AL769" s="76"/>
      <c r="AM769" s="76"/>
      <c r="AN769" s="76"/>
      <c r="AO769" s="76"/>
      <c r="AP769" s="76"/>
      <c r="AQ769" s="76"/>
      <c r="AR769" s="76"/>
      <c r="AS769" s="76"/>
      <c r="AT769" s="76"/>
      <c r="AU769" s="76"/>
      <c r="AV769" s="76"/>
      <c r="AW769" s="76"/>
      <c r="AX769" s="76"/>
      <c r="AY769" s="76"/>
      <c r="AZ769" s="76"/>
      <c r="BA769" s="76"/>
      <c r="BB769" s="76"/>
      <c r="BC769" s="76"/>
      <c r="BD769" s="76"/>
      <c r="BE769" s="76"/>
      <c r="BF769" s="76"/>
    </row>
    <row r="770" spans="1:58" s="153" customFormat="1" ht="14.1" customHeight="1">
      <c r="A770" s="75"/>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c r="AA770" s="76"/>
      <c r="AB770" s="76"/>
      <c r="AC770" s="76"/>
      <c r="AD770" s="76"/>
      <c r="AE770" s="76"/>
      <c r="AF770" s="76"/>
      <c r="AG770" s="76"/>
      <c r="AH770" s="76"/>
      <c r="AI770" s="76"/>
      <c r="AJ770" s="76"/>
      <c r="AK770" s="76"/>
      <c r="AL770" s="76"/>
      <c r="AM770" s="76"/>
      <c r="AN770" s="76"/>
      <c r="AO770" s="76"/>
      <c r="AP770" s="76"/>
      <c r="AQ770" s="76"/>
      <c r="AR770" s="76"/>
      <c r="AS770" s="76"/>
      <c r="AT770" s="76"/>
      <c r="AU770" s="76"/>
      <c r="AV770" s="76"/>
      <c r="AW770" s="76"/>
      <c r="AX770" s="76"/>
      <c r="AY770" s="76"/>
      <c r="AZ770" s="76"/>
      <c r="BA770" s="76"/>
      <c r="BB770" s="76"/>
      <c r="BC770" s="76"/>
      <c r="BD770" s="76"/>
      <c r="BE770" s="76"/>
      <c r="BF770" s="76"/>
    </row>
    <row r="771" spans="1:58" s="153" customFormat="1" ht="14.1" customHeight="1">
      <c r="A771" s="75"/>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c r="AA771" s="76"/>
      <c r="AB771" s="76"/>
      <c r="AC771" s="76"/>
      <c r="AD771" s="76"/>
      <c r="AE771" s="76"/>
      <c r="AF771" s="76"/>
      <c r="AG771" s="76"/>
      <c r="AH771" s="76"/>
      <c r="AI771" s="76"/>
      <c r="AJ771" s="76"/>
      <c r="AK771" s="76"/>
      <c r="AL771" s="76"/>
      <c r="AM771" s="76"/>
      <c r="AN771" s="76"/>
      <c r="AO771" s="76"/>
      <c r="AP771" s="76"/>
      <c r="AQ771" s="76"/>
      <c r="AR771" s="76"/>
      <c r="AS771" s="76"/>
      <c r="AT771" s="76"/>
      <c r="AU771" s="76"/>
      <c r="AV771" s="76"/>
      <c r="AW771" s="76"/>
      <c r="AX771" s="76"/>
      <c r="AY771" s="76"/>
      <c r="AZ771" s="76"/>
      <c r="BA771" s="76"/>
      <c r="BB771" s="76"/>
      <c r="BC771" s="76"/>
      <c r="BD771" s="76"/>
      <c r="BE771" s="76"/>
      <c r="BF771" s="76"/>
    </row>
    <row r="772" spans="1:58" s="153" customFormat="1" ht="14.1" customHeight="1">
      <c r="A772" s="75"/>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c r="AA772" s="76"/>
      <c r="AB772" s="76"/>
      <c r="AC772" s="76"/>
      <c r="AD772" s="76"/>
      <c r="AE772" s="76"/>
      <c r="AF772" s="76"/>
      <c r="AG772" s="76"/>
      <c r="AH772" s="76"/>
      <c r="AI772" s="76"/>
      <c r="AJ772" s="76"/>
      <c r="AK772" s="76"/>
      <c r="AL772" s="76"/>
      <c r="AM772" s="76"/>
      <c r="AN772" s="76"/>
      <c r="AO772" s="76"/>
      <c r="AP772" s="76"/>
      <c r="AQ772" s="76"/>
      <c r="AR772" s="76"/>
      <c r="AS772" s="76"/>
      <c r="AT772" s="76"/>
      <c r="AU772" s="76"/>
      <c r="AV772" s="76"/>
      <c r="AW772" s="76"/>
      <c r="AX772" s="76"/>
      <c r="AY772" s="76"/>
      <c r="AZ772" s="76"/>
      <c r="BA772" s="76"/>
      <c r="BB772" s="76"/>
      <c r="BC772" s="76"/>
      <c r="BD772" s="76"/>
      <c r="BE772" s="76"/>
      <c r="BF772" s="76"/>
    </row>
    <row r="773" spans="1:58" s="153" customFormat="1" ht="14.1" customHeight="1">
      <c r="A773" s="75"/>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c r="AA773" s="76"/>
      <c r="AB773" s="76"/>
      <c r="AC773" s="76"/>
      <c r="AD773" s="76"/>
      <c r="AE773" s="76"/>
      <c r="AF773" s="76"/>
      <c r="AG773" s="76"/>
      <c r="AH773" s="76"/>
      <c r="AI773" s="76"/>
      <c r="AJ773" s="76"/>
      <c r="AK773" s="76"/>
      <c r="AL773" s="76"/>
      <c r="AM773" s="76"/>
      <c r="AN773" s="76"/>
      <c r="AO773" s="76"/>
      <c r="AP773" s="76"/>
      <c r="AQ773" s="76"/>
      <c r="AR773" s="76"/>
      <c r="AS773" s="76"/>
      <c r="AT773" s="76"/>
      <c r="AU773" s="76"/>
      <c r="AV773" s="76"/>
      <c r="AW773" s="76"/>
      <c r="AX773" s="76"/>
      <c r="AY773" s="76"/>
      <c r="AZ773" s="76"/>
      <c r="BA773" s="76"/>
      <c r="BB773" s="76"/>
      <c r="BC773" s="76"/>
      <c r="BD773" s="76"/>
      <c r="BE773" s="76"/>
      <c r="BF773" s="76"/>
    </row>
    <row r="774" spans="1:58" s="153" customFormat="1" ht="14.1" customHeight="1">
      <c r="A774" s="75"/>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c r="AA774" s="76"/>
      <c r="AB774" s="76"/>
      <c r="AC774" s="76"/>
      <c r="AD774" s="76"/>
      <c r="AE774" s="76"/>
      <c r="AF774" s="76"/>
      <c r="AG774" s="76"/>
      <c r="AH774" s="76"/>
      <c r="AI774" s="76"/>
      <c r="AJ774" s="76"/>
      <c r="AK774" s="76"/>
      <c r="AL774" s="76"/>
      <c r="AM774" s="76"/>
      <c r="AN774" s="76"/>
      <c r="AO774" s="76"/>
      <c r="AP774" s="76"/>
      <c r="AQ774" s="76"/>
      <c r="AR774" s="76"/>
      <c r="AS774" s="76"/>
      <c r="AT774" s="76"/>
      <c r="AU774" s="76"/>
      <c r="AV774" s="76"/>
      <c r="AW774" s="76"/>
      <c r="AX774" s="76"/>
      <c r="AY774" s="76"/>
      <c r="AZ774" s="76"/>
      <c r="BA774" s="76"/>
      <c r="BB774" s="76"/>
      <c r="BC774" s="76"/>
      <c r="BD774" s="76"/>
      <c r="BE774" s="76"/>
      <c r="BF774" s="76"/>
    </row>
    <row r="775" spans="1:58" s="153" customFormat="1" ht="14.1" customHeight="1">
      <c r="A775" s="75"/>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c r="AA775" s="76"/>
      <c r="AB775" s="76"/>
      <c r="AC775" s="76"/>
      <c r="AD775" s="76"/>
      <c r="AE775" s="76"/>
      <c r="AF775" s="76"/>
      <c r="AG775" s="76"/>
      <c r="AH775" s="76"/>
      <c r="AI775" s="76"/>
      <c r="AJ775" s="76"/>
      <c r="AK775" s="76"/>
      <c r="AL775" s="76"/>
      <c r="AM775" s="76"/>
      <c r="AN775" s="76"/>
      <c r="AO775" s="76"/>
      <c r="AP775" s="76"/>
      <c r="AQ775" s="76"/>
      <c r="AR775" s="76"/>
      <c r="AS775" s="76"/>
      <c r="AT775" s="76"/>
      <c r="AU775" s="76"/>
      <c r="AV775" s="76"/>
      <c r="AW775" s="76"/>
      <c r="AX775" s="76"/>
      <c r="AY775" s="76"/>
      <c r="AZ775" s="76"/>
      <c r="BA775" s="76"/>
      <c r="BB775" s="76"/>
      <c r="BC775" s="76"/>
      <c r="BD775" s="76"/>
      <c r="BE775" s="76"/>
      <c r="BF775" s="76"/>
    </row>
    <row r="776" spans="1:58" s="153" customFormat="1" ht="14.1" customHeight="1">
      <c r="A776" s="75"/>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c r="AA776" s="76"/>
      <c r="AB776" s="76"/>
      <c r="AC776" s="76"/>
      <c r="AD776" s="76"/>
      <c r="AE776" s="76"/>
      <c r="AF776" s="76"/>
      <c r="AG776" s="76"/>
      <c r="AH776" s="76"/>
      <c r="AI776" s="76"/>
      <c r="AJ776" s="76"/>
      <c r="AK776" s="76"/>
      <c r="AL776" s="76"/>
      <c r="AM776" s="76"/>
      <c r="AN776" s="76"/>
      <c r="AO776" s="76"/>
      <c r="AP776" s="76"/>
      <c r="AQ776" s="76"/>
      <c r="AR776" s="76"/>
      <c r="AS776" s="76"/>
      <c r="AT776" s="76"/>
      <c r="AU776" s="76"/>
      <c r="AV776" s="76"/>
      <c r="AW776" s="76"/>
      <c r="AX776" s="76"/>
      <c r="AY776" s="76"/>
      <c r="AZ776" s="76"/>
      <c r="BA776" s="76"/>
      <c r="BB776" s="76"/>
      <c r="BC776" s="76"/>
      <c r="BD776" s="76"/>
      <c r="BE776" s="76"/>
      <c r="BF776" s="76"/>
    </row>
    <row r="777" spans="1:58" s="153" customFormat="1" ht="14.1" customHeight="1">
      <c r="A777" s="75"/>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c r="AA777" s="76"/>
      <c r="AB777" s="76"/>
      <c r="AC777" s="76"/>
      <c r="AD777" s="76"/>
      <c r="AE777" s="76"/>
      <c r="AF777" s="76"/>
      <c r="AG777" s="76"/>
      <c r="AH777" s="76"/>
      <c r="AI777" s="76"/>
      <c r="AJ777" s="76"/>
      <c r="AK777" s="76"/>
      <c r="AL777" s="76"/>
      <c r="AM777" s="76"/>
      <c r="AN777" s="76"/>
      <c r="AO777" s="76"/>
      <c r="AP777" s="76"/>
      <c r="AQ777" s="76"/>
      <c r="AR777" s="76"/>
      <c r="AS777" s="76"/>
      <c r="AT777" s="76"/>
      <c r="AU777" s="76"/>
      <c r="AV777" s="76"/>
      <c r="AW777" s="76"/>
      <c r="AX777" s="76"/>
      <c r="AY777" s="76"/>
      <c r="AZ777" s="76"/>
      <c r="BA777" s="76"/>
      <c r="BB777" s="76"/>
      <c r="BC777" s="76"/>
      <c r="BD777" s="76"/>
      <c r="BE777" s="76"/>
      <c r="BF777" s="76"/>
    </row>
    <row r="778" spans="1:58" s="153" customFormat="1" ht="14.1" customHeight="1">
      <c r="A778" s="75"/>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c r="AA778" s="76"/>
      <c r="AB778" s="76"/>
      <c r="AC778" s="76"/>
      <c r="AD778" s="76"/>
      <c r="AE778" s="76"/>
      <c r="AF778" s="76"/>
      <c r="AG778" s="76"/>
      <c r="AH778" s="76"/>
      <c r="AI778" s="76"/>
      <c r="AJ778" s="76"/>
      <c r="AK778" s="76"/>
      <c r="AL778" s="76"/>
      <c r="AM778" s="76"/>
      <c r="AN778" s="76"/>
      <c r="AO778" s="76"/>
      <c r="AP778" s="76"/>
      <c r="AQ778" s="76"/>
      <c r="AR778" s="76"/>
      <c r="AS778" s="76"/>
      <c r="AT778" s="76"/>
      <c r="AU778" s="76"/>
      <c r="AV778" s="76"/>
      <c r="AW778" s="76"/>
      <c r="AX778" s="76"/>
      <c r="AY778" s="76"/>
      <c r="AZ778" s="76"/>
      <c r="BA778" s="76"/>
      <c r="BB778" s="76"/>
      <c r="BC778" s="76"/>
      <c r="BD778" s="76"/>
      <c r="BE778" s="76"/>
      <c r="BF778" s="76"/>
    </row>
    <row r="779" spans="1:58" s="153" customFormat="1" ht="14.1" customHeight="1">
      <c r="A779" s="75"/>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c r="AA779" s="76"/>
      <c r="AB779" s="76"/>
      <c r="AC779" s="76"/>
      <c r="AD779" s="76"/>
      <c r="AE779" s="76"/>
      <c r="AF779" s="76"/>
      <c r="AG779" s="76"/>
      <c r="AH779" s="76"/>
      <c r="AI779" s="76"/>
      <c r="AJ779" s="76"/>
      <c r="AK779" s="76"/>
      <c r="AL779" s="76"/>
      <c r="AM779" s="76"/>
      <c r="AN779" s="76"/>
      <c r="AO779" s="76"/>
      <c r="AP779" s="76"/>
      <c r="AQ779" s="76"/>
      <c r="AR779" s="76"/>
      <c r="AS779" s="76"/>
      <c r="AT779" s="76"/>
      <c r="AU779" s="76"/>
      <c r="AV779" s="76"/>
      <c r="AW779" s="76"/>
      <c r="AX779" s="76"/>
      <c r="AY779" s="76"/>
      <c r="AZ779" s="76"/>
      <c r="BA779" s="76"/>
      <c r="BB779" s="76"/>
      <c r="BC779" s="76"/>
      <c r="BD779" s="76"/>
      <c r="BE779" s="76"/>
      <c r="BF779" s="76"/>
    </row>
    <row r="780" spans="1:58" s="153" customFormat="1" ht="14.1" customHeight="1">
      <c r="A780" s="75"/>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c r="AA780" s="76"/>
      <c r="AB780" s="76"/>
      <c r="AC780" s="76"/>
      <c r="AD780" s="76"/>
      <c r="AE780" s="76"/>
      <c r="AF780" s="76"/>
      <c r="AG780" s="76"/>
      <c r="AH780" s="76"/>
      <c r="AI780" s="76"/>
      <c r="AJ780" s="76"/>
      <c r="AK780" s="76"/>
      <c r="AL780" s="76"/>
      <c r="AM780" s="76"/>
      <c r="AN780" s="76"/>
      <c r="AO780" s="76"/>
      <c r="AP780" s="76"/>
      <c r="AQ780" s="76"/>
      <c r="AR780" s="76"/>
      <c r="AS780" s="76"/>
      <c r="AT780" s="76"/>
      <c r="AU780" s="76"/>
      <c r="AV780" s="76"/>
      <c r="AW780" s="76"/>
      <c r="AX780" s="76"/>
      <c r="AY780" s="76"/>
      <c r="AZ780" s="76"/>
      <c r="BA780" s="76"/>
      <c r="BB780" s="76"/>
      <c r="BC780" s="76"/>
      <c r="BD780" s="76"/>
      <c r="BE780" s="76"/>
      <c r="BF780" s="76"/>
    </row>
    <row r="781" spans="1:58" s="153" customFormat="1" ht="14.1" customHeight="1">
      <c r="A781" s="75"/>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c r="AA781" s="76"/>
      <c r="AB781" s="76"/>
      <c r="AC781" s="76"/>
      <c r="AD781" s="76"/>
      <c r="AE781" s="76"/>
      <c r="AF781" s="76"/>
      <c r="AG781" s="76"/>
      <c r="AH781" s="76"/>
      <c r="AI781" s="76"/>
      <c r="AJ781" s="76"/>
      <c r="AK781" s="76"/>
      <c r="AL781" s="76"/>
      <c r="AM781" s="76"/>
      <c r="AN781" s="76"/>
      <c r="AO781" s="76"/>
      <c r="AP781" s="76"/>
      <c r="AQ781" s="76"/>
      <c r="AR781" s="76"/>
      <c r="AS781" s="76"/>
      <c r="AT781" s="76"/>
      <c r="AU781" s="76"/>
      <c r="AV781" s="76"/>
      <c r="AW781" s="76"/>
      <c r="AX781" s="76"/>
      <c r="AY781" s="76"/>
      <c r="AZ781" s="76"/>
      <c r="BA781" s="76"/>
      <c r="BB781" s="76"/>
      <c r="BC781" s="76"/>
      <c r="BD781" s="76"/>
      <c r="BE781" s="76"/>
      <c r="BF781" s="76"/>
    </row>
    <row r="782" spans="1:58" s="153" customFormat="1" ht="14.1" customHeight="1">
      <c r="A782" s="75"/>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c r="AA782" s="76"/>
      <c r="AB782" s="76"/>
      <c r="AC782" s="76"/>
      <c r="AD782" s="76"/>
      <c r="AE782" s="76"/>
      <c r="AF782" s="76"/>
      <c r="AG782" s="76"/>
      <c r="AH782" s="76"/>
      <c r="AI782" s="76"/>
      <c r="AJ782" s="76"/>
      <c r="AK782" s="76"/>
      <c r="AL782" s="76"/>
      <c r="AM782" s="76"/>
      <c r="AN782" s="76"/>
      <c r="AO782" s="76"/>
      <c r="AP782" s="76"/>
      <c r="AQ782" s="76"/>
      <c r="AR782" s="76"/>
      <c r="AS782" s="76"/>
      <c r="AT782" s="76"/>
      <c r="AU782" s="76"/>
      <c r="AV782" s="76"/>
      <c r="AW782" s="76"/>
      <c r="AX782" s="76"/>
      <c r="AY782" s="76"/>
      <c r="AZ782" s="76"/>
      <c r="BA782" s="76"/>
      <c r="BB782" s="76"/>
      <c r="BC782" s="76"/>
      <c r="BD782" s="76"/>
      <c r="BE782" s="76"/>
      <c r="BF782" s="76"/>
    </row>
    <row r="783" spans="1:58" s="153" customFormat="1" ht="14.1" customHeight="1">
      <c r="A783" s="75"/>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c r="AA783" s="76"/>
      <c r="AB783" s="76"/>
      <c r="AC783" s="76"/>
      <c r="AD783" s="76"/>
      <c r="AE783" s="76"/>
      <c r="AF783" s="76"/>
      <c r="AG783" s="76"/>
      <c r="AH783" s="76"/>
      <c r="AI783" s="76"/>
      <c r="AJ783" s="76"/>
      <c r="AK783" s="76"/>
      <c r="AL783" s="76"/>
      <c r="AM783" s="76"/>
      <c r="AN783" s="76"/>
      <c r="AO783" s="76"/>
      <c r="AP783" s="76"/>
      <c r="AQ783" s="76"/>
      <c r="AR783" s="76"/>
      <c r="AS783" s="76"/>
      <c r="AT783" s="76"/>
      <c r="AU783" s="76"/>
      <c r="AV783" s="76"/>
      <c r="AW783" s="76"/>
      <c r="AX783" s="76"/>
      <c r="AY783" s="76"/>
      <c r="AZ783" s="76"/>
      <c r="BA783" s="76"/>
      <c r="BB783" s="76"/>
      <c r="BC783" s="76"/>
      <c r="BD783" s="76"/>
      <c r="BE783" s="76"/>
      <c r="BF783" s="76"/>
    </row>
    <row r="784" spans="1:58" s="153" customFormat="1" ht="14.1" customHeight="1">
      <c r="A784" s="75"/>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c r="AA784" s="76"/>
      <c r="AB784" s="76"/>
      <c r="AC784" s="76"/>
      <c r="AD784" s="76"/>
      <c r="AE784" s="76"/>
      <c r="AF784" s="76"/>
      <c r="AG784" s="76"/>
      <c r="AH784" s="76"/>
      <c r="AI784" s="76"/>
      <c r="AJ784" s="76"/>
      <c r="AK784" s="76"/>
      <c r="AL784" s="76"/>
      <c r="AM784" s="76"/>
      <c r="AN784" s="76"/>
      <c r="AO784" s="76"/>
      <c r="AP784" s="76"/>
      <c r="AQ784" s="76"/>
      <c r="AR784" s="76"/>
      <c r="AS784" s="76"/>
      <c r="AT784" s="76"/>
      <c r="AU784" s="76"/>
      <c r="AV784" s="76"/>
      <c r="AW784" s="76"/>
      <c r="AX784" s="76"/>
      <c r="AY784" s="76"/>
      <c r="AZ784" s="76"/>
      <c r="BA784" s="76"/>
      <c r="BB784" s="76"/>
      <c r="BC784" s="76"/>
      <c r="BD784" s="76"/>
      <c r="BE784" s="76"/>
      <c r="BF784" s="76"/>
    </row>
    <row r="785" spans="1:58" s="153" customFormat="1" ht="14.1" customHeight="1">
      <c r="A785" s="75"/>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c r="AA785" s="76"/>
      <c r="AB785" s="76"/>
      <c r="AC785" s="76"/>
      <c r="AD785" s="76"/>
      <c r="AE785" s="76"/>
      <c r="AF785" s="76"/>
      <c r="AG785" s="76"/>
      <c r="AH785" s="76"/>
      <c r="AI785" s="76"/>
      <c r="AJ785" s="76"/>
      <c r="AK785" s="76"/>
      <c r="AL785" s="76"/>
      <c r="AM785" s="76"/>
      <c r="AN785" s="76"/>
      <c r="AO785" s="76"/>
      <c r="AP785" s="76"/>
      <c r="AQ785" s="76"/>
      <c r="AR785" s="76"/>
      <c r="AS785" s="76"/>
      <c r="AT785" s="76"/>
      <c r="AU785" s="76"/>
      <c r="AV785" s="76"/>
      <c r="AW785" s="76"/>
      <c r="AX785" s="76"/>
      <c r="AY785" s="76"/>
      <c r="AZ785" s="76"/>
      <c r="BA785" s="76"/>
      <c r="BB785" s="76"/>
      <c r="BC785" s="76"/>
      <c r="BD785" s="76"/>
      <c r="BE785" s="76"/>
      <c r="BF785" s="76"/>
    </row>
    <row r="786" spans="1:58" s="153" customFormat="1" ht="14.1" customHeight="1">
      <c r="A786" s="75"/>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c r="AA786" s="76"/>
      <c r="AB786" s="76"/>
      <c r="AC786" s="76"/>
      <c r="AD786" s="76"/>
      <c r="AE786" s="76"/>
      <c r="AF786" s="76"/>
      <c r="AG786" s="76"/>
      <c r="AH786" s="76"/>
      <c r="AI786" s="76"/>
      <c r="AJ786" s="76"/>
      <c r="AK786" s="76"/>
      <c r="AL786" s="76"/>
      <c r="AM786" s="76"/>
      <c r="AN786" s="76"/>
      <c r="AO786" s="76"/>
      <c r="AP786" s="76"/>
      <c r="AQ786" s="76"/>
      <c r="AR786" s="76"/>
      <c r="AS786" s="76"/>
      <c r="AT786" s="76"/>
      <c r="AU786" s="76"/>
      <c r="AV786" s="76"/>
      <c r="AW786" s="76"/>
      <c r="AX786" s="76"/>
      <c r="AY786" s="76"/>
      <c r="AZ786" s="76"/>
      <c r="BA786" s="76"/>
      <c r="BB786" s="76"/>
      <c r="BC786" s="76"/>
      <c r="BD786" s="76"/>
      <c r="BE786" s="76"/>
      <c r="BF786" s="76"/>
    </row>
    <row r="787" spans="1:58" s="153" customFormat="1" ht="14.1" customHeight="1">
      <c r="A787" s="75"/>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c r="AA787" s="76"/>
      <c r="AB787" s="76"/>
      <c r="AC787" s="76"/>
      <c r="AD787" s="76"/>
      <c r="AE787" s="76"/>
      <c r="AF787" s="76"/>
      <c r="AG787" s="76"/>
      <c r="AH787" s="76"/>
      <c r="AI787" s="76"/>
      <c r="AJ787" s="76"/>
      <c r="AK787" s="76"/>
      <c r="AL787" s="76"/>
      <c r="AM787" s="76"/>
      <c r="AN787" s="76"/>
      <c r="AO787" s="76"/>
      <c r="AP787" s="76"/>
      <c r="AQ787" s="76"/>
      <c r="AR787" s="76"/>
      <c r="AS787" s="76"/>
      <c r="AT787" s="76"/>
      <c r="AU787" s="76"/>
      <c r="AV787" s="76"/>
      <c r="AW787" s="76"/>
      <c r="AX787" s="76"/>
      <c r="AY787" s="76"/>
      <c r="AZ787" s="76"/>
      <c r="BA787" s="76"/>
      <c r="BB787" s="76"/>
      <c r="BC787" s="76"/>
      <c r="BD787" s="76"/>
      <c r="BE787" s="76"/>
      <c r="BF787" s="76"/>
    </row>
    <row r="788" spans="1:58" s="153" customFormat="1" ht="14.1" customHeight="1">
      <c r="A788" s="75"/>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c r="AA788" s="76"/>
      <c r="AB788" s="76"/>
      <c r="AC788" s="76"/>
      <c r="AD788" s="76"/>
      <c r="AE788" s="76"/>
      <c r="AF788" s="76"/>
      <c r="AG788" s="76"/>
      <c r="AH788" s="76"/>
      <c r="AI788" s="76"/>
      <c r="AJ788" s="76"/>
      <c r="AK788" s="76"/>
      <c r="AL788" s="76"/>
      <c r="AM788" s="76"/>
      <c r="AN788" s="76"/>
      <c r="AO788" s="76"/>
      <c r="AP788" s="76"/>
      <c r="AQ788" s="76"/>
      <c r="AR788" s="76"/>
      <c r="AS788" s="76"/>
      <c r="AT788" s="76"/>
      <c r="AU788" s="76"/>
      <c r="AV788" s="76"/>
      <c r="AW788" s="76"/>
      <c r="AX788" s="76"/>
      <c r="AY788" s="76"/>
      <c r="AZ788" s="76"/>
      <c r="BA788" s="76"/>
      <c r="BB788" s="76"/>
      <c r="BC788" s="76"/>
      <c r="BD788" s="76"/>
      <c r="BE788" s="76"/>
      <c r="BF788" s="76"/>
    </row>
    <row r="789" spans="1:58" s="153" customFormat="1" ht="14.1" customHeight="1">
      <c r="A789" s="75"/>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c r="AA789" s="76"/>
      <c r="AB789" s="76"/>
      <c r="AC789" s="76"/>
      <c r="AD789" s="76"/>
      <c r="AE789" s="76"/>
      <c r="AF789" s="76"/>
      <c r="AG789" s="76"/>
      <c r="AH789" s="76"/>
      <c r="AI789" s="76"/>
      <c r="AJ789" s="76"/>
      <c r="AK789" s="76"/>
      <c r="AL789" s="76"/>
      <c r="AM789" s="76"/>
      <c r="AN789" s="76"/>
      <c r="AO789" s="76"/>
      <c r="AP789" s="76"/>
      <c r="AQ789" s="76"/>
      <c r="AR789" s="76"/>
      <c r="AS789" s="76"/>
      <c r="AT789" s="76"/>
      <c r="AU789" s="76"/>
      <c r="AV789" s="76"/>
      <c r="AW789" s="76"/>
      <c r="AX789" s="76"/>
      <c r="AY789" s="76"/>
      <c r="AZ789" s="76"/>
      <c r="BA789" s="76"/>
      <c r="BB789" s="76"/>
      <c r="BC789" s="76"/>
      <c r="BD789" s="76"/>
      <c r="BE789" s="76"/>
      <c r="BF789" s="76"/>
    </row>
    <row r="790" spans="1:58" s="153" customFormat="1" ht="14.1" customHeight="1">
      <c r="A790" s="75"/>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c r="AA790" s="76"/>
      <c r="AB790" s="76"/>
      <c r="AC790" s="76"/>
      <c r="AD790" s="76"/>
      <c r="AE790" s="76"/>
      <c r="AF790" s="76"/>
      <c r="AG790" s="76"/>
      <c r="AH790" s="76"/>
      <c r="AI790" s="76"/>
      <c r="AJ790" s="76"/>
      <c r="AK790" s="76"/>
      <c r="AL790" s="76"/>
      <c r="AM790" s="76"/>
      <c r="AN790" s="76"/>
      <c r="AO790" s="76"/>
      <c r="AP790" s="76"/>
      <c r="AQ790" s="76"/>
      <c r="AR790" s="76"/>
      <c r="AS790" s="76"/>
      <c r="AT790" s="76"/>
      <c r="AU790" s="76"/>
      <c r="AV790" s="76"/>
      <c r="AW790" s="76"/>
      <c r="AX790" s="76"/>
      <c r="AY790" s="76"/>
      <c r="AZ790" s="76"/>
      <c r="BA790" s="76"/>
      <c r="BB790" s="76"/>
      <c r="BC790" s="76"/>
      <c r="BD790" s="76"/>
      <c r="BE790" s="76"/>
      <c r="BF790" s="76"/>
    </row>
    <row r="791" spans="1:58" s="153" customFormat="1" ht="14.1" customHeight="1">
      <c r="A791" s="75"/>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c r="AA791" s="76"/>
      <c r="AB791" s="76"/>
      <c r="AC791" s="76"/>
      <c r="AD791" s="76"/>
      <c r="AE791" s="76"/>
      <c r="AF791" s="76"/>
      <c r="AG791" s="76"/>
      <c r="AH791" s="76"/>
      <c r="AI791" s="76"/>
      <c r="AJ791" s="76"/>
      <c r="AK791" s="76"/>
      <c r="AL791" s="76"/>
      <c r="AM791" s="76"/>
      <c r="AN791" s="76"/>
      <c r="AO791" s="76"/>
      <c r="AP791" s="76"/>
      <c r="AQ791" s="76"/>
      <c r="AR791" s="76"/>
      <c r="AS791" s="76"/>
      <c r="AT791" s="76"/>
      <c r="AU791" s="76"/>
      <c r="AV791" s="76"/>
      <c r="AW791" s="76"/>
      <c r="AX791" s="76"/>
      <c r="AY791" s="76"/>
      <c r="AZ791" s="76"/>
      <c r="BA791" s="76"/>
      <c r="BB791" s="76"/>
      <c r="BC791" s="76"/>
      <c r="BD791" s="76"/>
      <c r="BE791" s="76"/>
      <c r="BF791" s="76"/>
    </row>
    <row r="792" spans="1:58" s="153" customFormat="1" ht="14.1" customHeight="1">
      <c r="A792" s="75"/>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c r="AA792" s="76"/>
      <c r="AB792" s="76"/>
      <c r="AC792" s="76"/>
      <c r="AD792" s="76"/>
      <c r="AE792" s="76"/>
      <c r="AF792" s="76"/>
      <c r="AG792" s="76"/>
      <c r="AH792" s="76"/>
      <c r="AI792" s="76"/>
      <c r="AJ792" s="76"/>
      <c r="AK792" s="76"/>
      <c r="AL792" s="76"/>
      <c r="AM792" s="76"/>
      <c r="AN792" s="76"/>
      <c r="AO792" s="76"/>
      <c r="AP792" s="76"/>
      <c r="AQ792" s="76"/>
      <c r="AR792" s="76"/>
      <c r="AS792" s="76"/>
      <c r="AT792" s="76"/>
      <c r="AU792" s="76"/>
      <c r="AV792" s="76"/>
      <c r="AW792" s="76"/>
      <c r="AX792" s="76"/>
      <c r="AY792" s="76"/>
      <c r="AZ792" s="76"/>
      <c r="BA792" s="76"/>
      <c r="BB792" s="76"/>
      <c r="BC792" s="76"/>
      <c r="BD792" s="76"/>
      <c r="BE792" s="76"/>
      <c r="BF792" s="76"/>
    </row>
    <row r="793" spans="1:58" s="153" customFormat="1" ht="14.1" customHeight="1">
      <c r="A793" s="75"/>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c r="AA793" s="76"/>
      <c r="AB793" s="76"/>
      <c r="AC793" s="76"/>
      <c r="AD793" s="76"/>
      <c r="AE793" s="76"/>
      <c r="AF793" s="76"/>
      <c r="AG793" s="76"/>
      <c r="AH793" s="76"/>
      <c r="AI793" s="76"/>
      <c r="AJ793" s="76"/>
      <c r="AK793" s="76"/>
      <c r="AL793" s="76"/>
      <c r="AM793" s="76"/>
      <c r="AN793" s="76"/>
      <c r="AO793" s="76"/>
      <c r="AP793" s="76"/>
      <c r="AQ793" s="76"/>
      <c r="AR793" s="76"/>
      <c r="AS793" s="76"/>
      <c r="AT793" s="76"/>
      <c r="AU793" s="76"/>
      <c r="AV793" s="76"/>
      <c r="AW793" s="76"/>
      <c r="AX793" s="76"/>
      <c r="AY793" s="76"/>
      <c r="AZ793" s="76"/>
      <c r="BA793" s="76"/>
      <c r="BB793" s="76"/>
      <c r="BC793" s="76"/>
      <c r="BD793" s="76"/>
      <c r="BE793" s="76"/>
      <c r="BF793" s="76"/>
    </row>
    <row r="794" spans="1:58" s="153" customFormat="1" ht="14.1" customHeight="1">
      <c r="A794" s="75"/>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c r="AA794" s="76"/>
      <c r="AB794" s="76"/>
      <c r="AC794" s="76"/>
      <c r="AD794" s="76"/>
      <c r="AE794" s="76"/>
      <c r="AF794" s="76"/>
      <c r="AG794" s="76"/>
      <c r="AH794" s="76"/>
      <c r="AI794" s="76"/>
      <c r="AJ794" s="76"/>
      <c r="AK794" s="76"/>
      <c r="AL794" s="76"/>
      <c r="AM794" s="76"/>
      <c r="AN794" s="76"/>
      <c r="AO794" s="76"/>
      <c r="AP794" s="76"/>
      <c r="AQ794" s="76"/>
      <c r="AR794" s="76"/>
      <c r="AS794" s="76"/>
      <c r="AT794" s="76"/>
      <c r="AU794" s="76"/>
      <c r="AV794" s="76"/>
      <c r="AW794" s="76"/>
      <c r="AX794" s="76"/>
      <c r="AY794" s="76"/>
      <c r="AZ794" s="76"/>
      <c r="BA794" s="76"/>
      <c r="BB794" s="76"/>
      <c r="BC794" s="76"/>
      <c r="BD794" s="76"/>
      <c r="BE794" s="76"/>
      <c r="BF794" s="76"/>
    </row>
    <row r="795" spans="1:58" s="153" customFormat="1" ht="14.1" customHeight="1">
      <c r="A795" s="75"/>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c r="AA795" s="76"/>
      <c r="AB795" s="76"/>
      <c r="AC795" s="76"/>
      <c r="AD795" s="76"/>
      <c r="AE795" s="76"/>
      <c r="AF795" s="76"/>
      <c r="AG795" s="76"/>
      <c r="AH795" s="76"/>
      <c r="AI795" s="76"/>
      <c r="AJ795" s="76"/>
      <c r="AK795" s="76"/>
      <c r="AL795" s="76"/>
      <c r="AM795" s="76"/>
      <c r="AN795" s="76"/>
      <c r="AO795" s="76"/>
      <c r="AP795" s="76"/>
      <c r="AQ795" s="76"/>
      <c r="AR795" s="76"/>
      <c r="AS795" s="76"/>
      <c r="AT795" s="76"/>
      <c r="AU795" s="76"/>
      <c r="AV795" s="76"/>
      <c r="AW795" s="76"/>
      <c r="AX795" s="76"/>
      <c r="AY795" s="76"/>
      <c r="AZ795" s="76"/>
      <c r="BA795" s="76"/>
      <c r="BB795" s="76"/>
      <c r="BC795" s="76"/>
      <c r="BD795" s="76"/>
      <c r="BE795" s="76"/>
      <c r="BF795" s="76"/>
    </row>
    <row r="796" spans="1:58" s="153" customFormat="1" ht="14.1" customHeight="1">
      <c r="A796" s="75"/>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c r="AA796" s="76"/>
      <c r="AB796" s="76"/>
      <c r="AC796" s="76"/>
      <c r="AD796" s="76"/>
      <c r="AE796" s="76"/>
      <c r="AF796" s="76"/>
      <c r="AG796" s="76"/>
      <c r="AH796" s="76"/>
      <c r="AI796" s="76"/>
      <c r="AJ796" s="76"/>
      <c r="AK796" s="76"/>
      <c r="AL796" s="76"/>
      <c r="AM796" s="76"/>
      <c r="AN796" s="76"/>
      <c r="AO796" s="76"/>
      <c r="AP796" s="76"/>
      <c r="AQ796" s="76"/>
      <c r="AR796" s="76"/>
      <c r="AS796" s="76"/>
      <c r="AT796" s="76"/>
      <c r="AU796" s="76"/>
      <c r="AV796" s="76"/>
      <c r="AW796" s="76"/>
      <c r="AX796" s="76"/>
      <c r="AY796" s="76"/>
      <c r="AZ796" s="76"/>
      <c r="BA796" s="76"/>
      <c r="BB796" s="76"/>
      <c r="BC796" s="76"/>
      <c r="BD796" s="76"/>
      <c r="BE796" s="76"/>
      <c r="BF796" s="76"/>
    </row>
    <row r="797" spans="1:58" s="153" customFormat="1" ht="14.1" customHeight="1">
      <c r="A797" s="75"/>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c r="AA797" s="76"/>
      <c r="AB797" s="76"/>
      <c r="AC797" s="76"/>
      <c r="AD797" s="76"/>
      <c r="AE797" s="76"/>
      <c r="AF797" s="76"/>
      <c r="AG797" s="76"/>
      <c r="AH797" s="76"/>
      <c r="AI797" s="76"/>
      <c r="AJ797" s="76"/>
      <c r="AK797" s="76"/>
      <c r="AL797" s="76"/>
      <c r="AM797" s="76"/>
      <c r="AN797" s="76"/>
      <c r="AO797" s="76"/>
      <c r="AP797" s="76"/>
      <c r="AQ797" s="76"/>
      <c r="AR797" s="76"/>
      <c r="AS797" s="76"/>
      <c r="AT797" s="76"/>
      <c r="AU797" s="76"/>
      <c r="AV797" s="76"/>
      <c r="AW797" s="76"/>
      <c r="AX797" s="76"/>
      <c r="AY797" s="76"/>
      <c r="AZ797" s="76"/>
      <c r="BA797" s="76"/>
      <c r="BB797" s="76"/>
      <c r="BC797" s="76"/>
      <c r="BD797" s="76"/>
      <c r="BE797" s="76"/>
      <c r="BF797" s="76"/>
    </row>
    <row r="798" spans="1:58" s="153" customFormat="1" ht="14.1" customHeight="1">
      <c r="A798" s="75"/>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c r="AA798" s="76"/>
      <c r="AB798" s="76"/>
      <c r="AC798" s="76"/>
      <c r="AD798" s="76"/>
      <c r="AE798" s="76"/>
      <c r="AF798" s="76"/>
      <c r="AG798" s="76"/>
      <c r="AH798" s="76"/>
      <c r="AI798" s="76"/>
      <c r="AJ798" s="76"/>
      <c r="AK798" s="76"/>
      <c r="AL798" s="76"/>
      <c r="AM798" s="76"/>
      <c r="AN798" s="76"/>
      <c r="AO798" s="76"/>
      <c r="AP798" s="76"/>
      <c r="AQ798" s="76"/>
      <c r="AR798" s="76"/>
      <c r="AS798" s="76"/>
      <c r="AT798" s="76"/>
      <c r="AU798" s="76"/>
      <c r="AV798" s="76"/>
      <c r="AW798" s="76"/>
      <c r="AX798" s="76"/>
      <c r="AY798" s="76"/>
      <c r="AZ798" s="76"/>
      <c r="BA798" s="76"/>
      <c r="BB798" s="76"/>
      <c r="BC798" s="76"/>
      <c r="BD798" s="76"/>
      <c r="BE798" s="76"/>
      <c r="BF798" s="76"/>
    </row>
    <row r="799" spans="1:58" s="153" customFormat="1" ht="14.1" customHeight="1">
      <c r="A799" s="75"/>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c r="AA799" s="76"/>
      <c r="AB799" s="76"/>
      <c r="AC799" s="76"/>
      <c r="AD799" s="76"/>
      <c r="AE799" s="76"/>
      <c r="AF799" s="76"/>
      <c r="AG799" s="76"/>
      <c r="AH799" s="76"/>
      <c r="AI799" s="76"/>
      <c r="AJ799" s="76"/>
      <c r="AK799" s="76"/>
      <c r="AL799" s="76"/>
      <c r="AM799" s="76"/>
      <c r="AN799" s="76"/>
      <c r="AO799" s="76"/>
      <c r="AP799" s="76"/>
      <c r="AQ799" s="76"/>
      <c r="AR799" s="76"/>
      <c r="AS799" s="76"/>
      <c r="AT799" s="76"/>
      <c r="AU799" s="76"/>
      <c r="AV799" s="76"/>
      <c r="AW799" s="76"/>
      <c r="AX799" s="76"/>
      <c r="AY799" s="76"/>
      <c r="AZ799" s="76"/>
      <c r="BA799" s="76"/>
      <c r="BB799" s="76"/>
      <c r="BC799" s="76"/>
      <c r="BD799" s="76"/>
      <c r="BE799" s="76"/>
      <c r="BF799" s="76"/>
    </row>
    <row r="800" spans="1:58" s="153" customFormat="1" ht="14.1" customHeight="1">
      <c r="A800" s="75"/>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c r="AA800" s="76"/>
      <c r="AB800" s="76"/>
      <c r="AC800" s="76"/>
      <c r="AD800" s="76"/>
      <c r="AE800" s="76"/>
      <c r="AF800" s="76"/>
      <c r="AG800" s="76"/>
      <c r="AH800" s="76"/>
      <c r="AI800" s="76"/>
      <c r="AJ800" s="76"/>
      <c r="AK800" s="76"/>
      <c r="AL800" s="76"/>
      <c r="AM800" s="76"/>
      <c r="AN800" s="76"/>
      <c r="AO800" s="76"/>
      <c r="AP800" s="76"/>
      <c r="AQ800" s="76"/>
      <c r="AR800" s="76"/>
      <c r="AS800" s="76"/>
      <c r="AT800" s="76"/>
      <c r="AU800" s="76"/>
      <c r="AV800" s="76"/>
      <c r="AW800" s="76"/>
      <c r="AX800" s="76"/>
      <c r="AY800" s="76"/>
      <c r="AZ800" s="76"/>
      <c r="BA800" s="76"/>
      <c r="BB800" s="76"/>
      <c r="BC800" s="76"/>
      <c r="BD800" s="76"/>
      <c r="BE800" s="76"/>
      <c r="BF800" s="76"/>
    </row>
    <row r="801" spans="1:58" s="153" customFormat="1" ht="14.1" customHeight="1">
      <c r="A801" s="75"/>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c r="AA801" s="76"/>
      <c r="AB801" s="76"/>
      <c r="AC801" s="76"/>
      <c r="AD801" s="76"/>
      <c r="AE801" s="76"/>
      <c r="AF801" s="76"/>
      <c r="AG801" s="76"/>
      <c r="AH801" s="76"/>
      <c r="AI801" s="76"/>
      <c r="AJ801" s="76"/>
      <c r="AK801" s="76"/>
      <c r="AL801" s="76"/>
      <c r="AM801" s="76"/>
      <c r="AN801" s="76"/>
      <c r="AO801" s="76"/>
      <c r="AP801" s="76"/>
      <c r="AQ801" s="76"/>
      <c r="AR801" s="76"/>
      <c r="AS801" s="76"/>
      <c r="AT801" s="76"/>
      <c r="AU801" s="76"/>
      <c r="AV801" s="76"/>
      <c r="AW801" s="76"/>
      <c r="AX801" s="76"/>
      <c r="AY801" s="76"/>
      <c r="AZ801" s="76"/>
      <c r="BA801" s="76"/>
      <c r="BB801" s="76"/>
      <c r="BC801" s="76"/>
      <c r="BD801" s="76"/>
      <c r="BE801" s="76"/>
      <c r="BF801" s="76"/>
    </row>
    <row r="802" spans="1:58" s="153" customFormat="1" ht="14.1" customHeight="1">
      <c r="A802" s="75"/>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c r="AA802" s="76"/>
      <c r="AB802" s="76"/>
      <c r="AC802" s="76"/>
      <c r="AD802" s="76"/>
      <c r="AE802" s="76"/>
      <c r="AF802" s="76"/>
      <c r="AG802" s="76"/>
      <c r="AH802" s="76"/>
      <c r="AI802" s="76"/>
      <c r="AJ802" s="76"/>
      <c r="AK802" s="76"/>
      <c r="AL802" s="76"/>
      <c r="AM802" s="76"/>
      <c r="AN802" s="76"/>
      <c r="AO802" s="76"/>
      <c r="AP802" s="76"/>
      <c r="AQ802" s="76"/>
      <c r="AR802" s="76"/>
      <c r="AS802" s="76"/>
      <c r="AT802" s="76"/>
      <c r="AU802" s="76"/>
      <c r="AV802" s="76"/>
      <c r="AW802" s="76"/>
      <c r="AX802" s="76"/>
      <c r="AY802" s="76"/>
      <c r="AZ802" s="76"/>
      <c r="BA802" s="76"/>
      <c r="BB802" s="76"/>
      <c r="BC802" s="76"/>
      <c r="BD802" s="76"/>
      <c r="BE802" s="76"/>
      <c r="BF802" s="76"/>
    </row>
    <row r="803" spans="1:58" s="153" customFormat="1" ht="14.1" customHeight="1">
      <c r="A803" s="75"/>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c r="AA803" s="76"/>
      <c r="AB803" s="76"/>
      <c r="AC803" s="76"/>
      <c r="AD803" s="76"/>
      <c r="AE803" s="76"/>
      <c r="AF803" s="76"/>
      <c r="AG803" s="76"/>
      <c r="AH803" s="76"/>
      <c r="AI803" s="76"/>
      <c r="AJ803" s="76"/>
      <c r="AK803" s="76"/>
      <c r="AL803" s="76"/>
      <c r="AM803" s="76"/>
      <c r="AN803" s="76"/>
      <c r="AO803" s="76"/>
      <c r="AP803" s="76"/>
      <c r="AQ803" s="76"/>
      <c r="AR803" s="76"/>
      <c r="AS803" s="76"/>
      <c r="AT803" s="76"/>
      <c r="AU803" s="76"/>
      <c r="AV803" s="76"/>
      <c r="AW803" s="76"/>
      <c r="AX803" s="76"/>
      <c r="AY803" s="76"/>
      <c r="AZ803" s="76"/>
      <c r="BA803" s="76"/>
      <c r="BB803" s="76"/>
      <c r="BC803" s="76"/>
      <c r="BD803" s="76"/>
      <c r="BE803" s="76"/>
      <c r="BF803" s="76"/>
    </row>
    <row r="804" spans="1:58" s="153" customFormat="1" ht="14.1" customHeight="1">
      <c r="A804" s="75"/>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c r="AA804" s="76"/>
      <c r="AB804" s="76"/>
      <c r="AC804" s="76"/>
      <c r="AD804" s="76"/>
      <c r="AE804" s="76"/>
      <c r="AF804" s="76"/>
      <c r="AG804" s="76"/>
      <c r="AH804" s="76"/>
      <c r="AI804" s="76"/>
      <c r="AJ804" s="76"/>
      <c r="AK804" s="76"/>
      <c r="AL804" s="76"/>
      <c r="AM804" s="76"/>
      <c r="AN804" s="76"/>
      <c r="AO804" s="76"/>
      <c r="AP804" s="76"/>
      <c r="AQ804" s="76"/>
      <c r="AR804" s="76"/>
      <c r="AS804" s="76"/>
      <c r="AT804" s="76"/>
      <c r="AU804" s="76"/>
      <c r="AV804" s="76"/>
      <c r="AW804" s="76"/>
      <c r="AX804" s="76"/>
      <c r="AY804" s="76"/>
      <c r="AZ804" s="76"/>
      <c r="BA804" s="76"/>
      <c r="BB804" s="76"/>
      <c r="BC804" s="76"/>
      <c r="BD804" s="76"/>
      <c r="BE804" s="76"/>
      <c r="BF804" s="76"/>
    </row>
    <row r="805" spans="1:58" s="153" customFormat="1" ht="14.1" customHeight="1">
      <c r="A805" s="75"/>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c r="AA805" s="76"/>
      <c r="AB805" s="76"/>
      <c r="AC805" s="76"/>
      <c r="AD805" s="76"/>
      <c r="AE805" s="76"/>
      <c r="AF805" s="76"/>
      <c r="AG805" s="76"/>
      <c r="AH805" s="76"/>
      <c r="AI805" s="76"/>
      <c r="AJ805" s="76"/>
      <c r="AK805" s="76"/>
      <c r="AL805" s="76"/>
      <c r="AM805" s="76"/>
      <c r="AN805" s="76"/>
      <c r="AO805" s="76"/>
      <c r="AP805" s="76"/>
      <c r="AQ805" s="76"/>
      <c r="AR805" s="76"/>
      <c r="AS805" s="76"/>
      <c r="AT805" s="76"/>
      <c r="AU805" s="76"/>
      <c r="AV805" s="76"/>
      <c r="AW805" s="76"/>
      <c r="AX805" s="76"/>
      <c r="AY805" s="76"/>
      <c r="AZ805" s="76"/>
      <c r="BA805" s="76"/>
      <c r="BB805" s="76"/>
      <c r="BC805" s="76"/>
      <c r="BD805" s="76"/>
      <c r="BE805" s="76"/>
      <c r="BF805" s="76"/>
    </row>
    <row r="806" spans="1:58" s="153" customFormat="1" ht="14.1" customHeight="1">
      <c r="A806" s="75"/>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c r="AA806" s="76"/>
      <c r="AB806" s="76"/>
      <c r="AC806" s="76"/>
      <c r="AD806" s="76"/>
      <c r="AE806" s="76"/>
      <c r="AF806" s="76"/>
      <c r="AG806" s="76"/>
      <c r="AH806" s="76"/>
      <c r="AI806" s="76"/>
      <c r="AJ806" s="76"/>
      <c r="AK806" s="76"/>
      <c r="AL806" s="76"/>
      <c r="AM806" s="76"/>
      <c r="AN806" s="76"/>
      <c r="AO806" s="76"/>
      <c r="AP806" s="76"/>
      <c r="AQ806" s="76"/>
      <c r="AR806" s="76"/>
      <c r="AS806" s="76"/>
      <c r="AT806" s="76"/>
      <c r="AU806" s="76"/>
      <c r="AV806" s="76"/>
      <c r="AW806" s="76"/>
      <c r="AX806" s="76"/>
      <c r="AY806" s="76"/>
      <c r="AZ806" s="76"/>
      <c r="BA806" s="76"/>
      <c r="BB806" s="76"/>
      <c r="BC806" s="76"/>
      <c r="BD806" s="76"/>
      <c r="BE806" s="76"/>
      <c r="BF806" s="76"/>
    </row>
    <row r="807" spans="1:58" s="153" customFormat="1" ht="14.1" customHeight="1">
      <c r="A807" s="75"/>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c r="AA807" s="76"/>
      <c r="AB807" s="76"/>
      <c r="AC807" s="76"/>
      <c r="AD807" s="76"/>
      <c r="AE807" s="76"/>
      <c r="AF807" s="76"/>
      <c r="AG807" s="76"/>
      <c r="AH807" s="76"/>
      <c r="AI807" s="76"/>
      <c r="AJ807" s="76"/>
      <c r="AK807" s="76"/>
      <c r="AL807" s="76"/>
      <c r="AM807" s="76"/>
      <c r="AN807" s="76"/>
      <c r="AO807" s="76"/>
      <c r="AP807" s="76"/>
      <c r="AQ807" s="76"/>
      <c r="AR807" s="76"/>
      <c r="AS807" s="76"/>
      <c r="AT807" s="76"/>
      <c r="AU807" s="76"/>
      <c r="AV807" s="76"/>
      <c r="AW807" s="76"/>
      <c r="AX807" s="76"/>
      <c r="AY807" s="76"/>
      <c r="AZ807" s="76"/>
      <c r="BA807" s="76"/>
      <c r="BB807" s="76"/>
      <c r="BC807" s="76"/>
      <c r="BD807" s="76"/>
      <c r="BE807" s="76"/>
      <c r="BF807" s="76"/>
    </row>
    <row r="808" spans="1:58" s="153" customFormat="1" ht="14.1" customHeight="1">
      <c r="A808" s="75"/>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c r="AA808" s="76"/>
      <c r="AB808" s="76"/>
      <c r="AC808" s="76"/>
      <c r="AD808" s="76"/>
      <c r="AE808" s="76"/>
      <c r="AF808" s="76"/>
      <c r="AG808" s="76"/>
      <c r="AH808" s="76"/>
      <c r="AI808" s="76"/>
      <c r="AJ808" s="76"/>
      <c r="AK808" s="76"/>
      <c r="AL808" s="76"/>
      <c r="AM808" s="76"/>
      <c r="AN808" s="76"/>
      <c r="AO808" s="76"/>
      <c r="AP808" s="76"/>
      <c r="AQ808" s="76"/>
      <c r="AR808" s="76"/>
      <c r="AS808" s="76"/>
      <c r="AT808" s="76"/>
      <c r="AU808" s="76"/>
      <c r="AV808" s="76"/>
      <c r="AW808" s="76"/>
      <c r="AX808" s="76"/>
      <c r="AY808" s="76"/>
      <c r="AZ808" s="76"/>
      <c r="BA808" s="76"/>
      <c r="BB808" s="76"/>
      <c r="BC808" s="76"/>
      <c r="BD808" s="76"/>
      <c r="BE808" s="76"/>
      <c r="BF808" s="76"/>
    </row>
    <row r="809" spans="1:58" s="153" customFormat="1" ht="14.1" customHeight="1">
      <c r="A809" s="75"/>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c r="AA809" s="76"/>
      <c r="AB809" s="76"/>
      <c r="AC809" s="76"/>
      <c r="AD809" s="76"/>
      <c r="AE809" s="76"/>
      <c r="AF809" s="76"/>
      <c r="AG809" s="76"/>
      <c r="AH809" s="76"/>
      <c r="AI809" s="76"/>
      <c r="AJ809" s="76"/>
      <c r="AK809" s="76"/>
      <c r="AL809" s="76"/>
      <c r="AM809" s="76"/>
      <c r="AN809" s="76"/>
      <c r="AO809" s="76"/>
      <c r="AP809" s="76"/>
      <c r="AQ809" s="76"/>
      <c r="AR809" s="76"/>
      <c r="AS809" s="76"/>
      <c r="AT809" s="76"/>
      <c r="AU809" s="76"/>
      <c r="AV809" s="76"/>
      <c r="AW809" s="76"/>
      <c r="AX809" s="76"/>
      <c r="AY809" s="76"/>
      <c r="AZ809" s="76"/>
      <c r="BA809" s="76"/>
      <c r="BB809" s="76"/>
      <c r="BC809" s="76"/>
      <c r="BD809" s="76"/>
      <c r="BE809" s="76"/>
      <c r="BF809" s="76"/>
    </row>
    <row r="810" spans="1:58" s="153" customFormat="1" ht="14.1" customHeight="1">
      <c r="A810" s="75"/>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c r="AA810" s="76"/>
      <c r="AB810" s="76"/>
      <c r="AC810" s="76"/>
      <c r="AD810" s="76"/>
      <c r="AE810" s="76"/>
      <c r="AF810" s="76"/>
      <c r="AG810" s="76"/>
      <c r="AH810" s="76"/>
      <c r="AI810" s="76"/>
      <c r="AJ810" s="76"/>
      <c r="AK810" s="76"/>
      <c r="AL810" s="76"/>
      <c r="AM810" s="76"/>
      <c r="AN810" s="76"/>
      <c r="AO810" s="76"/>
      <c r="AP810" s="76"/>
      <c r="AQ810" s="76"/>
      <c r="AR810" s="76"/>
      <c r="AS810" s="76"/>
      <c r="AT810" s="76"/>
      <c r="AU810" s="76"/>
      <c r="AV810" s="76"/>
      <c r="AW810" s="76"/>
      <c r="AX810" s="76"/>
      <c r="AY810" s="76"/>
      <c r="AZ810" s="76"/>
      <c r="BA810" s="76"/>
      <c r="BB810" s="76"/>
      <c r="BC810" s="76"/>
      <c r="BD810" s="76"/>
      <c r="BE810" s="76"/>
      <c r="BF810" s="76"/>
    </row>
    <row r="811" spans="1:58" s="153" customFormat="1" ht="14.1" customHeight="1">
      <c r="A811" s="75"/>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c r="AA811" s="76"/>
      <c r="AB811" s="76"/>
      <c r="AC811" s="76"/>
      <c r="AD811" s="76"/>
      <c r="AE811" s="76"/>
      <c r="AF811" s="76"/>
      <c r="AG811" s="76"/>
      <c r="AH811" s="76"/>
      <c r="AI811" s="76"/>
      <c r="AJ811" s="76"/>
      <c r="AK811" s="76"/>
      <c r="AL811" s="76"/>
      <c r="AM811" s="76"/>
      <c r="AN811" s="76"/>
      <c r="AO811" s="76"/>
      <c r="AP811" s="76"/>
      <c r="AQ811" s="76"/>
      <c r="AR811" s="76"/>
      <c r="AS811" s="76"/>
      <c r="AT811" s="76"/>
      <c r="AU811" s="76"/>
      <c r="AV811" s="76"/>
      <c r="AW811" s="76"/>
      <c r="AX811" s="76"/>
      <c r="AY811" s="76"/>
      <c r="AZ811" s="76"/>
      <c r="BA811" s="76"/>
      <c r="BB811" s="76"/>
      <c r="BC811" s="76"/>
      <c r="BD811" s="76"/>
      <c r="BE811" s="76"/>
      <c r="BF811" s="76"/>
    </row>
    <row r="812" spans="1:58" s="153" customFormat="1" ht="14.1" customHeight="1">
      <c r="A812" s="75"/>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c r="AA812" s="76"/>
      <c r="AB812" s="76"/>
      <c r="AC812" s="76"/>
      <c r="AD812" s="76"/>
      <c r="AE812" s="76"/>
      <c r="AF812" s="76"/>
      <c r="AG812" s="76"/>
      <c r="AH812" s="76"/>
      <c r="AI812" s="76"/>
      <c r="AJ812" s="76"/>
      <c r="AK812" s="76"/>
      <c r="AL812" s="76"/>
      <c r="AM812" s="76"/>
      <c r="AN812" s="76"/>
      <c r="AO812" s="76"/>
      <c r="AP812" s="76"/>
      <c r="AQ812" s="76"/>
      <c r="AR812" s="76"/>
      <c r="AS812" s="76"/>
      <c r="AT812" s="76"/>
      <c r="AU812" s="76"/>
      <c r="AV812" s="76"/>
      <c r="AW812" s="76"/>
      <c r="AX812" s="76"/>
      <c r="AY812" s="76"/>
      <c r="AZ812" s="76"/>
      <c r="BA812" s="76"/>
      <c r="BB812" s="76"/>
      <c r="BC812" s="76"/>
      <c r="BD812" s="76"/>
      <c r="BE812" s="76"/>
      <c r="BF812" s="76"/>
    </row>
    <row r="813" spans="1:58" s="153" customFormat="1" ht="14.1" customHeight="1">
      <c r="A813" s="75"/>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c r="AA813" s="76"/>
      <c r="AB813" s="76"/>
      <c r="AC813" s="76"/>
      <c r="AD813" s="76"/>
      <c r="AE813" s="76"/>
      <c r="AF813" s="76"/>
      <c r="AG813" s="76"/>
      <c r="AH813" s="76"/>
      <c r="AI813" s="76"/>
      <c r="AJ813" s="76"/>
      <c r="AK813" s="76"/>
      <c r="AL813" s="76"/>
      <c r="AM813" s="76"/>
      <c r="AN813" s="76"/>
      <c r="AO813" s="76"/>
      <c r="AP813" s="76"/>
      <c r="AQ813" s="76"/>
      <c r="AR813" s="76"/>
      <c r="AS813" s="76"/>
      <c r="AT813" s="76"/>
      <c r="AU813" s="76"/>
      <c r="AV813" s="76"/>
      <c r="AW813" s="76"/>
      <c r="AX813" s="76"/>
      <c r="AY813" s="76"/>
      <c r="AZ813" s="76"/>
      <c r="BA813" s="76"/>
      <c r="BB813" s="76"/>
      <c r="BC813" s="76"/>
      <c r="BD813" s="76"/>
      <c r="BE813" s="76"/>
      <c r="BF813" s="76"/>
    </row>
    <row r="814" spans="1:58" s="153" customFormat="1" ht="14.1" customHeight="1">
      <c r="A814" s="75"/>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c r="AA814" s="76"/>
      <c r="AB814" s="76"/>
      <c r="AC814" s="76"/>
      <c r="AD814" s="76"/>
      <c r="AE814" s="76"/>
      <c r="AF814" s="76"/>
      <c r="AG814" s="76"/>
      <c r="AH814" s="76"/>
      <c r="AI814" s="76"/>
      <c r="AJ814" s="76"/>
      <c r="AK814" s="76"/>
      <c r="AL814" s="76"/>
      <c r="AM814" s="76"/>
      <c r="AN814" s="76"/>
      <c r="AO814" s="76"/>
      <c r="AP814" s="76"/>
      <c r="AQ814" s="76"/>
      <c r="AR814" s="76"/>
      <c r="AS814" s="76"/>
      <c r="AT814" s="76"/>
      <c r="AU814" s="76"/>
      <c r="AV814" s="76"/>
      <c r="AW814" s="76"/>
      <c r="AX814" s="76"/>
      <c r="AY814" s="76"/>
      <c r="AZ814" s="76"/>
      <c r="BA814" s="76"/>
      <c r="BB814" s="76"/>
      <c r="BC814" s="76"/>
      <c r="BD814" s="76"/>
      <c r="BE814" s="76"/>
      <c r="BF814" s="76"/>
    </row>
    <row r="815" spans="1:58" s="153" customFormat="1" ht="14.1" customHeight="1">
      <c r="A815" s="75"/>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c r="AA815" s="76"/>
      <c r="AB815" s="76"/>
      <c r="AC815" s="76"/>
      <c r="AD815" s="76"/>
      <c r="AE815" s="76"/>
      <c r="AF815" s="76"/>
      <c r="AG815" s="76"/>
      <c r="AH815" s="76"/>
      <c r="AI815" s="76"/>
      <c r="AJ815" s="76"/>
      <c r="AK815" s="76"/>
      <c r="AL815" s="76"/>
      <c r="AM815" s="76"/>
      <c r="AN815" s="76"/>
      <c r="AO815" s="76"/>
      <c r="AP815" s="76"/>
      <c r="AQ815" s="76"/>
      <c r="AR815" s="76"/>
      <c r="AS815" s="76"/>
      <c r="AT815" s="76"/>
      <c r="AU815" s="76"/>
      <c r="AV815" s="76"/>
      <c r="AW815" s="76"/>
      <c r="AX815" s="76"/>
      <c r="AY815" s="76"/>
      <c r="AZ815" s="76"/>
      <c r="BA815" s="76"/>
      <c r="BB815" s="76"/>
      <c r="BC815" s="76"/>
      <c r="BD815" s="76"/>
      <c r="BE815" s="76"/>
      <c r="BF815" s="76"/>
    </row>
    <row r="816" spans="1:58" s="153" customFormat="1" ht="14.1" customHeight="1">
      <c r="A816" s="75"/>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c r="AA816" s="76"/>
      <c r="AB816" s="76"/>
      <c r="AC816" s="76"/>
      <c r="AD816" s="76"/>
      <c r="AE816" s="76"/>
      <c r="AF816" s="76"/>
      <c r="AG816" s="76"/>
      <c r="AH816" s="76"/>
      <c r="AI816" s="76"/>
      <c r="AJ816" s="76"/>
      <c r="AK816" s="76"/>
      <c r="AL816" s="76"/>
      <c r="AM816" s="76"/>
      <c r="AN816" s="76"/>
      <c r="AO816" s="76"/>
      <c r="AP816" s="76"/>
      <c r="AQ816" s="76"/>
      <c r="AR816" s="76"/>
      <c r="AS816" s="76"/>
      <c r="AT816" s="76"/>
      <c r="AU816" s="76"/>
      <c r="AV816" s="76"/>
      <c r="AW816" s="76"/>
      <c r="AX816" s="76"/>
      <c r="AY816" s="76"/>
      <c r="AZ816" s="76"/>
      <c r="BA816" s="76"/>
      <c r="BB816" s="76"/>
      <c r="BC816" s="76"/>
      <c r="BD816" s="76"/>
      <c r="BE816" s="76"/>
      <c r="BF816" s="76"/>
    </row>
    <row r="817" spans="1:58" s="153" customFormat="1" ht="14.1" customHeight="1">
      <c r="A817" s="75"/>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c r="AA817" s="76"/>
      <c r="AB817" s="76"/>
      <c r="AC817" s="76"/>
      <c r="AD817" s="76"/>
      <c r="AE817" s="76"/>
      <c r="AF817" s="76"/>
      <c r="AG817" s="76"/>
      <c r="AH817" s="76"/>
      <c r="AI817" s="76"/>
      <c r="AJ817" s="76"/>
      <c r="AK817" s="76"/>
      <c r="AL817" s="76"/>
      <c r="AM817" s="76"/>
      <c r="AN817" s="76"/>
      <c r="AO817" s="76"/>
      <c r="AP817" s="76"/>
      <c r="AQ817" s="76"/>
      <c r="AR817" s="76"/>
      <c r="AS817" s="76"/>
      <c r="AT817" s="76"/>
      <c r="AU817" s="76"/>
      <c r="AV817" s="76"/>
      <c r="AW817" s="76"/>
      <c r="AX817" s="76"/>
      <c r="AY817" s="76"/>
      <c r="AZ817" s="76"/>
      <c r="BA817" s="76"/>
      <c r="BB817" s="76"/>
      <c r="BC817" s="76"/>
      <c r="BD817" s="76"/>
      <c r="BE817" s="76"/>
      <c r="BF817" s="76"/>
    </row>
    <row r="818" spans="1:58" s="153" customFormat="1" ht="14.1" customHeight="1">
      <c r="A818" s="75"/>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c r="AA818" s="76"/>
      <c r="AB818" s="76"/>
      <c r="AC818" s="76"/>
      <c r="AD818" s="76"/>
      <c r="AE818" s="76"/>
      <c r="AF818" s="76"/>
      <c r="AG818" s="76"/>
      <c r="AH818" s="76"/>
      <c r="AI818" s="76"/>
      <c r="AJ818" s="76"/>
      <c r="AK818" s="76"/>
      <c r="AL818" s="76"/>
      <c r="AM818" s="76"/>
      <c r="AN818" s="76"/>
      <c r="AO818" s="76"/>
      <c r="AP818" s="76"/>
      <c r="AQ818" s="76"/>
      <c r="AR818" s="76"/>
      <c r="AS818" s="76"/>
      <c r="AT818" s="76"/>
      <c r="AU818" s="76"/>
      <c r="AV818" s="76"/>
      <c r="AW818" s="76"/>
      <c r="AX818" s="76"/>
      <c r="AY818" s="76"/>
      <c r="AZ818" s="76"/>
      <c r="BA818" s="76"/>
      <c r="BB818" s="76"/>
      <c r="BC818" s="76"/>
      <c r="BD818" s="76"/>
      <c r="BE818" s="76"/>
      <c r="BF818" s="76"/>
    </row>
    <row r="819" spans="1:58" s="153" customFormat="1" ht="14.1" customHeight="1">
      <c r="A819" s="75"/>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c r="AA819" s="76"/>
      <c r="AB819" s="76"/>
      <c r="AC819" s="76"/>
      <c r="AD819" s="76"/>
      <c r="AE819" s="76"/>
      <c r="AF819" s="76"/>
      <c r="AG819" s="76"/>
      <c r="AH819" s="76"/>
      <c r="AI819" s="76"/>
      <c r="AJ819" s="76"/>
      <c r="AK819" s="76"/>
      <c r="AL819" s="76"/>
      <c r="AM819" s="76"/>
      <c r="AN819" s="76"/>
      <c r="AO819" s="76"/>
      <c r="AP819" s="76"/>
      <c r="AQ819" s="76"/>
      <c r="AR819" s="76"/>
      <c r="AS819" s="76"/>
      <c r="AT819" s="76"/>
      <c r="AU819" s="76"/>
      <c r="AV819" s="76"/>
      <c r="AW819" s="76"/>
      <c r="AX819" s="76"/>
      <c r="AY819" s="76"/>
      <c r="AZ819" s="76"/>
      <c r="BA819" s="76"/>
      <c r="BB819" s="76"/>
      <c r="BC819" s="76"/>
      <c r="BD819" s="76"/>
      <c r="BE819" s="76"/>
      <c r="BF819" s="76"/>
    </row>
    <row r="820" spans="1:58" s="153" customFormat="1" ht="14.1" customHeight="1">
      <c r="A820" s="75"/>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c r="AA820" s="76"/>
      <c r="AB820" s="76"/>
      <c r="AC820" s="76"/>
      <c r="AD820" s="76"/>
      <c r="AE820" s="76"/>
      <c r="AF820" s="76"/>
      <c r="AG820" s="76"/>
      <c r="AH820" s="76"/>
      <c r="AI820" s="76"/>
      <c r="AJ820" s="76"/>
      <c r="AK820" s="76"/>
      <c r="AL820" s="76"/>
      <c r="AM820" s="76"/>
      <c r="AN820" s="76"/>
      <c r="AO820" s="76"/>
      <c r="AP820" s="76"/>
      <c r="AQ820" s="76"/>
      <c r="AR820" s="76"/>
      <c r="AS820" s="76"/>
      <c r="AT820" s="76"/>
      <c r="AU820" s="76"/>
      <c r="AV820" s="76"/>
      <c r="AW820" s="76"/>
      <c r="AX820" s="76"/>
      <c r="AY820" s="76"/>
      <c r="AZ820" s="76"/>
      <c r="BA820" s="76"/>
      <c r="BB820" s="76"/>
      <c r="BC820" s="76"/>
      <c r="BD820" s="76"/>
      <c r="BE820" s="76"/>
      <c r="BF820" s="76"/>
    </row>
    <row r="821" spans="1:58" s="153" customFormat="1" ht="14.1" customHeight="1">
      <c r="A821" s="75"/>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c r="AA821" s="76"/>
      <c r="AB821" s="76"/>
      <c r="AC821" s="76"/>
      <c r="AD821" s="76"/>
      <c r="AE821" s="76"/>
      <c r="AF821" s="76"/>
      <c r="AG821" s="76"/>
      <c r="AH821" s="76"/>
      <c r="AI821" s="76"/>
      <c r="AJ821" s="76"/>
      <c r="AK821" s="76"/>
      <c r="AL821" s="76"/>
      <c r="AM821" s="76"/>
      <c r="AN821" s="76"/>
      <c r="AO821" s="76"/>
      <c r="AP821" s="76"/>
      <c r="AQ821" s="76"/>
      <c r="AR821" s="76"/>
      <c r="AS821" s="76"/>
      <c r="AT821" s="76"/>
      <c r="AU821" s="76"/>
      <c r="AV821" s="76"/>
      <c r="AW821" s="76"/>
      <c r="AX821" s="76"/>
      <c r="AY821" s="76"/>
      <c r="AZ821" s="76"/>
      <c r="BA821" s="76"/>
      <c r="BB821" s="76"/>
      <c r="BC821" s="76"/>
      <c r="BD821" s="76"/>
      <c r="BE821" s="76"/>
      <c r="BF821" s="76"/>
    </row>
    <row r="822" spans="1:58" s="153" customFormat="1" ht="14.1" customHeight="1">
      <c r="A822" s="75"/>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c r="AA822" s="76"/>
      <c r="AB822" s="76"/>
      <c r="AC822" s="76"/>
      <c r="AD822" s="76"/>
      <c r="AE822" s="76"/>
      <c r="AF822" s="76"/>
      <c r="AG822" s="76"/>
      <c r="AH822" s="76"/>
      <c r="AI822" s="76"/>
      <c r="AJ822" s="76"/>
      <c r="AK822" s="76"/>
      <c r="AL822" s="76"/>
      <c r="AM822" s="76"/>
      <c r="AN822" s="76"/>
      <c r="AO822" s="76"/>
      <c r="AP822" s="76"/>
      <c r="AQ822" s="76"/>
      <c r="AR822" s="76"/>
      <c r="AS822" s="76"/>
      <c r="AT822" s="76"/>
      <c r="AU822" s="76"/>
      <c r="AV822" s="76"/>
      <c r="AW822" s="76"/>
      <c r="AX822" s="76"/>
      <c r="AY822" s="76"/>
      <c r="AZ822" s="76"/>
      <c r="BA822" s="76"/>
      <c r="BB822" s="76"/>
      <c r="BC822" s="76"/>
      <c r="BD822" s="76"/>
      <c r="BE822" s="76"/>
      <c r="BF822" s="76"/>
    </row>
    <row r="823" spans="1:58" s="153" customFormat="1" ht="14.1" customHeight="1">
      <c r="A823" s="75"/>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c r="AA823" s="76"/>
      <c r="AB823" s="76"/>
      <c r="AC823" s="76"/>
      <c r="AD823" s="76"/>
      <c r="AE823" s="76"/>
      <c r="AF823" s="76"/>
      <c r="AG823" s="76"/>
      <c r="AH823" s="76"/>
      <c r="AI823" s="76"/>
      <c r="AJ823" s="76"/>
      <c r="AK823" s="76"/>
      <c r="AL823" s="76"/>
      <c r="AM823" s="76"/>
      <c r="AN823" s="76"/>
      <c r="AO823" s="76"/>
      <c r="AP823" s="76"/>
      <c r="AQ823" s="76"/>
      <c r="AR823" s="76"/>
      <c r="AS823" s="76"/>
      <c r="AT823" s="76"/>
      <c r="AU823" s="76"/>
      <c r="AV823" s="76"/>
      <c r="AW823" s="76"/>
      <c r="AX823" s="76"/>
      <c r="AY823" s="76"/>
      <c r="AZ823" s="76"/>
      <c r="BA823" s="76"/>
      <c r="BB823" s="76"/>
      <c r="BC823" s="76"/>
      <c r="BD823" s="76"/>
      <c r="BE823" s="76"/>
      <c r="BF823" s="76"/>
    </row>
    <row r="824" spans="1:58" s="153" customFormat="1" ht="14.1" customHeight="1">
      <c r="A824" s="75"/>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c r="AA824" s="76"/>
      <c r="AB824" s="76"/>
      <c r="AC824" s="76"/>
      <c r="AD824" s="76"/>
      <c r="AE824" s="76"/>
      <c r="AF824" s="76"/>
      <c r="AG824" s="76"/>
      <c r="AH824" s="76"/>
      <c r="AI824" s="76"/>
      <c r="AJ824" s="76"/>
      <c r="AK824" s="76"/>
      <c r="AL824" s="76"/>
      <c r="AM824" s="76"/>
      <c r="AN824" s="76"/>
      <c r="AO824" s="76"/>
      <c r="AP824" s="76"/>
      <c r="AQ824" s="76"/>
      <c r="AR824" s="76"/>
      <c r="AS824" s="76"/>
      <c r="AT824" s="76"/>
      <c r="AU824" s="76"/>
      <c r="AV824" s="76"/>
      <c r="AW824" s="76"/>
      <c r="AX824" s="76"/>
      <c r="AY824" s="76"/>
      <c r="AZ824" s="76"/>
      <c r="BA824" s="76"/>
      <c r="BB824" s="76"/>
      <c r="BC824" s="76"/>
      <c r="BD824" s="76"/>
      <c r="BE824" s="76"/>
      <c r="BF824" s="76"/>
    </row>
    <row r="825" spans="1:58" s="153" customFormat="1" ht="14.1" customHeight="1">
      <c r="A825" s="75"/>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c r="AA825" s="76"/>
      <c r="AB825" s="76"/>
      <c r="AC825" s="76"/>
      <c r="AD825" s="76"/>
      <c r="AE825" s="76"/>
      <c r="AF825" s="76"/>
      <c r="AG825" s="76"/>
      <c r="AH825" s="76"/>
      <c r="AI825" s="76"/>
      <c r="AJ825" s="76"/>
      <c r="AK825" s="76"/>
      <c r="AL825" s="76"/>
      <c r="AM825" s="76"/>
      <c r="AN825" s="76"/>
      <c r="AO825" s="76"/>
      <c r="AP825" s="76"/>
      <c r="AQ825" s="76"/>
      <c r="AR825" s="76"/>
      <c r="AS825" s="76"/>
      <c r="AT825" s="76"/>
      <c r="AU825" s="76"/>
      <c r="AV825" s="76"/>
      <c r="AW825" s="76"/>
      <c r="AX825" s="76"/>
      <c r="AY825" s="76"/>
      <c r="AZ825" s="76"/>
      <c r="BA825" s="76"/>
      <c r="BB825" s="76"/>
      <c r="BC825" s="76"/>
      <c r="BD825" s="76"/>
      <c r="BE825" s="76"/>
      <c r="BF825" s="76"/>
    </row>
    <row r="826" spans="1:58" s="153" customFormat="1" ht="14.1" customHeight="1">
      <c r="A826" s="75"/>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c r="AA826" s="76"/>
      <c r="AB826" s="76"/>
      <c r="AC826" s="76"/>
      <c r="AD826" s="76"/>
      <c r="AE826" s="76"/>
      <c r="AF826" s="76"/>
      <c r="AG826" s="76"/>
      <c r="AH826" s="76"/>
      <c r="AI826" s="76"/>
      <c r="AJ826" s="76"/>
      <c r="AK826" s="76"/>
      <c r="AL826" s="76"/>
      <c r="AM826" s="76"/>
      <c r="AN826" s="76"/>
      <c r="AO826" s="76"/>
      <c r="AP826" s="76"/>
      <c r="AQ826" s="76"/>
      <c r="AR826" s="76"/>
      <c r="AS826" s="76"/>
      <c r="AT826" s="76"/>
      <c r="AU826" s="76"/>
      <c r="AV826" s="76"/>
      <c r="AW826" s="76"/>
      <c r="AX826" s="76"/>
      <c r="AY826" s="76"/>
      <c r="AZ826" s="76"/>
      <c r="BA826" s="76"/>
      <c r="BB826" s="76"/>
      <c r="BC826" s="76"/>
      <c r="BD826" s="76"/>
      <c r="BE826" s="76"/>
      <c r="BF826" s="76"/>
    </row>
    <row r="827" spans="1:58" s="153" customFormat="1" ht="14.1" customHeight="1">
      <c r="A827" s="75"/>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c r="AA827" s="76"/>
      <c r="AB827" s="76"/>
      <c r="AC827" s="76"/>
      <c r="AD827" s="76"/>
      <c r="AE827" s="76"/>
      <c r="AF827" s="76"/>
      <c r="AG827" s="76"/>
      <c r="AH827" s="76"/>
      <c r="AI827" s="76"/>
      <c r="AJ827" s="76"/>
      <c r="AK827" s="76"/>
      <c r="AL827" s="76"/>
      <c r="AM827" s="76"/>
      <c r="AN827" s="76"/>
      <c r="AO827" s="76"/>
      <c r="AP827" s="76"/>
      <c r="AQ827" s="76"/>
      <c r="AR827" s="76"/>
      <c r="AS827" s="76"/>
      <c r="AT827" s="76"/>
      <c r="AU827" s="76"/>
      <c r="AV827" s="76"/>
      <c r="AW827" s="76"/>
      <c r="AX827" s="76"/>
      <c r="AY827" s="76"/>
      <c r="AZ827" s="76"/>
      <c r="BA827" s="76"/>
      <c r="BB827" s="76"/>
      <c r="BC827" s="76"/>
      <c r="BD827" s="76"/>
      <c r="BE827" s="76"/>
      <c r="BF827" s="76"/>
    </row>
    <row r="828" spans="1:58" s="153" customFormat="1" ht="14.1" customHeight="1">
      <c r="A828" s="75"/>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c r="AA828" s="76"/>
      <c r="AB828" s="76"/>
      <c r="AC828" s="76"/>
      <c r="AD828" s="76"/>
      <c r="AE828" s="76"/>
      <c r="AF828" s="76"/>
      <c r="AG828" s="76"/>
      <c r="AH828" s="76"/>
      <c r="AI828" s="76"/>
      <c r="AJ828" s="76"/>
      <c r="AK828" s="76"/>
      <c r="AL828" s="76"/>
      <c r="AM828" s="76"/>
      <c r="AN828" s="76"/>
      <c r="AO828" s="76"/>
      <c r="AP828" s="76"/>
      <c r="AQ828" s="76"/>
      <c r="AR828" s="76"/>
      <c r="AS828" s="76"/>
      <c r="AT828" s="76"/>
      <c r="AU828" s="76"/>
      <c r="AV828" s="76"/>
      <c r="AW828" s="76"/>
      <c r="AX828" s="76"/>
      <c r="AY828" s="76"/>
      <c r="AZ828" s="76"/>
      <c r="BA828" s="76"/>
      <c r="BB828" s="76"/>
      <c r="BC828" s="76"/>
      <c r="BD828" s="76"/>
      <c r="BE828" s="76"/>
      <c r="BF828" s="76"/>
    </row>
    <row r="829" spans="1:58" s="153" customFormat="1" ht="14.1" customHeight="1">
      <c r="A829" s="75"/>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c r="AA829" s="76"/>
      <c r="AB829" s="76"/>
      <c r="AC829" s="76"/>
      <c r="AD829" s="76"/>
      <c r="AE829" s="76"/>
      <c r="AF829" s="76"/>
      <c r="AG829" s="76"/>
      <c r="AH829" s="76"/>
      <c r="AI829" s="76"/>
      <c r="AJ829" s="76"/>
      <c r="AK829" s="76"/>
      <c r="AL829" s="76"/>
      <c r="AM829" s="76"/>
      <c r="AN829" s="76"/>
      <c r="AO829" s="76"/>
      <c r="AP829" s="76"/>
      <c r="AQ829" s="76"/>
      <c r="AR829" s="76"/>
      <c r="AS829" s="76"/>
      <c r="AT829" s="76"/>
      <c r="AU829" s="76"/>
      <c r="AV829" s="76"/>
      <c r="AW829" s="76"/>
      <c r="AX829" s="76"/>
      <c r="AY829" s="76"/>
      <c r="AZ829" s="76"/>
      <c r="BA829" s="76"/>
      <c r="BB829" s="76"/>
      <c r="BC829" s="76"/>
      <c r="BD829" s="76"/>
      <c r="BE829" s="76"/>
      <c r="BF829" s="76"/>
    </row>
    <row r="830" spans="1:58" s="153" customFormat="1" ht="14.1" customHeight="1">
      <c r="A830" s="75"/>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c r="AA830" s="76"/>
      <c r="AB830" s="76"/>
      <c r="AC830" s="76"/>
      <c r="AD830" s="76"/>
      <c r="AE830" s="76"/>
      <c r="AF830" s="76"/>
      <c r="AG830" s="76"/>
      <c r="AH830" s="76"/>
      <c r="AI830" s="76"/>
      <c r="AJ830" s="76"/>
      <c r="AK830" s="76"/>
      <c r="AL830" s="76"/>
      <c r="AM830" s="76"/>
      <c r="AN830" s="76"/>
      <c r="AO830" s="76"/>
      <c r="AP830" s="76"/>
      <c r="AQ830" s="76"/>
      <c r="AR830" s="76"/>
      <c r="AS830" s="76"/>
      <c r="AT830" s="76"/>
      <c r="AU830" s="76"/>
      <c r="AV830" s="76"/>
      <c r="AW830" s="76"/>
      <c r="AX830" s="76"/>
      <c r="AY830" s="76"/>
      <c r="AZ830" s="76"/>
      <c r="BA830" s="76"/>
      <c r="BB830" s="76"/>
      <c r="BC830" s="76"/>
      <c r="BD830" s="76"/>
      <c r="BE830" s="76"/>
      <c r="BF830" s="76"/>
    </row>
    <row r="831" spans="1:58" s="153" customFormat="1" ht="14.1" customHeight="1">
      <c r="A831" s="75"/>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c r="AA831" s="76"/>
      <c r="AB831" s="76"/>
      <c r="AC831" s="76"/>
      <c r="AD831" s="76"/>
      <c r="AE831" s="76"/>
      <c r="AF831" s="76"/>
      <c r="AG831" s="76"/>
      <c r="AH831" s="76"/>
      <c r="AI831" s="76"/>
      <c r="AJ831" s="76"/>
      <c r="AK831" s="76"/>
      <c r="AL831" s="76"/>
      <c r="AM831" s="76"/>
      <c r="AN831" s="76"/>
      <c r="AO831" s="76"/>
      <c r="AP831" s="76"/>
      <c r="AQ831" s="76"/>
      <c r="AR831" s="76"/>
      <c r="AS831" s="76"/>
      <c r="AT831" s="76"/>
      <c r="AU831" s="76"/>
      <c r="AV831" s="76"/>
      <c r="AW831" s="76"/>
      <c r="AX831" s="76"/>
      <c r="AY831" s="76"/>
      <c r="AZ831" s="76"/>
      <c r="BA831" s="76"/>
      <c r="BB831" s="76"/>
      <c r="BC831" s="76"/>
      <c r="BD831" s="76"/>
      <c r="BE831" s="76"/>
      <c r="BF831" s="76"/>
    </row>
    <row r="832" spans="1:58" s="153" customFormat="1" ht="14.1" customHeight="1">
      <c r="A832" s="75"/>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c r="AA832" s="76"/>
      <c r="AB832" s="76"/>
      <c r="AC832" s="76"/>
      <c r="AD832" s="76"/>
      <c r="AE832" s="76"/>
      <c r="AF832" s="76"/>
      <c r="AG832" s="76"/>
      <c r="AH832" s="76"/>
      <c r="AI832" s="76"/>
      <c r="AJ832" s="76"/>
      <c r="AK832" s="76"/>
      <c r="AL832" s="76"/>
      <c r="AM832" s="76"/>
      <c r="AN832" s="76"/>
      <c r="AO832" s="76"/>
      <c r="AP832" s="76"/>
      <c r="AQ832" s="76"/>
      <c r="AR832" s="76"/>
      <c r="AS832" s="76"/>
      <c r="AT832" s="76"/>
      <c r="AU832" s="76"/>
      <c r="AV832" s="76"/>
      <c r="AW832" s="76"/>
      <c r="AX832" s="76"/>
      <c r="AY832" s="76"/>
      <c r="AZ832" s="76"/>
      <c r="BA832" s="76"/>
      <c r="BB832" s="76"/>
      <c r="BC832" s="76"/>
      <c r="BD832" s="76"/>
      <c r="BE832" s="76"/>
      <c r="BF832" s="76"/>
    </row>
    <row r="833" spans="1:58" s="153" customFormat="1" ht="14.1" customHeight="1">
      <c r="A833" s="75"/>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c r="AA833" s="76"/>
      <c r="AB833" s="76"/>
      <c r="AC833" s="76"/>
      <c r="AD833" s="76"/>
      <c r="AE833" s="76"/>
      <c r="AF833" s="76"/>
      <c r="AG833" s="76"/>
      <c r="AH833" s="76"/>
      <c r="AI833" s="76"/>
      <c r="AJ833" s="76"/>
      <c r="AK833" s="76"/>
      <c r="AL833" s="76"/>
      <c r="AM833" s="76"/>
      <c r="AN833" s="76"/>
      <c r="AO833" s="76"/>
      <c r="AP833" s="76"/>
      <c r="AQ833" s="76"/>
      <c r="AR833" s="76"/>
      <c r="AS833" s="76"/>
      <c r="AT833" s="76"/>
      <c r="AU833" s="76"/>
      <c r="AV833" s="76"/>
      <c r="AW833" s="76"/>
      <c r="AX833" s="76"/>
      <c r="AY833" s="76"/>
      <c r="AZ833" s="76"/>
      <c r="BA833" s="76"/>
      <c r="BB833" s="76"/>
      <c r="BC833" s="76"/>
      <c r="BD833" s="76"/>
      <c r="BE833" s="76"/>
      <c r="BF833" s="76"/>
    </row>
    <row r="834" spans="1:58" s="153" customFormat="1" ht="14.1" customHeight="1">
      <c r="A834" s="75"/>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c r="AA834" s="76"/>
      <c r="AB834" s="76"/>
      <c r="AC834" s="76"/>
      <c r="AD834" s="76"/>
      <c r="AE834" s="76"/>
      <c r="AF834" s="76"/>
      <c r="AG834" s="76"/>
      <c r="AH834" s="76"/>
      <c r="AI834" s="76"/>
      <c r="AJ834" s="76"/>
      <c r="AK834" s="76"/>
      <c r="AL834" s="76"/>
      <c r="AM834" s="76"/>
      <c r="AN834" s="76"/>
      <c r="AO834" s="76"/>
      <c r="AP834" s="76"/>
      <c r="AQ834" s="76"/>
      <c r="AR834" s="76"/>
      <c r="AS834" s="76"/>
      <c r="AT834" s="76"/>
      <c r="AU834" s="76"/>
      <c r="AV834" s="76"/>
      <c r="AW834" s="76"/>
      <c r="AX834" s="76"/>
      <c r="AY834" s="76"/>
      <c r="AZ834" s="76"/>
      <c r="BA834" s="76"/>
      <c r="BB834" s="76"/>
      <c r="BC834" s="76"/>
      <c r="BD834" s="76"/>
      <c r="BE834" s="76"/>
      <c r="BF834" s="76"/>
    </row>
    <row r="835" spans="1:58" s="153" customFormat="1" ht="14.1" customHeight="1">
      <c r="A835" s="75"/>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c r="AA835" s="76"/>
      <c r="AB835" s="76"/>
      <c r="AC835" s="76"/>
      <c r="AD835" s="76"/>
      <c r="AE835" s="76"/>
      <c r="AF835" s="76"/>
      <c r="AG835" s="76"/>
      <c r="AH835" s="76"/>
      <c r="AI835" s="76"/>
      <c r="AJ835" s="76"/>
      <c r="AK835" s="76"/>
      <c r="AL835" s="76"/>
      <c r="AM835" s="76"/>
      <c r="AN835" s="76"/>
      <c r="AO835" s="76"/>
      <c r="AP835" s="76"/>
      <c r="AQ835" s="76"/>
      <c r="AR835" s="76"/>
      <c r="AS835" s="76"/>
      <c r="AT835" s="76"/>
      <c r="AU835" s="76"/>
      <c r="AV835" s="76"/>
      <c r="AW835" s="76"/>
      <c r="AX835" s="76"/>
      <c r="AY835" s="76"/>
      <c r="AZ835" s="76"/>
      <c r="BA835" s="76"/>
      <c r="BB835" s="76"/>
      <c r="BC835" s="76"/>
      <c r="BD835" s="76"/>
      <c r="BE835" s="76"/>
      <c r="BF835" s="76"/>
    </row>
    <row r="836" spans="1:58" s="153" customFormat="1" ht="14.1" customHeight="1">
      <c r="A836" s="75"/>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c r="AA836" s="76"/>
      <c r="AB836" s="76"/>
      <c r="AC836" s="76"/>
      <c r="AD836" s="76"/>
      <c r="AE836" s="76"/>
      <c r="AF836" s="76"/>
      <c r="AG836" s="76"/>
      <c r="AH836" s="76"/>
      <c r="AI836" s="76"/>
      <c r="AJ836" s="76"/>
      <c r="AK836" s="76"/>
      <c r="AL836" s="76"/>
      <c r="AM836" s="76"/>
      <c r="AN836" s="76"/>
      <c r="AO836" s="76"/>
      <c r="AP836" s="76"/>
      <c r="AQ836" s="76"/>
      <c r="AR836" s="76"/>
      <c r="AS836" s="76"/>
      <c r="AT836" s="76"/>
      <c r="AU836" s="76"/>
      <c r="AV836" s="76"/>
      <c r="AW836" s="76"/>
      <c r="AX836" s="76"/>
      <c r="AY836" s="76"/>
      <c r="AZ836" s="76"/>
      <c r="BA836" s="76"/>
      <c r="BB836" s="76"/>
      <c r="BC836" s="76"/>
      <c r="BD836" s="76"/>
      <c r="BE836" s="76"/>
      <c r="BF836" s="76"/>
    </row>
    <row r="837" spans="1:58" s="153" customFormat="1" ht="14.1" customHeight="1">
      <c r="A837" s="75"/>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c r="AA837" s="76"/>
      <c r="AB837" s="76"/>
      <c r="AC837" s="76"/>
      <c r="AD837" s="76"/>
      <c r="AE837" s="76"/>
      <c r="AF837" s="76"/>
      <c r="AG837" s="76"/>
      <c r="AH837" s="76"/>
      <c r="AI837" s="76"/>
      <c r="AJ837" s="76"/>
      <c r="AK837" s="76"/>
      <c r="AL837" s="76"/>
      <c r="AM837" s="76"/>
      <c r="AN837" s="76"/>
      <c r="AO837" s="76"/>
      <c r="AP837" s="76"/>
      <c r="AQ837" s="76"/>
      <c r="AR837" s="76"/>
      <c r="AS837" s="76"/>
      <c r="AT837" s="76"/>
      <c r="AU837" s="76"/>
      <c r="AV837" s="76"/>
      <c r="AW837" s="76"/>
      <c r="AX837" s="76"/>
      <c r="AY837" s="76"/>
      <c r="AZ837" s="76"/>
      <c r="BA837" s="76"/>
      <c r="BB837" s="76"/>
      <c r="BC837" s="76"/>
      <c r="BD837" s="76"/>
      <c r="BE837" s="76"/>
      <c r="BF837" s="76"/>
    </row>
    <row r="838" spans="1:58" s="153" customFormat="1" ht="14.1" customHeight="1">
      <c r="A838" s="75"/>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c r="AA838" s="76"/>
      <c r="AB838" s="76"/>
      <c r="AC838" s="76"/>
      <c r="AD838" s="76"/>
      <c r="AE838" s="76"/>
      <c r="AF838" s="76"/>
      <c r="AG838" s="76"/>
      <c r="AH838" s="76"/>
      <c r="AI838" s="76"/>
      <c r="AJ838" s="76"/>
      <c r="AK838" s="76"/>
      <c r="AL838" s="76"/>
      <c r="AM838" s="76"/>
      <c r="AN838" s="76"/>
      <c r="AO838" s="76"/>
      <c r="AP838" s="76"/>
      <c r="AQ838" s="76"/>
      <c r="AR838" s="76"/>
      <c r="AS838" s="76"/>
      <c r="AT838" s="76"/>
      <c r="AU838" s="76"/>
      <c r="AV838" s="76"/>
      <c r="AW838" s="76"/>
      <c r="AX838" s="76"/>
      <c r="AY838" s="76"/>
      <c r="AZ838" s="76"/>
      <c r="BA838" s="76"/>
      <c r="BB838" s="76"/>
      <c r="BC838" s="76"/>
      <c r="BD838" s="76"/>
      <c r="BE838" s="76"/>
      <c r="BF838" s="76"/>
    </row>
    <row r="839" spans="1:58" s="153" customFormat="1" ht="14.1" customHeight="1">
      <c r="A839" s="75"/>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c r="AA839" s="76"/>
      <c r="AB839" s="76"/>
      <c r="AC839" s="76"/>
      <c r="AD839" s="76"/>
      <c r="AE839" s="76"/>
      <c r="AF839" s="76"/>
      <c r="AG839" s="76"/>
      <c r="AH839" s="76"/>
      <c r="AI839" s="76"/>
      <c r="AJ839" s="76"/>
      <c r="AK839" s="76"/>
      <c r="AL839" s="76"/>
      <c r="AM839" s="76"/>
      <c r="AN839" s="76"/>
      <c r="AO839" s="76"/>
      <c r="AP839" s="76"/>
      <c r="AQ839" s="76"/>
      <c r="AR839" s="76"/>
      <c r="AS839" s="76"/>
      <c r="AT839" s="76"/>
      <c r="AU839" s="76"/>
      <c r="AV839" s="76"/>
      <c r="AW839" s="76"/>
      <c r="AX839" s="76"/>
      <c r="AY839" s="76"/>
      <c r="AZ839" s="76"/>
      <c r="BA839" s="76"/>
      <c r="BB839" s="76"/>
      <c r="BC839" s="76"/>
      <c r="BD839" s="76"/>
      <c r="BE839" s="76"/>
      <c r="BF839" s="76"/>
    </row>
    <row r="840" spans="1:58" s="153" customFormat="1" ht="14.1" customHeight="1">
      <c r="A840" s="75"/>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c r="AA840" s="76"/>
      <c r="AB840" s="76"/>
      <c r="AC840" s="76"/>
      <c r="AD840" s="76"/>
      <c r="AE840" s="76"/>
      <c r="AF840" s="76"/>
      <c r="AG840" s="76"/>
      <c r="AH840" s="76"/>
      <c r="AI840" s="76"/>
      <c r="AJ840" s="76"/>
      <c r="AK840" s="76"/>
      <c r="AL840" s="76"/>
      <c r="AM840" s="76"/>
      <c r="AN840" s="76"/>
      <c r="AO840" s="76"/>
      <c r="AP840" s="76"/>
      <c r="AQ840" s="76"/>
      <c r="AR840" s="76"/>
      <c r="AS840" s="76"/>
      <c r="AT840" s="76"/>
      <c r="AU840" s="76"/>
      <c r="AV840" s="76"/>
      <c r="AW840" s="76"/>
      <c r="AX840" s="76"/>
      <c r="AY840" s="76"/>
      <c r="AZ840" s="76"/>
      <c r="BA840" s="76"/>
      <c r="BB840" s="76"/>
      <c r="BC840" s="76"/>
      <c r="BD840" s="76"/>
      <c r="BE840" s="76"/>
      <c r="BF840" s="76"/>
    </row>
    <row r="841" spans="1:58" s="153" customFormat="1" ht="14.1" customHeight="1">
      <c r="A841" s="75"/>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c r="AA841" s="76"/>
      <c r="AB841" s="76"/>
      <c r="AC841" s="76"/>
      <c r="AD841" s="76"/>
      <c r="AE841" s="76"/>
      <c r="AF841" s="76"/>
      <c r="AG841" s="76"/>
      <c r="AH841" s="76"/>
      <c r="AI841" s="76"/>
      <c r="AJ841" s="76"/>
      <c r="AK841" s="76"/>
      <c r="AL841" s="76"/>
      <c r="AM841" s="76"/>
      <c r="AN841" s="76"/>
      <c r="AO841" s="76"/>
      <c r="AP841" s="76"/>
      <c r="AQ841" s="76"/>
      <c r="AR841" s="76"/>
      <c r="AS841" s="76"/>
      <c r="AT841" s="76"/>
      <c r="AU841" s="76"/>
      <c r="AV841" s="76"/>
      <c r="AW841" s="76"/>
      <c r="AX841" s="76"/>
      <c r="AY841" s="76"/>
      <c r="AZ841" s="76"/>
      <c r="BA841" s="76"/>
      <c r="BB841" s="76"/>
      <c r="BC841" s="76"/>
      <c r="BD841" s="76"/>
      <c r="BE841" s="76"/>
      <c r="BF841" s="76"/>
    </row>
    <row r="842" spans="1:58" s="153" customFormat="1" ht="14.1" customHeight="1">
      <c r="A842" s="75"/>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c r="AA842" s="76"/>
      <c r="AB842" s="76"/>
      <c r="AC842" s="76"/>
      <c r="AD842" s="76"/>
      <c r="AE842" s="76"/>
      <c r="AF842" s="76"/>
      <c r="AG842" s="76"/>
      <c r="AH842" s="76"/>
      <c r="AI842" s="76"/>
      <c r="AJ842" s="76"/>
      <c r="AK842" s="76"/>
      <c r="AL842" s="76"/>
      <c r="AM842" s="76"/>
      <c r="AN842" s="76"/>
      <c r="AO842" s="76"/>
      <c r="AP842" s="76"/>
      <c r="AQ842" s="76"/>
      <c r="AR842" s="76"/>
      <c r="AS842" s="76"/>
      <c r="AT842" s="76"/>
      <c r="AU842" s="76"/>
      <c r="AV842" s="76"/>
      <c r="AW842" s="76"/>
      <c r="AX842" s="76"/>
      <c r="AY842" s="76"/>
      <c r="AZ842" s="76"/>
      <c r="BA842" s="76"/>
      <c r="BB842" s="76"/>
      <c r="BC842" s="76"/>
      <c r="BD842" s="76"/>
      <c r="BE842" s="76"/>
      <c r="BF842" s="76"/>
    </row>
    <row r="843" spans="1:58" s="153" customFormat="1" ht="14.1" customHeight="1">
      <c r="A843" s="75"/>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c r="AA843" s="76"/>
      <c r="AB843" s="76"/>
      <c r="AC843" s="76"/>
      <c r="AD843" s="76"/>
      <c r="AE843" s="76"/>
      <c r="AF843" s="76"/>
      <c r="AG843" s="76"/>
      <c r="AH843" s="76"/>
      <c r="AI843" s="76"/>
      <c r="AJ843" s="76"/>
      <c r="AK843" s="76"/>
      <c r="AL843" s="76"/>
      <c r="AM843" s="76"/>
      <c r="AN843" s="76"/>
      <c r="AO843" s="76"/>
      <c r="AP843" s="76"/>
      <c r="AQ843" s="76"/>
      <c r="AR843" s="76"/>
      <c r="AS843" s="76"/>
      <c r="AT843" s="76"/>
      <c r="AU843" s="76"/>
      <c r="AV843" s="76"/>
      <c r="AW843" s="76"/>
      <c r="AX843" s="76"/>
      <c r="AY843" s="76"/>
      <c r="AZ843" s="76"/>
      <c r="BA843" s="76"/>
      <c r="BB843" s="76"/>
      <c r="BC843" s="76"/>
      <c r="BD843" s="76"/>
      <c r="BE843" s="76"/>
      <c r="BF843" s="76"/>
    </row>
    <row r="844" spans="1:58" s="153" customFormat="1" ht="14.1" customHeight="1">
      <c r="A844" s="75"/>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c r="AA844" s="76"/>
      <c r="AB844" s="76"/>
      <c r="AC844" s="76"/>
      <c r="AD844" s="76"/>
      <c r="AE844" s="76"/>
      <c r="AF844" s="76"/>
      <c r="AG844" s="76"/>
      <c r="AH844" s="76"/>
      <c r="AI844" s="76"/>
      <c r="AJ844" s="76"/>
      <c r="AK844" s="76"/>
      <c r="AL844" s="76"/>
      <c r="AM844" s="76"/>
      <c r="AN844" s="76"/>
      <c r="AO844" s="76"/>
      <c r="AP844" s="76"/>
      <c r="AQ844" s="76"/>
      <c r="AR844" s="76"/>
      <c r="AS844" s="76"/>
      <c r="AT844" s="76"/>
      <c r="AU844" s="76"/>
      <c r="AV844" s="76"/>
      <c r="AW844" s="76"/>
      <c r="AX844" s="76"/>
      <c r="AY844" s="76"/>
      <c r="AZ844" s="76"/>
      <c r="BA844" s="76"/>
      <c r="BB844" s="76"/>
      <c r="BC844" s="76"/>
      <c r="BD844" s="76"/>
      <c r="BE844" s="76"/>
      <c r="BF844" s="76"/>
    </row>
    <row r="845" spans="1:58" s="153" customFormat="1" ht="14.1" customHeight="1">
      <c r="A845" s="75"/>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c r="AA845" s="76"/>
      <c r="AB845" s="76"/>
      <c r="AC845" s="76"/>
      <c r="AD845" s="76"/>
      <c r="AE845" s="76"/>
      <c r="AF845" s="76"/>
      <c r="AG845" s="76"/>
      <c r="AH845" s="76"/>
      <c r="AI845" s="76"/>
      <c r="AJ845" s="76"/>
      <c r="AK845" s="76"/>
      <c r="AL845" s="76"/>
      <c r="AM845" s="76"/>
      <c r="AN845" s="76"/>
      <c r="AO845" s="76"/>
      <c r="AP845" s="76"/>
      <c r="AQ845" s="76"/>
      <c r="AR845" s="76"/>
      <c r="AS845" s="76"/>
      <c r="AT845" s="76"/>
      <c r="AU845" s="76"/>
      <c r="AV845" s="76"/>
      <c r="AW845" s="76"/>
      <c r="AX845" s="76"/>
      <c r="AY845" s="76"/>
      <c r="AZ845" s="76"/>
      <c r="BA845" s="76"/>
      <c r="BB845" s="76"/>
      <c r="BC845" s="76"/>
      <c r="BD845" s="76"/>
      <c r="BE845" s="76"/>
      <c r="BF845" s="76"/>
    </row>
    <row r="846" spans="1:58" s="153" customFormat="1" ht="14.1" customHeight="1">
      <c r="A846" s="75"/>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c r="AA846" s="76"/>
      <c r="AB846" s="76"/>
      <c r="AC846" s="76"/>
      <c r="AD846" s="76"/>
      <c r="AE846" s="76"/>
      <c r="AF846" s="76"/>
      <c r="AG846" s="76"/>
      <c r="AH846" s="76"/>
      <c r="AI846" s="76"/>
      <c r="AJ846" s="76"/>
      <c r="AK846" s="76"/>
      <c r="AL846" s="76"/>
      <c r="AM846" s="76"/>
      <c r="AN846" s="76"/>
      <c r="AO846" s="76"/>
      <c r="AP846" s="76"/>
      <c r="AQ846" s="76"/>
      <c r="AR846" s="76"/>
      <c r="AS846" s="76"/>
      <c r="AT846" s="76"/>
      <c r="AU846" s="76"/>
      <c r="AV846" s="76"/>
      <c r="AW846" s="76"/>
      <c r="AX846" s="76"/>
      <c r="AY846" s="76"/>
      <c r="AZ846" s="76"/>
      <c r="BA846" s="76"/>
      <c r="BB846" s="76"/>
      <c r="BC846" s="76"/>
      <c r="BD846" s="76"/>
      <c r="BE846" s="76"/>
      <c r="BF846" s="76"/>
    </row>
    <row r="847" spans="1:58" s="153" customFormat="1" ht="14.1" customHeight="1">
      <c r="A847" s="75"/>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c r="AA847" s="76"/>
      <c r="AB847" s="76"/>
      <c r="AC847" s="76"/>
      <c r="AD847" s="76"/>
      <c r="AE847" s="76"/>
      <c r="AF847" s="76"/>
      <c r="AG847" s="76"/>
      <c r="AH847" s="76"/>
      <c r="AI847" s="76"/>
      <c r="AJ847" s="76"/>
      <c r="AK847" s="76"/>
      <c r="AL847" s="76"/>
      <c r="AM847" s="76"/>
      <c r="AN847" s="76"/>
      <c r="AO847" s="76"/>
      <c r="AP847" s="76"/>
      <c r="AQ847" s="76"/>
      <c r="AR847" s="76"/>
      <c r="AS847" s="76"/>
      <c r="AT847" s="76"/>
      <c r="AU847" s="76"/>
      <c r="AV847" s="76"/>
      <c r="AW847" s="76"/>
      <c r="AX847" s="76"/>
      <c r="AY847" s="76"/>
      <c r="AZ847" s="76"/>
      <c r="BA847" s="76"/>
      <c r="BB847" s="76"/>
      <c r="BC847" s="76"/>
      <c r="BD847" s="76"/>
      <c r="BE847" s="76"/>
      <c r="BF847" s="76"/>
    </row>
    <row r="848" spans="1:58" s="153" customFormat="1" ht="14.1" customHeight="1">
      <c r="A848" s="75"/>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c r="AA848" s="76"/>
      <c r="AB848" s="76"/>
      <c r="AC848" s="76"/>
      <c r="AD848" s="76"/>
      <c r="AE848" s="76"/>
      <c r="AF848" s="76"/>
      <c r="AG848" s="76"/>
      <c r="AH848" s="76"/>
      <c r="AI848" s="76"/>
      <c r="AJ848" s="76"/>
      <c r="AK848" s="76"/>
      <c r="AL848" s="76"/>
      <c r="AM848" s="76"/>
      <c r="AN848" s="76"/>
      <c r="AO848" s="76"/>
      <c r="AP848" s="76"/>
      <c r="AQ848" s="76"/>
      <c r="AR848" s="76"/>
      <c r="AS848" s="76"/>
      <c r="AT848" s="76"/>
      <c r="AU848" s="76"/>
      <c r="AV848" s="76"/>
      <c r="AW848" s="76"/>
      <c r="AX848" s="76"/>
      <c r="AY848" s="76"/>
      <c r="AZ848" s="76"/>
      <c r="BA848" s="76"/>
      <c r="BB848" s="76"/>
      <c r="BC848" s="76"/>
      <c r="BD848" s="76"/>
      <c r="BE848" s="76"/>
      <c r="BF848" s="76"/>
    </row>
    <row r="849" spans="1:58" s="153" customFormat="1" ht="14.1" customHeight="1">
      <c r="A849" s="75"/>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c r="AA849" s="76"/>
      <c r="AB849" s="76"/>
      <c r="AC849" s="76"/>
      <c r="AD849" s="76"/>
      <c r="AE849" s="76"/>
      <c r="AF849" s="76"/>
      <c r="AG849" s="76"/>
      <c r="AH849" s="76"/>
      <c r="AI849" s="76"/>
      <c r="AJ849" s="76"/>
      <c r="AK849" s="76"/>
      <c r="AL849" s="76"/>
      <c r="AM849" s="76"/>
      <c r="AN849" s="76"/>
      <c r="AO849" s="76"/>
      <c r="AP849" s="76"/>
      <c r="AQ849" s="76"/>
      <c r="AR849" s="76"/>
      <c r="AS849" s="76"/>
      <c r="AT849" s="76"/>
      <c r="AU849" s="76"/>
      <c r="AV849" s="76"/>
      <c r="AW849" s="76"/>
      <c r="AX849" s="76"/>
      <c r="AY849" s="76"/>
      <c r="AZ849" s="76"/>
      <c r="BA849" s="76"/>
      <c r="BB849" s="76"/>
      <c r="BC849" s="76"/>
      <c r="BD849" s="76"/>
      <c r="BE849" s="76"/>
      <c r="BF849" s="76"/>
    </row>
    <row r="850" spans="1:58" s="153" customFormat="1" ht="14.1" customHeight="1">
      <c r="A850" s="75"/>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c r="AA850" s="76"/>
      <c r="AB850" s="76"/>
      <c r="AC850" s="76"/>
      <c r="AD850" s="76"/>
      <c r="AE850" s="76"/>
      <c r="AF850" s="76"/>
      <c r="AG850" s="76"/>
      <c r="AH850" s="76"/>
      <c r="AI850" s="76"/>
      <c r="AJ850" s="76"/>
      <c r="AK850" s="76"/>
      <c r="AL850" s="76"/>
      <c r="AM850" s="76"/>
      <c r="AN850" s="76"/>
      <c r="AO850" s="76"/>
      <c r="AP850" s="76"/>
      <c r="AQ850" s="76"/>
      <c r="AR850" s="76"/>
      <c r="AS850" s="76"/>
      <c r="AT850" s="76"/>
      <c r="AU850" s="76"/>
      <c r="AV850" s="76"/>
      <c r="AW850" s="76"/>
      <c r="AX850" s="76"/>
      <c r="AY850" s="76"/>
      <c r="AZ850" s="76"/>
      <c r="BA850" s="76"/>
      <c r="BB850" s="76"/>
      <c r="BC850" s="76"/>
      <c r="BD850" s="76"/>
      <c r="BE850" s="76"/>
      <c r="BF850" s="76"/>
    </row>
    <row r="851" spans="1:58" s="153" customFormat="1" ht="14.1" customHeight="1">
      <c r="A851" s="75"/>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c r="AA851" s="76"/>
      <c r="AB851" s="76"/>
      <c r="AC851" s="76"/>
      <c r="AD851" s="76"/>
      <c r="AE851" s="76"/>
      <c r="AF851" s="76"/>
      <c r="AG851" s="76"/>
      <c r="AH851" s="76"/>
      <c r="AI851" s="76"/>
      <c r="AJ851" s="76"/>
      <c r="AK851" s="76"/>
      <c r="AL851" s="76"/>
      <c r="AM851" s="76"/>
      <c r="AN851" s="76"/>
      <c r="AO851" s="76"/>
      <c r="AP851" s="76"/>
      <c r="AQ851" s="76"/>
      <c r="AR851" s="76"/>
      <c r="AS851" s="76"/>
      <c r="AT851" s="76"/>
      <c r="AU851" s="76"/>
      <c r="AV851" s="76"/>
      <c r="AW851" s="76"/>
      <c r="AX851" s="76"/>
      <c r="AY851" s="76"/>
      <c r="AZ851" s="76"/>
      <c r="BA851" s="76"/>
      <c r="BB851" s="76"/>
      <c r="BC851" s="76"/>
      <c r="BD851" s="76"/>
      <c r="BE851" s="76"/>
      <c r="BF851" s="76"/>
    </row>
    <row r="852" spans="1:58" s="153" customFormat="1" ht="14.1" customHeight="1">
      <c r="A852" s="75"/>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c r="AA852" s="76"/>
      <c r="AB852" s="76"/>
      <c r="AC852" s="76"/>
      <c r="AD852" s="76"/>
      <c r="AE852" s="76"/>
      <c r="AF852" s="76"/>
      <c r="AG852" s="76"/>
      <c r="AH852" s="76"/>
      <c r="AI852" s="76"/>
      <c r="AJ852" s="76"/>
      <c r="AK852" s="76"/>
      <c r="AL852" s="76"/>
      <c r="AM852" s="76"/>
      <c r="AN852" s="76"/>
      <c r="AO852" s="76"/>
      <c r="AP852" s="76"/>
      <c r="AQ852" s="76"/>
      <c r="AR852" s="76"/>
      <c r="AS852" s="76"/>
      <c r="AT852" s="76"/>
      <c r="AU852" s="76"/>
      <c r="AV852" s="76"/>
      <c r="AW852" s="76"/>
      <c r="AX852" s="76"/>
      <c r="AY852" s="76"/>
      <c r="AZ852" s="76"/>
      <c r="BA852" s="76"/>
      <c r="BB852" s="76"/>
      <c r="BC852" s="76"/>
      <c r="BD852" s="76"/>
      <c r="BE852" s="76"/>
      <c r="BF852" s="76"/>
    </row>
    <row r="853" spans="1:58" s="153" customFormat="1" ht="14.1" customHeight="1">
      <c r="A853" s="75"/>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c r="AA853" s="76"/>
      <c r="AB853" s="76"/>
      <c r="AC853" s="76"/>
      <c r="AD853" s="76"/>
      <c r="AE853" s="76"/>
      <c r="AF853" s="76"/>
      <c r="AG853" s="76"/>
      <c r="AH853" s="76"/>
      <c r="AI853" s="76"/>
      <c r="AJ853" s="76"/>
      <c r="AK853" s="76"/>
      <c r="AL853" s="76"/>
      <c r="AM853" s="76"/>
      <c r="AN853" s="76"/>
      <c r="AO853" s="76"/>
      <c r="AP853" s="76"/>
      <c r="AQ853" s="76"/>
      <c r="AR853" s="76"/>
      <c r="AS853" s="76"/>
      <c r="AT853" s="76"/>
      <c r="AU853" s="76"/>
      <c r="AV853" s="76"/>
      <c r="AW853" s="76"/>
      <c r="AX853" s="76"/>
      <c r="AY853" s="76"/>
      <c r="AZ853" s="76"/>
      <c r="BA853" s="76"/>
      <c r="BB853" s="76"/>
      <c r="BC853" s="76"/>
      <c r="BD853" s="76"/>
      <c r="BE853" s="76"/>
      <c r="BF853" s="76"/>
    </row>
    <row r="854" spans="1:58" s="153" customFormat="1" ht="14.1" customHeight="1">
      <c r="A854" s="75"/>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c r="AA854" s="76"/>
      <c r="AB854" s="76"/>
      <c r="AC854" s="76"/>
      <c r="AD854" s="76"/>
      <c r="AE854" s="76"/>
      <c r="AF854" s="76"/>
      <c r="AG854" s="76"/>
      <c r="AH854" s="76"/>
      <c r="AI854" s="76"/>
      <c r="AJ854" s="76"/>
      <c r="AK854" s="76"/>
      <c r="AL854" s="76"/>
      <c r="AM854" s="76"/>
      <c r="AN854" s="76"/>
      <c r="AO854" s="76"/>
      <c r="AP854" s="76"/>
      <c r="AQ854" s="76"/>
      <c r="AR854" s="76"/>
      <c r="AS854" s="76"/>
      <c r="AT854" s="76"/>
      <c r="AU854" s="76"/>
      <c r="AV854" s="76"/>
      <c r="AW854" s="76"/>
      <c r="AX854" s="76"/>
      <c r="AY854" s="76"/>
      <c r="AZ854" s="76"/>
      <c r="BA854" s="76"/>
      <c r="BB854" s="76"/>
      <c r="BC854" s="76"/>
      <c r="BD854" s="76"/>
      <c r="BE854" s="76"/>
      <c r="BF854" s="76"/>
    </row>
    <row r="855" spans="1:58" s="153" customFormat="1" ht="14.1" customHeight="1">
      <c r="A855" s="75"/>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c r="AA855" s="76"/>
      <c r="AB855" s="76"/>
      <c r="AC855" s="76"/>
      <c r="AD855" s="76"/>
      <c r="AE855" s="76"/>
      <c r="AF855" s="76"/>
      <c r="AG855" s="76"/>
      <c r="AH855" s="76"/>
      <c r="AI855" s="76"/>
      <c r="AJ855" s="76"/>
      <c r="AK855" s="76"/>
      <c r="AL855" s="76"/>
      <c r="AM855" s="76"/>
      <c r="AN855" s="76"/>
      <c r="AO855" s="76"/>
      <c r="AP855" s="76"/>
      <c r="AQ855" s="76"/>
      <c r="AR855" s="76"/>
      <c r="AS855" s="76"/>
      <c r="AT855" s="76"/>
      <c r="AU855" s="76"/>
      <c r="AV855" s="76"/>
      <c r="AW855" s="76"/>
      <c r="AX855" s="76"/>
      <c r="AY855" s="76"/>
      <c r="AZ855" s="76"/>
      <c r="BA855" s="76"/>
      <c r="BB855" s="76"/>
      <c r="BC855" s="76"/>
      <c r="BD855" s="76"/>
      <c r="BE855" s="76"/>
      <c r="BF855" s="76"/>
    </row>
    <row r="856" spans="1:58" s="153" customFormat="1" ht="14.1" customHeight="1">
      <c r="A856" s="75"/>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c r="AA856" s="76"/>
      <c r="AB856" s="76"/>
      <c r="AC856" s="76"/>
      <c r="AD856" s="76"/>
      <c r="AE856" s="76"/>
      <c r="AF856" s="76"/>
      <c r="AG856" s="76"/>
      <c r="AH856" s="76"/>
      <c r="AI856" s="76"/>
      <c r="AJ856" s="76"/>
      <c r="AK856" s="76"/>
      <c r="AL856" s="76"/>
      <c r="AM856" s="76"/>
      <c r="AN856" s="76"/>
      <c r="AO856" s="76"/>
      <c r="AP856" s="76"/>
      <c r="AQ856" s="76"/>
      <c r="AR856" s="76"/>
      <c r="AS856" s="76"/>
      <c r="AT856" s="76"/>
      <c r="AU856" s="76"/>
      <c r="AV856" s="76"/>
      <c r="AW856" s="76"/>
      <c r="AX856" s="76"/>
      <c r="AY856" s="76"/>
      <c r="AZ856" s="76"/>
      <c r="BA856" s="76"/>
      <c r="BB856" s="76"/>
      <c r="BC856" s="76"/>
      <c r="BD856" s="76"/>
      <c r="BE856" s="76"/>
      <c r="BF856" s="76"/>
    </row>
    <row r="857" spans="1:58" s="153" customFormat="1" ht="14.1" customHeight="1">
      <c r="A857" s="75"/>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c r="AA857" s="76"/>
      <c r="AB857" s="76"/>
      <c r="AC857" s="76"/>
      <c r="AD857" s="76"/>
      <c r="AE857" s="76"/>
      <c r="AF857" s="76"/>
      <c r="AG857" s="76"/>
      <c r="AH857" s="76"/>
      <c r="AI857" s="76"/>
      <c r="AJ857" s="76"/>
      <c r="AK857" s="76"/>
      <c r="AL857" s="76"/>
      <c r="AM857" s="76"/>
      <c r="AN857" s="76"/>
      <c r="AO857" s="76"/>
      <c r="AP857" s="76"/>
      <c r="AQ857" s="76"/>
      <c r="AR857" s="76"/>
      <c r="AS857" s="76"/>
      <c r="AT857" s="76"/>
      <c r="AU857" s="76"/>
      <c r="AV857" s="76"/>
      <c r="AW857" s="76"/>
      <c r="AX857" s="76"/>
      <c r="AY857" s="76"/>
      <c r="AZ857" s="76"/>
      <c r="BA857" s="76"/>
      <c r="BB857" s="76"/>
      <c r="BC857" s="76"/>
      <c r="BD857" s="76"/>
      <c r="BE857" s="76"/>
      <c r="BF857" s="76"/>
    </row>
    <row r="858" spans="1:58" s="153" customFormat="1" ht="14.1" customHeight="1">
      <c r="A858" s="75"/>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c r="AA858" s="76"/>
      <c r="AB858" s="76"/>
      <c r="AC858" s="76"/>
      <c r="AD858" s="76"/>
      <c r="AE858" s="76"/>
      <c r="AF858" s="76"/>
      <c r="AG858" s="76"/>
      <c r="AH858" s="76"/>
      <c r="AI858" s="76"/>
      <c r="AJ858" s="76"/>
      <c r="AK858" s="76"/>
      <c r="AL858" s="76"/>
      <c r="AM858" s="76"/>
      <c r="AN858" s="76"/>
      <c r="AO858" s="76"/>
      <c r="AP858" s="76"/>
      <c r="AQ858" s="76"/>
      <c r="AR858" s="76"/>
      <c r="AS858" s="76"/>
      <c r="AT858" s="76"/>
      <c r="AU858" s="76"/>
      <c r="AV858" s="76"/>
      <c r="AW858" s="76"/>
      <c r="AX858" s="76"/>
      <c r="AY858" s="76"/>
      <c r="AZ858" s="76"/>
      <c r="BA858" s="76"/>
      <c r="BB858" s="76"/>
      <c r="BC858" s="76"/>
      <c r="BD858" s="76"/>
      <c r="BE858" s="76"/>
      <c r="BF858" s="76"/>
    </row>
    <row r="859" spans="1:58" s="153" customFormat="1" ht="14.1" customHeight="1">
      <c r="A859" s="75"/>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c r="AA859" s="76"/>
      <c r="AB859" s="76"/>
      <c r="AC859" s="76"/>
      <c r="AD859" s="76"/>
      <c r="AE859" s="76"/>
      <c r="AF859" s="76"/>
      <c r="AG859" s="76"/>
      <c r="AH859" s="76"/>
      <c r="AI859" s="76"/>
      <c r="AJ859" s="76"/>
      <c r="AK859" s="76"/>
      <c r="AL859" s="76"/>
      <c r="AM859" s="76"/>
      <c r="AN859" s="76"/>
      <c r="AO859" s="76"/>
      <c r="AP859" s="76"/>
      <c r="AQ859" s="76"/>
      <c r="AR859" s="76"/>
      <c r="AS859" s="76"/>
      <c r="AT859" s="76"/>
      <c r="AU859" s="76"/>
      <c r="AV859" s="76"/>
      <c r="AW859" s="76"/>
      <c r="AX859" s="76"/>
      <c r="AY859" s="76"/>
      <c r="AZ859" s="76"/>
      <c r="BA859" s="76"/>
      <c r="BB859" s="76"/>
      <c r="BC859" s="76"/>
      <c r="BD859" s="76"/>
      <c r="BE859" s="76"/>
      <c r="BF859" s="76"/>
    </row>
    <row r="860" spans="1:58" s="153" customFormat="1" ht="14.1" customHeight="1">
      <c r="A860" s="75"/>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c r="AA860" s="76"/>
      <c r="AB860" s="76"/>
      <c r="AC860" s="76"/>
      <c r="AD860" s="76"/>
      <c r="AE860" s="76"/>
      <c r="AF860" s="76"/>
      <c r="AG860" s="76"/>
      <c r="AH860" s="76"/>
      <c r="AI860" s="76"/>
      <c r="AJ860" s="76"/>
      <c r="AK860" s="76"/>
      <c r="AL860" s="76"/>
      <c r="AM860" s="76"/>
      <c r="AN860" s="76"/>
      <c r="AO860" s="76"/>
      <c r="AP860" s="76"/>
      <c r="AQ860" s="76"/>
      <c r="AR860" s="76"/>
      <c r="AS860" s="76"/>
      <c r="AT860" s="76"/>
      <c r="AU860" s="76"/>
      <c r="AV860" s="76"/>
      <c r="AW860" s="76"/>
      <c r="AX860" s="76"/>
      <c r="AY860" s="76"/>
      <c r="AZ860" s="76"/>
      <c r="BA860" s="76"/>
      <c r="BB860" s="76"/>
      <c r="BC860" s="76"/>
      <c r="BD860" s="76"/>
      <c r="BE860" s="76"/>
      <c r="BF860" s="76"/>
    </row>
    <row r="861" spans="1:58" s="153" customFormat="1" ht="14.1" customHeight="1">
      <c r="A861" s="75"/>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c r="AA861" s="76"/>
      <c r="AB861" s="76"/>
      <c r="AC861" s="76"/>
      <c r="AD861" s="76"/>
      <c r="AE861" s="76"/>
      <c r="AF861" s="76"/>
      <c r="AG861" s="76"/>
      <c r="AH861" s="76"/>
      <c r="AI861" s="76"/>
      <c r="AJ861" s="76"/>
      <c r="AK861" s="76"/>
      <c r="AL861" s="76"/>
      <c r="AM861" s="76"/>
      <c r="AN861" s="76"/>
      <c r="AO861" s="76"/>
      <c r="AP861" s="76"/>
      <c r="AQ861" s="76"/>
      <c r="AR861" s="76"/>
      <c r="AS861" s="76"/>
      <c r="AT861" s="76"/>
      <c r="AU861" s="76"/>
      <c r="AV861" s="76"/>
      <c r="AW861" s="76"/>
      <c r="AX861" s="76"/>
      <c r="AY861" s="76"/>
      <c r="AZ861" s="76"/>
      <c r="BA861" s="76"/>
      <c r="BB861" s="76"/>
      <c r="BC861" s="76"/>
      <c r="BD861" s="76"/>
      <c r="BE861" s="76"/>
      <c r="BF861" s="76"/>
    </row>
    <row r="862" spans="1:58" s="153" customFormat="1" ht="14.1" customHeight="1">
      <c r="A862" s="75"/>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c r="AA862" s="76"/>
      <c r="AB862" s="76"/>
      <c r="AC862" s="76"/>
      <c r="AD862" s="76"/>
      <c r="AE862" s="76"/>
      <c r="AF862" s="76"/>
      <c r="AG862" s="76"/>
      <c r="AH862" s="76"/>
      <c r="AI862" s="76"/>
      <c r="AJ862" s="76"/>
      <c r="AK862" s="76"/>
      <c r="AL862" s="76"/>
      <c r="AM862" s="76"/>
      <c r="AN862" s="76"/>
      <c r="AO862" s="76"/>
      <c r="AP862" s="76"/>
      <c r="AQ862" s="76"/>
      <c r="AR862" s="76"/>
      <c r="AS862" s="76"/>
      <c r="AT862" s="76"/>
      <c r="AU862" s="76"/>
      <c r="AV862" s="76"/>
      <c r="AW862" s="76"/>
      <c r="AX862" s="76"/>
      <c r="AY862" s="76"/>
      <c r="AZ862" s="76"/>
      <c r="BA862" s="76"/>
      <c r="BB862" s="76"/>
      <c r="BC862" s="76"/>
      <c r="BD862" s="76"/>
      <c r="BE862" s="76"/>
      <c r="BF862" s="76"/>
    </row>
    <row r="863" spans="1:58" s="153" customFormat="1" ht="14.1" customHeight="1">
      <c r="A863" s="75"/>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c r="AA863" s="76"/>
      <c r="AB863" s="76"/>
      <c r="AC863" s="76"/>
      <c r="AD863" s="76"/>
      <c r="AE863" s="76"/>
      <c r="AF863" s="76"/>
      <c r="AG863" s="76"/>
      <c r="AH863" s="76"/>
      <c r="AI863" s="76"/>
      <c r="AJ863" s="76"/>
      <c r="AK863" s="76"/>
      <c r="AL863" s="76"/>
      <c r="AM863" s="76"/>
      <c r="AN863" s="76"/>
      <c r="AO863" s="76"/>
      <c r="AP863" s="76"/>
      <c r="AQ863" s="76"/>
      <c r="AR863" s="76"/>
      <c r="AS863" s="76"/>
      <c r="AT863" s="76"/>
      <c r="AU863" s="76"/>
      <c r="AV863" s="76"/>
      <c r="AW863" s="76"/>
      <c r="AX863" s="76"/>
      <c r="AY863" s="76"/>
      <c r="AZ863" s="76"/>
      <c r="BA863" s="76"/>
      <c r="BB863" s="76"/>
      <c r="BC863" s="76"/>
      <c r="BD863" s="76"/>
      <c r="BE863" s="76"/>
      <c r="BF863" s="76"/>
    </row>
    <row r="864" spans="1:58" s="153" customFormat="1" ht="14.1" customHeight="1">
      <c r="A864" s="75"/>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c r="AA864" s="76"/>
      <c r="AB864" s="76"/>
      <c r="AC864" s="76"/>
      <c r="AD864" s="76"/>
      <c r="AE864" s="76"/>
      <c r="AF864" s="76"/>
      <c r="AG864" s="76"/>
      <c r="AH864" s="76"/>
      <c r="AI864" s="76"/>
      <c r="AJ864" s="76"/>
      <c r="AK864" s="76"/>
      <c r="AL864" s="76"/>
      <c r="AM864" s="76"/>
      <c r="AN864" s="76"/>
      <c r="AO864" s="76"/>
      <c r="AP864" s="76"/>
      <c r="AQ864" s="76"/>
      <c r="AR864" s="76"/>
      <c r="AS864" s="76"/>
      <c r="AT864" s="76"/>
      <c r="AU864" s="76"/>
      <c r="AV864" s="76"/>
      <c r="AW864" s="76"/>
      <c r="AX864" s="76"/>
      <c r="AY864" s="76"/>
      <c r="AZ864" s="76"/>
      <c r="BA864" s="76"/>
      <c r="BB864" s="76"/>
      <c r="BC864" s="76"/>
      <c r="BD864" s="76"/>
      <c r="BE864" s="76"/>
      <c r="BF864" s="76"/>
    </row>
    <row r="865" spans="1:58" s="153" customFormat="1" ht="14.1" customHeight="1">
      <c r="A865" s="75"/>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c r="AA865" s="76"/>
      <c r="AB865" s="76"/>
      <c r="AC865" s="76"/>
      <c r="AD865" s="76"/>
      <c r="AE865" s="76"/>
      <c r="AF865" s="76"/>
      <c r="AG865" s="76"/>
      <c r="AH865" s="76"/>
      <c r="AI865" s="76"/>
      <c r="AJ865" s="76"/>
      <c r="AK865" s="76"/>
      <c r="AL865" s="76"/>
      <c r="AM865" s="76"/>
      <c r="AN865" s="76"/>
      <c r="AO865" s="76"/>
      <c r="AP865" s="76"/>
      <c r="AQ865" s="76"/>
      <c r="AR865" s="76"/>
      <c r="AS865" s="76"/>
      <c r="AT865" s="76"/>
      <c r="AU865" s="76"/>
      <c r="AV865" s="76"/>
      <c r="AW865" s="76"/>
      <c r="AX865" s="76"/>
      <c r="AY865" s="76"/>
      <c r="AZ865" s="76"/>
      <c r="BA865" s="76"/>
      <c r="BB865" s="76"/>
      <c r="BC865" s="76"/>
      <c r="BD865" s="76"/>
      <c r="BE865" s="76"/>
      <c r="BF865" s="76"/>
    </row>
    <row r="866" spans="1:58" s="153" customFormat="1" ht="14.1" customHeight="1">
      <c r="A866" s="75"/>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c r="AA866" s="76"/>
      <c r="AB866" s="76"/>
      <c r="AC866" s="76"/>
      <c r="AD866" s="76"/>
      <c r="AE866" s="76"/>
      <c r="AF866" s="76"/>
      <c r="AG866" s="76"/>
      <c r="AH866" s="76"/>
      <c r="AI866" s="76"/>
      <c r="AJ866" s="76"/>
      <c r="AK866" s="76"/>
      <c r="AL866" s="76"/>
      <c r="AM866" s="76"/>
      <c r="AN866" s="76"/>
      <c r="AO866" s="76"/>
      <c r="AP866" s="76"/>
      <c r="AQ866" s="76"/>
      <c r="AR866" s="76"/>
      <c r="AS866" s="76"/>
      <c r="AT866" s="76"/>
      <c r="AU866" s="76"/>
      <c r="AV866" s="76"/>
      <c r="AW866" s="76"/>
      <c r="AX866" s="76"/>
      <c r="AY866" s="76"/>
      <c r="AZ866" s="76"/>
      <c r="BA866" s="76"/>
      <c r="BB866" s="76"/>
      <c r="BC866" s="76"/>
      <c r="BD866" s="76"/>
      <c r="BE866" s="76"/>
      <c r="BF866" s="76"/>
    </row>
    <row r="867" spans="1:58" s="153" customFormat="1" ht="14.1" customHeight="1">
      <c r="A867" s="75"/>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c r="AA867" s="76"/>
      <c r="AB867" s="76"/>
      <c r="AC867" s="76"/>
      <c r="AD867" s="76"/>
      <c r="AE867" s="76"/>
      <c r="AF867" s="76"/>
      <c r="AG867" s="76"/>
      <c r="AH867" s="76"/>
      <c r="AI867" s="76"/>
      <c r="AJ867" s="76"/>
      <c r="AK867" s="76"/>
      <c r="AL867" s="76"/>
      <c r="AM867" s="76"/>
      <c r="AN867" s="76"/>
      <c r="AO867" s="76"/>
      <c r="AP867" s="76"/>
      <c r="AQ867" s="76"/>
      <c r="AR867" s="76"/>
      <c r="AS867" s="76"/>
      <c r="AT867" s="76"/>
      <c r="AU867" s="76"/>
      <c r="AV867" s="76"/>
      <c r="AW867" s="76"/>
      <c r="AX867" s="76"/>
      <c r="AY867" s="76"/>
      <c r="AZ867" s="76"/>
      <c r="BA867" s="76"/>
      <c r="BB867" s="76"/>
      <c r="BC867" s="76"/>
      <c r="BD867" s="76"/>
      <c r="BE867" s="76"/>
      <c r="BF867" s="76"/>
    </row>
    <row r="868" spans="1:58" s="153" customFormat="1" ht="14.1" customHeight="1">
      <c r="A868" s="75"/>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c r="AA868" s="76"/>
      <c r="AB868" s="76"/>
      <c r="AC868" s="76"/>
      <c r="AD868" s="76"/>
      <c r="AE868" s="76"/>
      <c r="AF868" s="76"/>
      <c r="AG868" s="76"/>
      <c r="AH868" s="76"/>
      <c r="AI868" s="76"/>
      <c r="AJ868" s="76"/>
      <c r="AK868" s="76"/>
      <c r="AL868" s="76"/>
      <c r="AM868" s="76"/>
      <c r="AN868" s="76"/>
      <c r="AO868" s="76"/>
      <c r="AP868" s="76"/>
      <c r="AQ868" s="76"/>
      <c r="AR868" s="76"/>
      <c r="AS868" s="76"/>
      <c r="AT868" s="76"/>
      <c r="AU868" s="76"/>
      <c r="AV868" s="76"/>
      <c r="AW868" s="76"/>
      <c r="AX868" s="76"/>
      <c r="AY868" s="76"/>
      <c r="AZ868" s="76"/>
      <c r="BA868" s="76"/>
      <c r="BB868" s="76"/>
      <c r="BC868" s="76"/>
      <c r="BD868" s="76"/>
      <c r="BE868" s="76"/>
      <c r="BF868" s="76"/>
    </row>
    <row r="869" spans="1:58" s="153" customFormat="1" ht="14.1" customHeight="1">
      <c r="A869" s="75"/>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c r="AA869" s="76"/>
      <c r="AB869" s="76"/>
      <c r="AC869" s="76"/>
      <c r="AD869" s="76"/>
      <c r="AE869" s="76"/>
      <c r="AF869" s="76"/>
      <c r="AG869" s="76"/>
      <c r="AH869" s="76"/>
      <c r="AI869" s="76"/>
      <c r="AJ869" s="76"/>
      <c r="AK869" s="76"/>
      <c r="AL869" s="76"/>
      <c r="AM869" s="76"/>
      <c r="AN869" s="76"/>
      <c r="AO869" s="76"/>
      <c r="AP869" s="76"/>
      <c r="AQ869" s="76"/>
      <c r="AR869" s="76"/>
      <c r="AS869" s="76"/>
      <c r="AT869" s="76"/>
      <c r="AU869" s="76"/>
      <c r="AV869" s="76"/>
      <c r="AW869" s="76"/>
      <c r="AX869" s="76"/>
      <c r="AY869" s="76"/>
      <c r="AZ869" s="76"/>
      <c r="BA869" s="76"/>
      <c r="BB869" s="76"/>
      <c r="BC869" s="76"/>
      <c r="BD869" s="76"/>
      <c r="BE869" s="76"/>
      <c r="BF869" s="76"/>
    </row>
    <row r="870" spans="1:58" s="153" customFormat="1" ht="14.1" customHeight="1">
      <c r="A870" s="75"/>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c r="AA870" s="76"/>
      <c r="AB870" s="76"/>
      <c r="AC870" s="76"/>
      <c r="AD870" s="76"/>
      <c r="AE870" s="76"/>
      <c r="AF870" s="76"/>
      <c r="AG870" s="76"/>
      <c r="AH870" s="76"/>
      <c r="AI870" s="76"/>
      <c r="AJ870" s="76"/>
      <c r="AK870" s="76"/>
      <c r="AL870" s="76"/>
      <c r="AM870" s="76"/>
      <c r="AN870" s="76"/>
      <c r="AO870" s="76"/>
      <c r="AP870" s="76"/>
      <c r="AQ870" s="76"/>
      <c r="AR870" s="76"/>
      <c r="AS870" s="76"/>
      <c r="AT870" s="76"/>
      <c r="AU870" s="76"/>
      <c r="AV870" s="76"/>
      <c r="AW870" s="76"/>
      <c r="AX870" s="76"/>
      <c r="AY870" s="76"/>
      <c r="AZ870" s="76"/>
      <c r="BA870" s="76"/>
      <c r="BB870" s="76"/>
      <c r="BC870" s="76"/>
      <c r="BD870" s="76"/>
      <c r="BE870" s="76"/>
      <c r="BF870" s="76"/>
    </row>
    <row r="871" spans="1:58" s="153" customFormat="1" ht="14.1" customHeight="1">
      <c r="A871" s="75"/>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c r="AA871" s="76"/>
      <c r="AB871" s="76"/>
      <c r="AC871" s="76"/>
      <c r="AD871" s="76"/>
      <c r="AE871" s="76"/>
      <c r="AF871" s="76"/>
      <c r="AG871" s="76"/>
      <c r="AH871" s="76"/>
      <c r="AI871" s="76"/>
      <c r="AJ871" s="76"/>
      <c r="AK871" s="76"/>
      <c r="AL871" s="76"/>
      <c r="AM871" s="76"/>
      <c r="AN871" s="76"/>
      <c r="AO871" s="76"/>
      <c r="AP871" s="76"/>
      <c r="AQ871" s="76"/>
      <c r="AR871" s="76"/>
      <c r="AS871" s="76"/>
      <c r="AT871" s="76"/>
      <c r="AU871" s="76"/>
      <c r="AV871" s="76"/>
      <c r="AW871" s="76"/>
      <c r="AX871" s="76"/>
      <c r="AY871" s="76"/>
      <c r="AZ871" s="76"/>
      <c r="BA871" s="76"/>
      <c r="BB871" s="76"/>
      <c r="BC871" s="76"/>
      <c r="BD871" s="76"/>
      <c r="BE871" s="76"/>
      <c r="BF871" s="76"/>
    </row>
    <row r="872" spans="1:58" s="153" customFormat="1" ht="14.1" customHeight="1">
      <c r="A872" s="75"/>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c r="AA872" s="76"/>
      <c r="AB872" s="76"/>
      <c r="AC872" s="76"/>
      <c r="AD872" s="76"/>
      <c r="AE872" s="76"/>
      <c r="AF872" s="76"/>
      <c r="AG872" s="76"/>
      <c r="AH872" s="76"/>
      <c r="AI872" s="76"/>
      <c r="AJ872" s="76"/>
      <c r="AK872" s="76"/>
      <c r="AL872" s="76"/>
      <c r="AM872" s="76"/>
      <c r="AN872" s="76"/>
      <c r="AO872" s="76"/>
      <c r="AP872" s="76"/>
      <c r="AQ872" s="76"/>
      <c r="AR872" s="76"/>
      <c r="AS872" s="76"/>
      <c r="AT872" s="76"/>
      <c r="AU872" s="76"/>
      <c r="AV872" s="76"/>
      <c r="AW872" s="76"/>
      <c r="AX872" s="76"/>
      <c r="AY872" s="76"/>
      <c r="AZ872" s="76"/>
      <c r="BA872" s="76"/>
      <c r="BB872" s="76"/>
      <c r="BC872" s="76"/>
      <c r="BD872" s="76"/>
      <c r="BE872" s="76"/>
      <c r="BF872" s="76"/>
    </row>
    <row r="873" spans="1:58" s="153" customFormat="1" ht="14.1" customHeight="1">
      <c r="A873" s="75"/>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c r="AA873" s="76"/>
      <c r="AB873" s="76"/>
      <c r="AC873" s="76"/>
      <c r="AD873" s="76"/>
      <c r="AE873" s="76"/>
      <c r="AF873" s="76"/>
      <c r="AG873" s="76"/>
      <c r="AH873" s="76"/>
      <c r="AI873" s="76"/>
      <c r="AJ873" s="76"/>
      <c r="AK873" s="76"/>
      <c r="AL873" s="76"/>
      <c r="AM873" s="76"/>
      <c r="AN873" s="76"/>
      <c r="AO873" s="76"/>
      <c r="AP873" s="76"/>
      <c r="AQ873" s="76"/>
      <c r="AR873" s="76"/>
      <c r="AS873" s="76"/>
      <c r="AT873" s="76"/>
      <c r="AU873" s="76"/>
      <c r="AV873" s="76"/>
      <c r="AW873" s="76"/>
      <c r="AX873" s="76"/>
      <c r="AY873" s="76"/>
      <c r="AZ873" s="76"/>
      <c r="BA873" s="76"/>
      <c r="BB873" s="76"/>
      <c r="BC873" s="76"/>
      <c r="BD873" s="76"/>
      <c r="BE873" s="76"/>
      <c r="BF873" s="76"/>
    </row>
    <row r="874" spans="1:58" s="153" customFormat="1" ht="14.1" customHeight="1">
      <c r="A874" s="75"/>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c r="AA874" s="76"/>
      <c r="AB874" s="76"/>
      <c r="AC874" s="76"/>
      <c r="AD874" s="76"/>
      <c r="AE874" s="76"/>
      <c r="AF874" s="76"/>
      <c r="AG874" s="76"/>
      <c r="AH874" s="76"/>
      <c r="AI874" s="76"/>
      <c r="AJ874" s="76"/>
      <c r="AK874" s="76"/>
      <c r="AL874" s="76"/>
      <c r="AM874" s="76"/>
      <c r="AN874" s="76"/>
      <c r="AO874" s="76"/>
      <c r="AP874" s="76"/>
      <c r="AQ874" s="76"/>
      <c r="AR874" s="76"/>
      <c r="AS874" s="76"/>
      <c r="AT874" s="76"/>
      <c r="AU874" s="76"/>
      <c r="AV874" s="76"/>
      <c r="AW874" s="76"/>
      <c r="AX874" s="76"/>
      <c r="AY874" s="76"/>
      <c r="AZ874" s="76"/>
      <c r="BA874" s="76"/>
      <c r="BB874" s="76"/>
      <c r="BC874" s="76"/>
      <c r="BD874" s="76"/>
      <c r="BE874" s="76"/>
      <c r="BF874" s="76"/>
    </row>
    <row r="875" spans="1:58" s="153" customFormat="1" ht="14.1" customHeight="1">
      <c r="A875" s="75"/>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c r="AA875" s="76"/>
      <c r="AB875" s="76"/>
      <c r="AC875" s="76"/>
      <c r="AD875" s="76"/>
      <c r="AE875" s="76"/>
      <c r="AF875" s="76"/>
      <c r="AG875" s="76"/>
      <c r="AH875" s="76"/>
      <c r="AI875" s="76"/>
      <c r="AJ875" s="76"/>
      <c r="AK875" s="76"/>
      <c r="AL875" s="76"/>
      <c r="AM875" s="76"/>
      <c r="AN875" s="76"/>
      <c r="AO875" s="76"/>
      <c r="AP875" s="76"/>
      <c r="AQ875" s="76"/>
      <c r="AR875" s="76"/>
      <c r="AS875" s="76"/>
      <c r="AT875" s="76"/>
      <c r="AU875" s="76"/>
      <c r="AV875" s="76"/>
      <c r="AW875" s="76"/>
      <c r="AX875" s="76"/>
      <c r="AY875" s="76"/>
      <c r="AZ875" s="76"/>
      <c r="BA875" s="76"/>
      <c r="BB875" s="76"/>
      <c r="BC875" s="76"/>
      <c r="BD875" s="76"/>
      <c r="BE875" s="76"/>
      <c r="BF875" s="76"/>
    </row>
    <row r="876" spans="1:58" s="153" customFormat="1" ht="14.1" customHeight="1">
      <c r="A876" s="75"/>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c r="AA876" s="76"/>
      <c r="AB876" s="76"/>
      <c r="AC876" s="76"/>
      <c r="AD876" s="76"/>
      <c r="AE876" s="76"/>
      <c r="AF876" s="76"/>
      <c r="AG876" s="76"/>
      <c r="AH876" s="76"/>
      <c r="AI876" s="76"/>
      <c r="AJ876" s="76"/>
      <c r="AK876" s="76"/>
      <c r="AL876" s="76"/>
      <c r="AM876" s="76"/>
      <c r="AN876" s="76"/>
      <c r="AO876" s="76"/>
      <c r="AP876" s="76"/>
      <c r="AQ876" s="76"/>
      <c r="AR876" s="76"/>
      <c r="AS876" s="76"/>
      <c r="AT876" s="76"/>
      <c r="AU876" s="76"/>
      <c r="AV876" s="76"/>
      <c r="AW876" s="76"/>
      <c r="AX876" s="76"/>
      <c r="AY876" s="76"/>
      <c r="AZ876" s="76"/>
      <c r="BA876" s="76"/>
      <c r="BB876" s="76"/>
      <c r="BC876" s="76"/>
      <c r="BD876" s="76"/>
      <c r="BE876" s="76"/>
      <c r="BF876" s="76"/>
    </row>
    <row r="877" spans="1:58" s="153" customFormat="1" ht="14.1" customHeight="1">
      <c r="A877" s="75"/>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c r="AA877" s="76"/>
      <c r="AB877" s="76"/>
      <c r="AC877" s="76"/>
      <c r="AD877" s="76"/>
      <c r="AE877" s="76"/>
      <c r="AF877" s="76"/>
      <c r="AG877" s="76"/>
      <c r="AH877" s="76"/>
      <c r="AI877" s="76"/>
      <c r="AJ877" s="76"/>
      <c r="AK877" s="76"/>
      <c r="AL877" s="76"/>
      <c r="AM877" s="76"/>
      <c r="AN877" s="76"/>
      <c r="AO877" s="76"/>
      <c r="AP877" s="76"/>
      <c r="AQ877" s="76"/>
      <c r="AR877" s="76"/>
      <c r="AS877" s="76"/>
      <c r="AT877" s="76"/>
      <c r="AU877" s="76"/>
      <c r="AV877" s="76"/>
      <c r="AW877" s="76"/>
      <c r="AX877" s="76"/>
      <c r="AY877" s="76"/>
      <c r="AZ877" s="76"/>
      <c r="BA877" s="76"/>
      <c r="BB877" s="76"/>
      <c r="BC877" s="76"/>
      <c r="BD877" s="76"/>
      <c r="BE877" s="76"/>
      <c r="BF877" s="76"/>
    </row>
    <row r="878" spans="1:58" s="153" customFormat="1" ht="14.1" customHeight="1">
      <c r="A878" s="75"/>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c r="AA878" s="76"/>
      <c r="AB878" s="76"/>
      <c r="AC878" s="76"/>
      <c r="AD878" s="76"/>
      <c r="AE878" s="76"/>
      <c r="AF878" s="76"/>
      <c r="AG878" s="76"/>
      <c r="AH878" s="76"/>
      <c r="AI878" s="76"/>
      <c r="AJ878" s="76"/>
      <c r="AK878" s="76"/>
      <c r="AL878" s="76"/>
      <c r="AM878" s="76"/>
      <c r="AN878" s="76"/>
      <c r="AO878" s="76"/>
      <c r="AP878" s="76"/>
      <c r="AQ878" s="76"/>
      <c r="AR878" s="76"/>
      <c r="AS878" s="76"/>
      <c r="AT878" s="76"/>
      <c r="AU878" s="76"/>
      <c r="AV878" s="76"/>
      <c r="AW878" s="76"/>
      <c r="AX878" s="76"/>
      <c r="AY878" s="76"/>
      <c r="AZ878" s="76"/>
      <c r="BA878" s="76"/>
      <c r="BB878" s="76"/>
      <c r="BC878" s="76"/>
      <c r="BD878" s="76"/>
      <c r="BE878" s="76"/>
      <c r="BF878" s="76"/>
    </row>
    <row r="879" spans="1:58" s="153" customFormat="1" ht="14.1" customHeight="1">
      <c r="A879" s="75"/>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c r="AA879" s="76"/>
      <c r="AB879" s="76"/>
      <c r="AC879" s="76"/>
      <c r="AD879" s="76"/>
      <c r="AE879" s="76"/>
      <c r="AF879" s="76"/>
      <c r="AG879" s="76"/>
      <c r="AH879" s="76"/>
      <c r="AI879" s="76"/>
      <c r="AJ879" s="76"/>
      <c r="AK879" s="76"/>
      <c r="AL879" s="76"/>
      <c r="AM879" s="76"/>
      <c r="AN879" s="76"/>
      <c r="AO879" s="76"/>
      <c r="AP879" s="76"/>
      <c r="AQ879" s="76"/>
      <c r="AR879" s="76"/>
      <c r="AS879" s="76"/>
      <c r="AT879" s="76"/>
      <c r="AU879" s="76"/>
      <c r="AV879" s="76"/>
      <c r="AW879" s="76"/>
      <c r="AX879" s="76"/>
      <c r="AY879" s="76"/>
      <c r="AZ879" s="76"/>
      <c r="BA879" s="76"/>
      <c r="BB879" s="76"/>
      <c r="BC879" s="76"/>
      <c r="BD879" s="76"/>
      <c r="BE879" s="76"/>
      <c r="BF879" s="76"/>
    </row>
    <row r="880" spans="1:58" s="153" customFormat="1" ht="14.1" customHeight="1">
      <c r="A880" s="75"/>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c r="AA880" s="76"/>
      <c r="AB880" s="76"/>
      <c r="AC880" s="76"/>
      <c r="AD880" s="76"/>
      <c r="AE880" s="76"/>
      <c r="AF880" s="76"/>
      <c r="AG880" s="76"/>
      <c r="AH880" s="76"/>
      <c r="AI880" s="76"/>
      <c r="AJ880" s="76"/>
      <c r="AK880" s="76"/>
      <c r="AL880" s="76"/>
      <c r="AM880" s="76"/>
      <c r="AN880" s="76"/>
      <c r="AO880" s="76"/>
      <c r="AP880" s="76"/>
      <c r="AQ880" s="76"/>
      <c r="AR880" s="76"/>
      <c r="AS880" s="76"/>
      <c r="AT880" s="76"/>
      <c r="AU880" s="76"/>
      <c r="AV880" s="76"/>
      <c r="AW880" s="76"/>
      <c r="AX880" s="76"/>
      <c r="AY880" s="76"/>
      <c r="AZ880" s="76"/>
      <c r="BA880" s="76"/>
      <c r="BB880" s="76"/>
      <c r="BC880" s="76"/>
      <c r="BD880" s="76"/>
      <c r="BE880" s="76"/>
      <c r="BF880" s="76"/>
    </row>
    <row r="881" spans="1:58" s="153" customFormat="1" ht="14.1" customHeight="1">
      <c r="A881" s="75"/>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c r="AA881" s="76"/>
      <c r="AB881" s="76"/>
      <c r="AC881" s="76"/>
      <c r="AD881" s="76"/>
      <c r="AE881" s="76"/>
      <c r="AF881" s="76"/>
      <c r="AG881" s="76"/>
      <c r="AH881" s="76"/>
      <c r="AI881" s="76"/>
      <c r="AJ881" s="76"/>
      <c r="AK881" s="76"/>
      <c r="AL881" s="76"/>
      <c r="AM881" s="76"/>
      <c r="AN881" s="76"/>
      <c r="AO881" s="76"/>
      <c r="AP881" s="76"/>
      <c r="AQ881" s="76"/>
      <c r="AR881" s="76"/>
      <c r="AS881" s="76"/>
      <c r="AT881" s="76"/>
      <c r="AU881" s="76"/>
      <c r="AV881" s="76"/>
      <c r="AW881" s="76"/>
      <c r="AX881" s="76"/>
      <c r="AY881" s="76"/>
      <c r="AZ881" s="76"/>
      <c r="BA881" s="76"/>
      <c r="BB881" s="76"/>
      <c r="BC881" s="76"/>
      <c r="BD881" s="76"/>
      <c r="BE881" s="76"/>
      <c r="BF881" s="76"/>
    </row>
    <row r="882" spans="1:58" s="153" customFormat="1" ht="14.1" customHeight="1">
      <c r="A882" s="75"/>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c r="AA882" s="76"/>
      <c r="AB882" s="76"/>
      <c r="AC882" s="76"/>
      <c r="AD882" s="76"/>
      <c r="AE882" s="76"/>
      <c r="AF882" s="76"/>
      <c r="AG882" s="76"/>
      <c r="AH882" s="76"/>
      <c r="AI882" s="76"/>
      <c r="AJ882" s="76"/>
      <c r="AK882" s="76"/>
      <c r="AL882" s="76"/>
      <c r="AM882" s="76"/>
      <c r="AN882" s="76"/>
      <c r="AO882" s="76"/>
      <c r="AP882" s="76"/>
      <c r="AQ882" s="76"/>
      <c r="AR882" s="76"/>
      <c r="AS882" s="76"/>
      <c r="AT882" s="76"/>
      <c r="AU882" s="76"/>
      <c r="AV882" s="76"/>
      <c r="AW882" s="76"/>
      <c r="AX882" s="76"/>
      <c r="AY882" s="76"/>
      <c r="AZ882" s="76"/>
      <c r="BA882" s="76"/>
      <c r="BB882" s="76"/>
      <c r="BC882" s="76"/>
      <c r="BD882" s="76"/>
      <c r="BE882" s="76"/>
      <c r="BF882" s="76"/>
    </row>
    <row r="883" spans="1:58" s="153" customFormat="1" ht="14.1" customHeight="1">
      <c r="A883" s="75"/>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c r="AA883" s="76"/>
      <c r="AB883" s="76"/>
      <c r="AC883" s="76"/>
      <c r="AD883" s="76"/>
      <c r="AE883" s="76"/>
      <c r="AF883" s="76"/>
      <c r="AG883" s="76"/>
      <c r="AH883" s="76"/>
      <c r="AI883" s="76"/>
      <c r="AJ883" s="76"/>
      <c r="AK883" s="76"/>
      <c r="AL883" s="76"/>
      <c r="AM883" s="76"/>
      <c r="AN883" s="76"/>
      <c r="AO883" s="76"/>
      <c r="AP883" s="76"/>
      <c r="AQ883" s="76"/>
      <c r="AR883" s="76"/>
      <c r="AS883" s="76"/>
      <c r="AT883" s="76"/>
      <c r="AU883" s="76"/>
      <c r="AV883" s="76"/>
      <c r="AW883" s="76"/>
      <c r="AX883" s="76"/>
      <c r="AY883" s="76"/>
      <c r="AZ883" s="76"/>
      <c r="BA883" s="76"/>
      <c r="BB883" s="76"/>
      <c r="BC883" s="76"/>
      <c r="BD883" s="76"/>
      <c r="BE883" s="76"/>
      <c r="BF883" s="76"/>
    </row>
    <row r="884" spans="1:58" s="153" customFormat="1" ht="14.1" customHeight="1">
      <c r="A884" s="75"/>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c r="AA884" s="76"/>
      <c r="AB884" s="76"/>
      <c r="AC884" s="76"/>
      <c r="AD884" s="76"/>
      <c r="AE884" s="76"/>
      <c r="AF884" s="76"/>
      <c r="AG884" s="76"/>
      <c r="AH884" s="76"/>
      <c r="AI884" s="76"/>
      <c r="AJ884" s="76"/>
      <c r="AK884" s="76"/>
      <c r="AL884" s="76"/>
      <c r="AM884" s="76"/>
      <c r="AN884" s="76"/>
      <c r="AO884" s="76"/>
      <c r="AP884" s="76"/>
      <c r="AQ884" s="76"/>
      <c r="AR884" s="76"/>
      <c r="AS884" s="76"/>
      <c r="AT884" s="76"/>
      <c r="AU884" s="76"/>
      <c r="AV884" s="76"/>
      <c r="AW884" s="76"/>
      <c r="AX884" s="76"/>
      <c r="AY884" s="76"/>
      <c r="AZ884" s="76"/>
      <c r="BA884" s="76"/>
      <c r="BB884" s="76"/>
      <c r="BC884" s="76"/>
      <c r="BD884" s="76"/>
      <c r="BE884" s="76"/>
      <c r="BF884" s="76"/>
    </row>
    <row r="885" spans="1:58" s="153" customFormat="1" ht="14.1" customHeight="1">
      <c r="A885" s="75"/>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c r="AA885" s="76"/>
      <c r="AB885" s="76"/>
      <c r="AC885" s="76"/>
      <c r="AD885" s="76"/>
      <c r="AE885" s="76"/>
      <c r="AF885" s="76"/>
      <c r="AG885" s="76"/>
      <c r="AH885" s="76"/>
      <c r="AI885" s="76"/>
      <c r="AJ885" s="76"/>
      <c r="AK885" s="76"/>
      <c r="AL885" s="76"/>
      <c r="AM885" s="76"/>
      <c r="AN885" s="76"/>
      <c r="AO885" s="76"/>
      <c r="AP885" s="76"/>
      <c r="AQ885" s="76"/>
      <c r="AR885" s="76"/>
      <c r="AS885" s="76"/>
      <c r="AT885" s="76"/>
      <c r="AU885" s="76"/>
      <c r="AV885" s="76"/>
      <c r="AW885" s="76"/>
      <c r="AX885" s="76"/>
      <c r="AY885" s="76"/>
      <c r="AZ885" s="76"/>
      <c r="BA885" s="76"/>
      <c r="BB885" s="76"/>
      <c r="BC885" s="76"/>
      <c r="BD885" s="76"/>
      <c r="BE885" s="76"/>
      <c r="BF885" s="76"/>
    </row>
    <row r="886" spans="1:58" s="153" customFormat="1" ht="14.1" customHeight="1">
      <c r="A886" s="75"/>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c r="AA886" s="76"/>
      <c r="AB886" s="76"/>
      <c r="AC886" s="76"/>
      <c r="AD886" s="76"/>
      <c r="AE886" s="76"/>
      <c r="AF886" s="76"/>
      <c r="AG886" s="76"/>
      <c r="AH886" s="76"/>
      <c r="AI886" s="76"/>
      <c r="AJ886" s="76"/>
      <c r="AK886" s="76"/>
      <c r="AL886" s="76"/>
      <c r="AM886" s="76"/>
      <c r="AN886" s="76"/>
      <c r="AO886" s="76"/>
      <c r="AP886" s="76"/>
      <c r="AQ886" s="76"/>
      <c r="AR886" s="76"/>
      <c r="AS886" s="76"/>
      <c r="AT886" s="76"/>
      <c r="AU886" s="76"/>
      <c r="AV886" s="76"/>
      <c r="AW886" s="76"/>
      <c r="AX886" s="76"/>
      <c r="AY886" s="76"/>
      <c r="AZ886" s="76"/>
      <c r="BA886" s="76"/>
      <c r="BB886" s="76"/>
      <c r="BC886" s="76"/>
      <c r="BD886" s="76"/>
      <c r="BE886" s="76"/>
      <c r="BF886" s="76"/>
    </row>
    <row r="887" spans="1:58" s="153" customFormat="1" ht="14.1" customHeight="1">
      <c r="A887" s="75"/>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c r="AA887" s="76"/>
      <c r="AB887" s="76"/>
      <c r="AC887" s="76"/>
      <c r="AD887" s="76"/>
      <c r="AE887" s="76"/>
      <c r="AF887" s="76"/>
      <c r="AG887" s="76"/>
      <c r="AH887" s="76"/>
      <c r="AI887" s="76"/>
      <c r="AJ887" s="76"/>
      <c r="AK887" s="76"/>
      <c r="AL887" s="76"/>
      <c r="AM887" s="76"/>
      <c r="AN887" s="76"/>
      <c r="AO887" s="76"/>
      <c r="AP887" s="76"/>
      <c r="AQ887" s="76"/>
      <c r="AR887" s="76"/>
      <c r="AS887" s="76"/>
      <c r="AT887" s="76"/>
      <c r="AU887" s="76"/>
      <c r="AV887" s="76"/>
      <c r="AW887" s="76"/>
      <c r="AX887" s="76"/>
      <c r="AY887" s="76"/>
      <c r="AZ887" s="76"/>
      <c r="BA887" s="76"/>
      <c r="BB887" s="76"/>
      <c r="BC887" s="76"/>
      <c r="BD887" s="76"/>
      <c r="BE887" s="76"/>
      <c r="BF887" s="76"/>
    </row>
    <row r="888" spans="1:58" s="153" customFormat="1" ht="14.1" customHeight="1">
      <c r="A888" s="75"/>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c r="AA888" s="76"/>
      <c r="AB888" s="76"/>
      <c r="AC888" s="76"/>
      <c r="AD888" s="76"/>
      <c r="AE888" s="76"/>
      <c r="AF888" s="76"/>
      <c r="AG888" s="76"/>
      <c r="AH888" s="76"/>
      <c r="AI888" s="76"/>
      <c r="AJ888" s="76"/>
      <c r="AK888" s="76"/>
      <c r="AL888" s="76"/>
      <c r="AM888" s="76"/>
      <c r="AN888" s="76"/>
      <c r="AO888" s="76"/>
      <c r="AP888" s="76"/>
      <c r="AQ888" s="76"/>
      <c r="AR888" s="76"/>
      <c r="AS888" s="76"/>
      <c r="AT888" s="76"/>
      <c r="AU888" s="76"/>
      <c r="AV888" s="76"/>
      <c r="AW888" s="76"/>
      <c r="AX888" s="76"/>
      <c r="AY888" s="76"/>
      <c r="AZ888" s="76"/>
      <c r="BA888" s="76"/>
      <c r="BB888" s="76"/>
      <c r="BC888" s="76"/>
      <c r="BD888" s="76"/>
      <c r="BE888" s="76"/>
      <c r="BF888" s="76"/>
    </row>
    <row r="889" spans="1:58" s="153" customFormat="1" ht="14.1" customHeight="1">
      <c r="A889" s="75"/>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c r="AA889" s="76"/>
      <c r="AB889" s="76"/>
      <c r="AC889" s="76"/>
      <c r="AD889" s="76"/>
      <c r="AE889" s="76"/>
      <c r="AF889" s="76"/>
      <c r="AG889" s="76"/>
      <c r="AH889" s="76"/>
      <c r="AI889" s="76"/>
      <c r="AJ889" s="76"/>
      <c r="AK889" s="76"/>
      <c r="AL889" s="76"/>
      <c r="AM889" s="76"/>
      <c r="AN889" s="76"/>
      <c r="AO889" s="76"/>
      <c r="AP889" s="76"/>
      <c r="AQ889" s="76"/>
      <c r="AR889" s="76"/>
      <c r="AS889" s="76"/>
      <c r="AT889" s="76"/>
      <c r="AU889" s="76"/>
      <c r="AV889" s="76"/>
      <c r="AW889" s="76"/>
      <c r="AX889" s="76"/>
      <c r="AY889" s="76"/>
      <c r="AZ889" s="76"/>
      <c r="BA889" s="76"/>
      <c r="BB889" s="76"/>
      <c r="BC889" s="76"/>
      <c r="BD889" s="76"/>
      <c r="BE889" s="76"/>
      <c r="BF889" s="76"/>
    </row>
    <row r="890" spans="1:58" s="153" customFormat="1" ht="14.1" customHeight="1">
      <c r="A890" s="75"/>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c r="AA890" s="76"/>
      <c r="AB890" s="76"/>
      <c r="AC890" s="76"/>
      <c r="AD890" s="76"/>
      <c r="AE890" s="76"/>
      <c r="AF890" s="76"/>
      <c r="AG890" s="76"/>
      <c r="AH890" s="76"/>
      <c r="AI890" s="76"/>
      <c r="AJ890" s="76"/>
      <c r="AK890" s="76"/>
      <c r="AL890" s="76"/>
      <c r="AM890" s="76"/>
      <c r="AN890" s="76"/>
      <c r="AO890" s="76"/>
      <c r="AP890" s="76"/>
      <c r="AQ890" s="76"/>
      <c r="AR890" s="76"/>
      <c r="AS890" s="76"/>
      <c r="AT890" s="76"/>
      <c r="AU890" s="76"/>
      <c r="AV890" s="76"/>
      <c r="AW890" s="76"/>
      <c r="AX890" s="76"/>
      <c r="AY890" s="76"/>
      <c r="AZ890" s="76"/>
      <c r="BA890" s="76"/>
      <c r="BB890" s="76"/>
      <c r="BC890" s="76"/>
      <c r="BD890" s="76"/>
      <c r="BE890" s="76"/>
      <c r="BF890" s="76"/>
    </row>
    <row r="891" spans="1:58" s="153" customFormat="1" ht="14.1" customHeight="1">
      <c r="A891" s="75"/>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c r="AA891" s="76"/>
      <c r="AB891" s="76"/>
      <c r="AC891" s="76"/>
      <c r="AD891" s="76"/>
      <c r="AE891" s="76"/>
      <c r="AF891" s="76"/>
      <c r="AG891" s="76"/>
      <c r="AH891" s="76"/>
      <c r="AI891" s="76"/>
      <c r="AJ891" s="76"/>
      <c r="AK891" s="76"/>
      <c r="AL891" s="76"/>
      <c r="AM891" s="76"/>
      <c r="AN891" s="76"/>
      <c r="AO891" s="76"/>
      <c r="AP891" s="76"/>
      <c r="AQ891" s="76"/>
      <c r="AR891" s="76"/>
      <c r="AS891" s="76"/>
      <c r="AT891" s="76"/>
      <c r="AU891" s="76"/>
      <c r="AV891" s="76"/>
      <c r="AW891" s="76"/>
      <c r="AX891" s="76"/>
      <c r="AY891" s="76"/>
      <c r="AZ891" s="76"/>
      <c r="BA891" s="76"/>
      <c r="BB891" s="76"/>
      <c r="BC891" s="76"/>
      <c r="BD891" s="76"/>
      <c r="BE891" s="76"/>
      <c r="BF891" s="76"/>
    </row>
    <row r="892" spans="1:58" s="153" customFormat="1" ht="14.1" customHeight="1">
      <c r="A892" s="75"/>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c r="AA892" s="76"/>
      <c r="AB892" s="76"/>
      <c r="AC892" s="76"/>
      <c r="AD892" s="76"/>
      <c r="AE892" s="76"/>
      <c r="AF892" s="76"/>
      <c r="AG892" s="76"/>
      <c r="AH892" s="76"/>
      <c r="AI892" s="76"/>
      <c r="AJ892" s="76"/>
      <c r="AK892" s="76"/>
      <c r="AL892" s="76"/>
      <c r="AM892" s="76"/>
      <c r="AN892" s="76"/>
      <c r="AO892" s="76"/>
      <c r="AP892" s="76"/>
      <c r="AQ892" s="76"/>
      <c r="AR892" s="76"/>
      <c r="AS892" s="76"/>
      <c r="AT892" s="76"/>
      <c r="AU892" s="76"/>
      <c r="AV892" s="76"/>
      <c r="AW892" s="76"/>
      <c r="AX892" s="76"/>
      <c r="AY892" s="76"/>
      <c r="AZ892" s="76"/>
      <c r="BA892" s="76"/>
      <c r="BB892" s="76"/>
      <c r="BC892" s="76"/>
      <c r="BD892" s="76"/>
      <c r="BE892" s="76"/>
      <c r="BF892" s="76"/>
    </row>
    <row r="893" spans="1:58" s="153" customFormat="1" ht="14.1" customHeight="1">
      <c r="A893" s="75"/>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c r="AA893" s="76"/>
      <c r="AB893" s="76"/>
      <c r="AC893" s="76"/>
      <c r="AD893" s="76"/>
      <c r="AE893" s="76"/>
      <c r="AF893" s="76"/>
      <c r="AG893" s="76"/>
      <c r="AH893" s="76"/>
      <c r="AI893" s="76"/>
      <c r="AJ893" s="76"/>
      <c r="AK893" s="76"/>
      <c r="AL893" s="76"/>
      <c r="AM893" s="76"/>
      <c r="AN893" s="76"/>
      <c r="AO893" s="76"/>
      <c r="AP893" s="76"/>
      <c r="AQ893" s="76"/>
      <c r="AR893" s="76"/>
      <c r="AS893" s="76"/>
      <c r="AT893" s="76"/>
      <c r="AU893" s="76"/>
      <c r="AV893" s="76"/>
      <c r="AW893" s="76"/>
      <c r="AX893" s="76"/>
      <c r="AY893" s="76"/>
      <c r="AZ893" s="76"/>
      <c r="BA893" s="76"/>
      <c r="BB893" s="76"/>
      <c r="BC893" s="76"/>
      <c r="BD893" s="76"/>
      <c r="BE893" s="76"/>
      <c r="BF893" s="76"/>
    </row>
    <row r="894" spans="1:58" s="153" customFormat="1" ht="14.1" customHeight="1">
      <c r="A894" s="75"/>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c r="AA894" s="76"/>
      <c r="AB894" s="76"/>
      <c r="AC894" s="76"/>
      <c r="AD894" s="76"/>
      <c r="AE894" s="76"/>
      <c r="AF894" s="76"/>
      <c r="AG894" s="76"/>
      <c r="AH894" s="76"/>
      <c r="AI894" s="76"/>
      <c r="AJ894" s="76"/>
      <c r="AK894" s="76"/>
      <c r="AL894" s="76"/>
      <c r="AM894" s="76"/>
      <c r="AN894" s="76"/>
      <c r="AO894" s="76"/>
      <c r="AP894" s="76"/>
      <c r="AQ894" s="76"/>
      <c r="AR894" s="76"/>
      <c r="AS894" s="76"/>
      <c r="AT894" s="76"/>
      <c r="AU894" s="76"/>
      <c r="AV894" s="76"/>
      <c r="AW894" s="76"/>
      <c r="AX894" s="76"/>
      <c r="AY894" s="76"/>
      <c r="AZ894" s="76"/>
      <c r="BA894" s="76"/>
      <c r="BB894" s="76"/>
      <c r="BC894" s="76"/>
      <c r="BD894" s="76"/>
      <c r="BE894" s="76"/>
      <c r="BF894" s="76"/>
    </row>
    <row r="895" spans="1:58" s="153" customFormat="1" ht="14.1" customHeight="1">
      <c r="A895" s="75"/>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c r="AA895" s="76"/>
      <c r="AB895" s="76"/>
      <c r="AC895" s="76"/>
      <c r="AD895" s="76"/>
      <c r="AE895" s="76"/>
      <c r="AF895" s="76"/>
      <c r="AG895" s="76"/>
      <c r="AH895" s="76"/>
      <c r="AI895" s="76"/>
      <c r="AJ895" s="76"/>
      <c r="AK895" s="76"/>
      <c r="AL895" s="76"/>
      <c r="AM895" s="76"/>
      <c r="AN895" s="76"/>
      <c r="AO895" s="76"/>
      <c r="AP895" s="76"/>
      <c r="AQ895" s="76"/>
      <c r="AR895" s="76"/>
      <c r="AS895" s="76"/>
      <c r="AT895" s="76"/>
      <c r="AU895" s="76"/>
      <c r="AV895" s="76"/>
      <c r="AW895" s="76"/>
      <c r="AX895" s="76"/>
      <c r="AY895" s="76"/>
      <c r="AZ895" s="76"/>
      <c r="BA895" s="76"/>
      <c r="BB895" s="76"/>
      <c r="BC895" s="76"/>
      <c r="BD895" s="76"/>
      <c r="BE895" s="76"/>
      <c r="BF895" s="76"/>
    </row>
    <row r="896" spans="1:58" s="153" customFormat="1" ht="14.1" customHeight="1">
      <c r="A896" s="75"/>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c r="AA896" s="76"/>
      <c r="AB896" s="76"/>
      <c r="AC896" s="76"/>
      <c r="AD896" s="76"/>
      <c r="AE896" s="76"/>
      <c r="AF896" s="76"/>
      <c r="AG896" s="76"/>
      <c r="AH896" s="76"/>
      <c r="AI896" s="76"/>
      <c r="AJ896" s="76"/>
      <c r="AK896" s="76"/>
      <c r="AL896" s="76"/>
      <c r="AM896" s="76"/>
      <c r="AN896" s="76"/>
      <c r="AO896" s="76"/>
      <c r="AP896" s="76"/>
      <c r="AQ896" s="76"/>
      <c r="AR896" s="76"/>
      <c r="AS896" s="76"/>
      <c r="AT896" s="76"/>
      <c r="AU896" s="76"/>
      <c r="AV896" s="76"/>
      <c r="AW896" s="76"/>
      <c r="AX896" s="76"/>
      <c r="AY896" s="76"/>
      <c r="AZ896" s="76"/>
      <c r="BA896" s="76"/>
      <c r="BB896" s="76"/>
      <c r="BC896" s="76"/>
      <c r="BD896" s="76"/>
      <c r="BE896" s="76"/>
      <c r="BF896" s="76"/>
    </row>
    <row r="897" spans="1:58" s="153" customFormat="1" ht="14.1" customHeight="1">
      <c r="A897" s="75"/>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c r="AA897" s="76"/>
      <c r="AB897" s="76"/>
      <c r="AC897" s="76"/>
      <c r="AD897" s="76"/>
      <c r="AE897" s="76"/>
      <c r="AF897" s="76"/>
      <c r="AG897" s="76"/>
      <c r="AH897" s="76"/>
      <c r="AI897" s="76"/>
      <c r="AJ897" s="76"/>
      <c r="AK897" s="76"/>
      <c r="AL897" s="76"/>
      <c r="AM897" s="76"/>
      <c r="AN897" s="76"/>
      <c r="AO897" s="76"/>
      <c r="AP897" s="76"/>
      <c r="AQ897" s="76"/>
      <c r="AR897" s="76"/>
      <c r="AS897" s="76"/>
      <c r="AT897" s="76"/>
      <c r="AU897" s="76"/>
      <c r="AV897" s="76"/>
      <c r="AW897" s="76"/>
      <c r="AX897" s="76"/>
      <c r="AY897" s="76"/>
      <c r="AZ897" s="76"/>
      <c r="BA897" s="76"/>
      <c r="BB897" s="76"/>
      <c r="BC897" s="76"/>
      <c r="BD897" s="76"/>
      <c r="BE897" s="76"/>
      <c r="BF897" s="76"/>
    </row>
    <row r="898" spans="1:58" s="153" customFormat="1" ht="14.1" customHeight="1">
      <c r="A898" s="75"/>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c r="AA898" s="76"/>
      <c r="AB898" s="76"/>
      <c r="AC898" s="76"/>
      <c r="AD898" s="76"/>
      <c r="AE898" s="76"/>
      <c r="AF898" s="76"/>
      <c r="AG898" s="76"/>
      <c r="AH898" s="76"/>
      <c r="AI898" s="76"/>
      <c r="AJ898" s="76"/>
      <c r="AK898" s="76"/>
      <c r="AL898" s="76"/>
      <c r="AM898" s="76"/>
      <c r="AN898" s="76"/>
      <c r="AO898" s="76"/>
      <c r="AP898" s="76"/>
      <c r="AQ898" s="76"/>
      <c r="AR898" s="76"/>
      <c r="AS898" s="76"/>
      <c r="AT898" s="76"/>
      <c r="AU898" s="76"/>
      <c r="AV898" s="76"/>
      <c r="AW898" s="76"/>
      <c r="AX898" s="76"/>
      <c r="AY898" s="76"/>
      <c r="AZ898" s="76"/>
      <c r="BA898" s="76"/>
      <c r="BB898" s="76"/>
      <c r="BC898" s="76"/>
      <c r="BD898" s="76"/>
      <c r="BE898" s="76"/>
      <c r="BF898" s="76"/>
    </row>
    <row r="899" spans="1:58" s="153" customFormat="1" ht="14.1" customHeight="1">
      <c r="A899" s="75"/>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c r="AA899" s="76"/>
      <c r="AB899" s="76"/>
      <c r="AC899" s="76"/>
      <c r="AD899" s="76"/>
      <c r="AE899" s="76"/>
      <c r="AF899" s="76"/>
      <c r="AG899" s="76"/>
      <c r="AH899" s="76"/>
      <c r="AI899" s="76"/>
      <c r="AJ899" s="76"/>
      <c r="AK899" s="76"/>
      <c r="AL899" s="76"/>
      <c r="AM899" s="76"/>
      <c r="AN899" s="76"/>
      <c r="AO899" s="76"/>
      <c r="AP899" s="76"/>
      <c r="AQ899" s="76"/>
      <c r="AR899" s="76"/>
      <c r="AS899" s="76"/>
      <c r="AT899" s="76"/>
      <c r="AU899" s="76"/>
      <c r="AV899" s="76"/>
      <c r="AW899" s="76"/>
      <c r="AX899" s="76"/>
      <c r="AY899" s="76"/>
      <c r="AZ899" s="76"/>
      <c r="BA899" s="76"/>
      <c r="BB899" s="76"/>
      <c r="BC899" s="76"/>
      <c r="BD899" s="76"/>
      <c r="BE899" s="76"/>
      <c r="BF899" s="76"/>
    </row>
    <row r="900" spans="1:58" s="153" customFormat="1" ht="14.1" customHeight="1">
      <c r="A900" s="75"/>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c r="AA900" s="76"/>
      <c r="AB900" s="76"/>
      <c r="AC900" s="76"/>
      <c r="AD900" s="76"/>
      <c r="AE900" s="76"/>
      <c r="AF900" s="76"/>
      <c r="AG900" s="76"/>
      <c r="AH900" s="76"/>
      <c r="AI900" s="76"/>
      <c r="AJ900" s="76"/>
      <c r="AK900" s="76"/>
      <c r="AL900" s="76"/>
      <c r="AM900" s="76"/>
      <c r="AN900" s="76"/>
      <c r="AO900" s="76"/>
      <c r="AP900" s="76"/>
      <c r="AQ900" s="76"/>
      <c r="AR900" s="76"/>
      <c r="AS900" s="76"/>
      <c r="AT900" s="76"/>
      <c r="AU900" s="76"/>
      <c r="AV900" s="76"/>
      <c r="AW900" s="76"/>
      <c r="AX900" s="76"/>
      <c r="AY900" s="76"/>
      <c r="AZ900" s="76"/>
      <c r="BA900" s="76"/>
      <c r="BB900" s="76"/>
      <c r="BC900" s="76"/>
      <c r="BD900" s="76"/>
      <c r="BE900" s="76"/>
      <c r="BF900" s="76"/>
    </row>
    <row r="901" spans="1:58" s="153" customFormat="1" ht="14.1" customHeight="1">
      <c r="A901" s="75"/>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c r="AA901" s="76"/>
      <c r="AB901" s="76"/>
      <c r="AC901" s="76"/>
      <c r="AD901" s="76"/>
      <c r="AE901" s="76"/>
      <c r="AF901" s="76"/>
      <c r="AG901" s="76"/>
      <c r="AH901" s="76"/>
      <c r="AI901" s="76"/>
      <c r="AJ901" s="76"/>
      <c r="AK901" s="76"/>
      <c r="AL901" s="76"/>
      <c r="AM901" s="76"/>
      <c r="AN901" s="76"/>
      <c r="AO901" s="76"/>
      <c r="AP901" s="76"/>
      <c r="AQ901" s="76"/>
      <c r="AR901" s="76"/>
      <c r="AS901" s="76"/>
      <c r="AT901" s="76"/>
      <c r="AU901" s="76"/>
      <c r="AV901" s="76"/>
      <c r="AW901" s="76"/>
      <c r="AX901" s="76"/>
      <c r="AY901" s="76"/>
      <c r="AZ901" s="76"/>
      <c r="BA901" s="76"/>
      <c r="BB901" s="76"/>
      <c r="BC901" s="76"/>
      <c r="BD901" s="76"/>
      <c r="BE901" s="76"/>
      <c r="BF901" s="76"/>
    </row>
    <row r="902" spans="1:58" s="153" customFormat="1" ht="14.1" customHeight="1">
      <c r="A902" s="75"/>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c r="AA902" s="76"/>
      <c r="AB902" s="76"/>
      <c r="AC902" s="76"/>
      <c r="AD902" s="76"/>
      <c r="AE902" s="76"/>
      <c r="AF902" s="76"/>
      <c r="AG902" s="76"/>
      <c r="AH902" s="76"/>
      <c r="AI902" s="76"/>
      <c r="AJ902" s="76"/>
      <c r="AK902" s="76"/>
      <c r="AL902" s="76"/>
      <c r="AM902" s="76"/>
      <c r="AN902" s="76"/>
      <c r="AO902" s="76"/>
      <c r="AP902" s="76"/>
      <c r="AQ902" s="76"/>
      <c r="AR902" s="76"/>
      <c r="AS902" s="76"/>
      <c r="AT902" s="76"/>
      <c r="AU902" s="76"/>
      <c r="AV902" s="76"/>
      <c r="AW902" s="76"/>
      <c r="AX902" s="76"/>
      <c r="AY902" s="76"/>
      <c r="AZ902" s="76"/>
      <c r="BA902" s="76"/>
      <c r="BB902" s="76"/>
      <c r="BC902" s="76"/>
      <c r="BD902" s="76"/>
      <c r="BE902" s="76"/>
      <c r="BF902" s="76"/>
    </row>
    <row r="903" spans="1:58" s="153" customFormat="1" ht="14.1" customHeight="1">
      <c r="A903" s="75"/>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c r="AA903" s="76"/>
      <c r="AB903" s="76"/>
      <c r="AC903" s="76"/>
      <c r="AD903" s="76"/>
      <c r="AE903" s="76"/>
      <c r="AF903" s="76"/>
      <c r="AG903" s="76"/>
      <c r="AH903" s="76"/>
      <c r="AI903" s="76"/>
      <c r="AJ903" s="76"/>
      <c r="AK903" s="76"/>
      <c r="AL903" s="76"/>
      <c r="AM903" s="76"/>
      <c r="AN903" s="76"/>
      <c r="AO903" s="76"/>
      <c r="AP903" s="76"/>
      <c r="AQ903" s="76"/>
      <c r="AR903" s="76"/>
      <c r="AS903" s="76"/>
      <c r="AT903" s="76"/>
      <c r="AU903" s="76"/>
      <c r="AV903" s="76"/>
      <c r="AW903" s="76"/>
      <c r="AX903" s="76"/>
      <c r="AY903" s="76"/>
      <c r="AZ903" s="76"/>
      <c r="BA903" s="76"/>
      <c r="BB903" s="76"/>
      <c r="BC903" s="76"/>
      <c r="BD903" s="76"/>
      <c r="BE903" s="76"/>
      <c r="BF903" s="76"/>
    </row>
    <row r="904" spans="1:58" s="153" customFormat="1" ht="14.1" customHeight="1">
      <c r="A904" s="75"/>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c r="AA904" s="76"/>
      <c r="AB904" s="76"/>
      <c r="AC904" s="76"/>
      <c r="AD904" s="76"/>
      <c r="AE904" s="76"/>
      <c r="AF904" s="76"/>
      <c r="AG904" s="76"/>
      <c r="AH904" s="76"/>
      <c r="AI904" s="76"/>
      <c r="AJ904" s="76"/>
      <c r="AK904" s="76"/>
      <c r="AL904" s="76"/>
      <c r="AM904" s="76"/>
      <c r="AN904" s="76"/>
      <c r="AO904" s="76"/>
      <c r="AP904" s="76"/>
      <c r="AQ904" s="76"/>
      <c r="AR904" s="76"/>
      <c r="AS904" s="76"/>
      <c r="AT904" s="76"/>
      <c r="AU904" s="76"/>
      <c r="AV904" s="76"/>
      <c r="AW904" s="76"/>
      <c r="AX904" s="76"/>
      <c r="AY904" s="76"/>
      <c r="AZ904" s="76"/>
      <c r="BA904" s="76"/>
      <c r="BB904" s="76"/>
      <c r="BC904" s="76"/>
      <c r="BD904" s="76"/>
      <c r="BE904" s="76"/>
      <c r="BF904" s="76"/>
    </row>
    <row r="905" spans="1:58" s="153" customFormat="1" ht="14.1" customHeight="1">
      <c r="A905" s="75"/>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c r="AA905" s="76"/>
      <c r="AB905" s="76"/>
      <c r="AC905" s="76"/>
      <c r="AD905" s="76"/>
      <c r="AE905" s="76"/>
      <c r="AF905" s="76"/>
      <c r="AG905" s="76"/>
      <c r="AH905" s="76"/>
      <c r="AI905" s="76"/>
      <c r="AJ905" s="76"/>
      <c r="AK905" s="76"/>
      <c r="AL905" s="76"/>
      <c r="AM905" s="76"/>
      <c r="AN905" s="76"/>
      <c r="AO905" s="76"/>
      <c r="AP905" s="76"/>
      <c r="AQ905" s="76"/>
      <c r="AR905" s="76"/>
      <c r="AS905" s="76"/>
      <c r="AT905" s="76"/>
      <c r="AU905" s="76"/>
      <c r="AV905" s="76"/>
      <c r="AW905" s="76"/>
      <c r="AX905" s="76"/>
      <c r="AY905" s="76"/>
      <c r="AZ905" s="76"/>
      <c r="BA905" s="76"/>
      <c r="BB905" s="76"/>
      <c r="BC905" s="76"/>
      <c r="BD905" s="76"/>
      <c r="BE905" s="76"/>
      <c r="BF905" s="76"/>
    </row>
    <row r="906" spans="1:58" s="153" customFormat="1" ht="14.1" customHeight="1">
      <c r="A906" s="75"/>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c r="AA906" s="76"/>
      <c r="AB906" s="76"/>
      <c r="AC906" s="76"/>
      <c r="AD906" s="76"/>
      <c r="AE906" s="76"/>
      <c r="AF906" s="76"/>
      <c r="AG906" s="76"/>
      <c r="AH906" s="76"/>
      <c r="AI906" s="76"/>
      <c r="AJ906" s="76"/>
      <c r="AK906" s="76"/>
      <c r="AL906" s="76"/>
      <c r="AM906" s="76"/>
      <c r="AN906" s="76"/>
      <c r="AO906" s="76"/>
      <c r="AP906" s="76"/>
      <c r="AQ906" s="76"/>
      <c r="AR906" s="76"/>
      <c r="AS906" s="76"/>
      <c r="AT906" s="76"/>
      <c r="AU906" s="76"/>
      <c r="AV906" s="76"/>
      <c r="AW906" s="76"/>
      <c r="AX906" s="76"/>
      <c r="AY906" s="76"/>
      <c r="AZ906" s="76"/>
      <c r="BA906" s="76"/>
      <c r="BB906" s="76"/>
      <c r="BC906" s="76"/>
      <c r="BD906" s="76"/>
      <c r="BE906" s="76"/>
      <c r="BF906" s="76"/>
    </row>
    <row r="907" spans="1:58" s="153" customFormat="1" ht="14.1" customHeight="1">
      <c r="A907" s="75"/>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c r="AA907" s="76"/>
      <c r="AB907" s="76"/>
      <c r="AC907" s="76"/>
      <c r="AD907" s="76"/>
      <c r="AE907" s="76"/>
      <c r="AF907" s="76"/>
      <c r="AG907" s="76"/>
      <c r="AH907" s="76"/>
      <c r="AI907" s="76"/>
      <c r="AJ907" s="76"/>
      <c r="AK907" s="76"/>
      <c r="AL907" s="76"/>
      <c r="AM907" s="76"/>
      <c r="AN907" s="76"/>
      <c r="AO907" s="76"/>
      <c r="AP907" s="76"/>
      <c r="AQ907" s="76"/>
      <c r="AR907" s="76"/>
      <c r="AS907" s="76"/>
      <c r="AT907" s="76"/>
      <c r="AU907" s="76"/>
      <c r="AV907" s="76"/>
      <c r="AW907" s="76"/>
      <c r="AX907" s="76"/>
      <c r="AY907" s="76"/>
      <c r="AZ907" s="76"/>
      <c r="BA907" s="76"/>
      <c r="BB907" s="76"/>
      <c r="BC907" s="76"/>
      <c r="BD907" s="76"/>
      <c r="BE907" s="76"/>
      <c r="BF907" s="76"/>
    </row>
    <row r="908" spans="1:58" s="153" customFormat="1" ht="14.1" customHeight="1">
      <c r="A908" s="75"/>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c r="AA908" s="76"/>
      <c r="AB908" s="76"/>
      <c r="AC908" s="76"/>
      <c r="AD908" s="76"/>
      <c r="AE908" s="76"/>
      <c r="AF908" s="76"/>
      <c r="AG908" s="76"/>
      <c r="AH908" s="76"/>
      <c r="AI908" s="76"/>
      <c r="AJ908" s="76"/>
      <c r="AK908" s="76"/>
      <c r="AL908" s="76"/>
      <c r="AM908" s="76"/>
      <c r="AN908" s="76"/>
      <c r="AO908" s="76"/>
      <c r="AP908" s="76"/>
      <c r="AQ908" s="76"/>
      <c r="AR908" s="76"/>
      <c r="AS908" s="76"/>
      <c r="AT908" s="76"/>
      <c r="AU908" s="76"/>
      <c r="AV908" s="76"/>
      <c r="AW908" s="76"/>
      <c r="AX908" s="76"/>
      <c r="AY908" s="76"/>
      <c r="AZ908" s="76"/>
      <c r="BA908" s="76"/>
      <c r="BB908" s="76"/>
      <c r="BC908" s="76"/>
      <c r="BD908" s="76"/>
      <c r="BE908" s="76"/>
      <c r="BF908" s="76"/>
    </row>
    <row r="909" spans="1:58" s="153" customFormat="1" ht="14.1" customHeight="1">
      <c r="A909" s="75"/>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c r="AA909" s="76"/>
      <c r="AB909" s="76"/>
      <c r="AC909" s="76"/>
      <c r="AD909" s="76"/>
      <c r="AE909" s="76"/>
      <c r="AF909" s="76"/>
      <c r="AG909" s="76"/>
      <c r="AH909" s="76"/>
      <c r="AI909" s="76"/>
      <c r="AJ909" s="76"/>
      <c r="AK909" s="76"/>
      <c r="AL909" s="76"/>
      <c r="AM909" s="76"/>
      <c r="AN909" s="76"/>
      <c r="AO909" s="76"/>
      <c r="AP909" s="76"/>
      <c r="AQ909" s="76"/>
      <c r="AR909" s="76"/>
      <c r="AS909" s="76"/>
      <c r="AT909" s="76"/>
      <c r="AU909" s="76"/>
      <c r="AV909" s="76"/>
      <c r="AW909" s="76"/>
      <c r="AX909" s="76"/>
      <c r="AY909" s="76"/>
      <c r="AZ909" s="76"/>
      <c r="BA909" s="76"/>
      <c r="BB909" s="76"/>
      <c r="BC909" s="76"/>
      <c r="BD909" s="76"/>
      <c r="BE909" s="76"/>
      <c r="BF909" s="76"/>
    </row>
    <row r="910" spans="1:58" s="153" customFormat="1" ht="14.1" customHeight="1">
      <c r="A910" s="75"/>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c r="AA910" s="76"/>
      <c r="AB910" s="76"/>
      <c r="AC910" s="76"/>
      <c r="AD910" s="76"/>
      <c r="AE910" s="76"/>
      <c r="AF910" s="76"/>
      <c r="AG910" s="76"/>
      <c r="AH910" s="76"/>
      <c r="AI910" s="76"/>
      <c r="AJ910" s="76"/>
      <c r="AK910" s="76"/>
      <c r="AL910" s="76"/>
      <c r="AM910" s="76"/>
      <c r="AN910" s="76"/>
      <c r="AO910" s="76"/>
      <c r="AP910" s="76"/>
      <c r="AQ910" s="76"/>
      <c r="AR910" s="76"/>
      <c r="AS910" s="76"/>
      <c r="AT910" s="76"/>
      <c r="AU910" s="76"/>
      <c r="AV910" s="76"/>
      <c r="AW910" s="76"/>
      <c r="AX910" s="76"/>
      <c r="AY910" s="76"/>
      <c r="AZ910" s="76"/>
      <c r="BA910" s="76"/>
      <c r="BB910" s="76"/>
      <c r="BC910" s="76"/>
      <c r="BD910" s="76"/>
      <c r="BE910" s="76"/>
      <c r="BF910" s="76"/>
    </row>
  </sheetData>
  <pageMargins left="0.7" right="0.7" top="0.75" bottom="0.75" header="0.3" footer="0.3"/>
  <pageSetup scale="10" orientation="portrait" r:id="rId1"/>
  <headerFooter>
    <oddHeader>&amp;C&amp;"Arial,Bold"Kentucky Power Company
Case No. 2025-00257
Test Year Ended May 31, 2025&amp;RKPSC Case No. 2025-00257
SECTION V-Application
Exhibit 1
&amp;Pof&amp;N</oddHeader>
  </headerFooter>
  <rowBreaks count="5" manualBreakCount="5">
    <brk id="54" max="16383" man="1"/>
    <brk id="172" max="16383" man="1"/>
    <brk id="252" max="16383" man="1"/>
    <brk id="347" max="16383" man="1"/>
    <brk id="442" max="16383" man="1"/>
  </rowBreaks>
  <colBreaks count="3" manualBreakCount="3">
    <brk id="18" max="1048575" man="1"/>
    <brk id="36" max="1048575" man="1"/>
    <brk id="4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1812-306F-4026-9C51-CB7EF1809646}">
  <dimension ref="A1:X266"/>
  <sheetViews>
    <sheetView zoomScale="87" zoomScaleNormal="87" workbookViewId="0">
      <pane xSplit="1" ySplit="2" topLeftCell="B199" activePane="bottomRight" state="frozen"/>
      <selection pane="topRight" activeCell="H171" sqref="H171"/>
      <selection pane="bottomLeft" activeCell="H171" sqref="H171"/>
      <selection pane="bottomRight" activeCell="J252" sqref="J252"/>
    </sheetView>
  </sheetViews>
  <sheetFormatPr defaultRowHeight="15"/>
  <cols>
    <col min="1" max="1" width="32.140625" customWidth="1"/>
    <col min="2" max="2" width="8.42578125" customWidth="1"/>
    <col min="3" max="3" width="15.28515625" customWidth="1"/>
    <col min="4" max="4" width="15.140625" customWidth="1"/>
    <col min="5" max="5" width="14.28515625" customWidth="1"/>
    <col min="6" max="6" width="15.42578125" customWidth="1"/>
    <col min="7" max="7" width="15.85546875" customWidth="1"/>
    <col min="8" max="8" width="14.28515625" customWidth="1"/>
    <col min="9" max="10" width="15.5703125" bestFit="1" customWidth="1"/>
    <col min="11" max="11" width="14.28515625" bestFit="1" customWidth="1"/>
    <col min="12" max="12" width="9.7109375" bestFit="1" customWidth="1"/>
    <col min="13" max="13" width="13.28515625" bestFit="1" customWidth="1"/>
    <col min="14" max="14" width="14.28515625" bestFit="1" customWidth="1"/>
    <col min="15" max="15" width="15.5703125" bestFit="1" customWidth="1"/>
    <col min="16" max="16" width="2.85546875" customWidth="1"/>
    <col min="17" max="18" width="15.5703125" bestFit="1" customWidth="1"/>
    <col min="19" max="19" width="17.85546875" bestFit="1" customWidth="1"/>
    <col min="20" max="20" width="15.5703125" bestFit="1" customWidth="1"/>
    <col min="21" max="21" width="13.42578125" bestFit="1" customWidth="1"/>
    <col min="22" max="22" width="12.7109375" bestFit="1" customWidth="1"/>
    <col min="23" max="23" width="14.28515625" bestFit="1" customWidth="1"/>
    <col min="24" max="24" width="15.5703125" bestFit="1" customWidth="1"/>
    <col min="25" max="25" width="3" customWidth="1"/>
  </cols>
  <sheetData>
    <row r="1" spans="1:24" ht="15.75" thickBot="1">
      <c r="C1" s="588" t="s">
        <v>810</v>
      </c>
      <c r="D1" s="589"/>
      <c r="E1" s="589"/>
      <c r="F1" s="589"/>
      <c r="G1" s="589"/>
      <c r="H1" s="589"/>
      <c r="I1" s="589"/>
      <c r="J1" s="589"/>
      <c r="K1" s="589"/>
      <c r="L1" s="589"/>
      <c r="M1" s="589"/>
      <c r="N1" s="589"/>
      <c r="O1" s="590"/>
      <c r="Q1" s="588" t="s">
        <v>811</v>
      </c>
      <c r="R1" s="589"/>
      <c r="S1" s="589"/>
      <c r="T1" s="589"/>
      <c r="U1" s="589"/>
      <c r="V1" s="589"/>
      <c r="W1" s="589"/>
      <c r="X1" s="590"/>
    </row>
    <row r="2" spans="1:24" ht="45.75" thickBot="1">
      <c r="A2" s="166" t="s">
        <v>812</v>
      </c>
      <c r="B2" s="167" t="s">
        <v>813</v>
      </c>
      <c r="C2" s="166" t="s">
        <v>814</v>
      </c>
      <c r="D2" s="166" t="s">
        <v>815</v>
      </c>
      <c r="E2" s="166" t="s">
        <v>816</v>
      </c>
      <c r="F2" s="166" t="s">
        <v>817</v>
      </c>
      <c r="G2" s="166" t="s">
        <v>818</v>
      </c>
      <c r="H2" s="166" t="s">
        <v>819</v>
      </c>
      <c r="I2" s="166" t="s">
        <v>820</v>
      </c>
      <c r="J2" s="167" t="s">
        <v>821</v>
      </c>
      <c r="K2" s="167" t="s">
        <v>822</v>
      </c>
      <c r="L2" s="166" t="s">
        <v>823</v>
      </c>
      <c r="M2" s="166" t="s">
        <v>824</v>
      </c>
      <c r="N2" s="166" t="s">
        <v>825</v>
      </c>
      <c r="O2" s="166" t="s">
        <v>826</v>
      </c>
      <c r="P2" s="7"/>
      <c r="Q2" s="167" t="s">
        <v>827</v>
      </c>
      <c r="R2" s="166" t="s">
        <v>828</v>
      </c>
      <c r="S2" s="167" t="s">
        <v>821</v>
      </c>
      <c r="T2" s="167" t="s">
        <v>822</v>
      </c>
      <c r="U2" s="166" t="s">
        <v>823</v>
      </c>
      <c r="V2" s="166" t="s">
        <v>824</v>
      </c>
      <c r="W2" s="166" t="s">
        <v>825</v>
      </c>
      <c r="X2" s="166" t="s">
        <v>826</v>
      </c>
    </row>
    <row r="3" spans="1:24">
      <c r="A3" s="168" t="s">
        <v>829</v>
      </c>
      <c r="B3" s="168"/>
      <c r="C3" s="168"/>
      <c r="D3" s="168"/>
      <c r="E3" s="168"/>
      <c r="F3" s="168"/>
      <c r="G3" s="168"/>
      <c r="H3" s="168"/>
      <c r="I3" s="168"/>
      <c r="J3" s="168"/>
      <c r="K3" s="168"/>
      <c r="L3" s="168"/>
      <c r="M3" s="168"/>
      <c r="N3" s="168"/>
      <c r="O3" s="168"/>
      <c r="P3" s="169"/>
      <c r="Q3" s="168"/>
      <c r="R3" s="168"/>
      <c r="S3" s="168"/>
      <c r="T3" s="168"/>
      <c r="U3" s="168"/>
      <c r="V3" s="168"/>
      <c r="W3" s="168"/>
      <c r="X3" s="168"/>
    </row>
    <row r="4" spans="1:24">
      <c r="A4" s="163">
        <v>201908</v>
      </c>
      <c r="B4" s="163">
        <v>36400</v>
      </c>
      <c r="C4" s="2">
        <v>0</v>
      </c>
      <c r="D4" s="2">
        <v>0</v>
      </c>
      <c r="E4" s="2">
        <v>0</v>
      </c>
      <c r="F4" s="2">
        <v>0</v>
      </c>
      <c r="G4" s="2">
        <v>0</v>
      </c>
      <c r="H4" s="2">
        <v>0</v>
      </c>
      <c r="I4" s="2">
        <v>0</v>
      </c>
      <c r="J4" s="2">
        <f t="shared" ref="J4:J35" si="0">SUM(C4:I4)</f>
        <v>0</v>
      </c>
      <c r="K4" s="2">
        <f>J4</f>
        <v>0</v>
      </c>
      <c r="L4" s="170">
        <f>3.52%</f>
        <v>3.5200000000000002E-2</v>
      </c>
      <c r="M4" s="1">
        <v>0</v>
      </c>
      <c r="N4" s="2">
        <f>M4</f>
        <v>0</v>
      </c>
      <c r="O4" s="2">
        <f t="shared" ref="O4:O10" si="1">K4-N4</f>
        <v>0</v>
      </c>
      <c r="Q4" s="2">
        <v>0</v>
      </c>
      <c r="R4" s="2">
        <v>0</v>
      </c>
      <c r="S4" s="2">
        <f>SUM(Q4:R4)</f>
        <v>0</v>
      </c>
      <c r="T4" s="2">
        <f>S4</f>
        <v>0</v>
      </c>
      <c r="U4" s="170">
        <f>3.52%</f>
        <v>3.5200000000000002E-2</v>
      </c>
      <c r="V4" s="1">
        <v>0</v>
      </c>
      <c r="W4" s="2">
        <f>V4</f>
        <v>0</v>
      </c>
      <c r="X4" s="2">
        <f>T4-W4</f>
        <v>0</v>
      </c>
    </row>
    <row r="5" spans="1:24">
      <c r="A5" s="163">
        <v>201909</v>
      </c>
      <c r="B5" s="163">
        <v>36400</v>
      </c>
      <c r="C5" s="2">
        <v>0</v>
      </c>
      <c r="D5" s="2">
        <v>0</v>
      </c>
      <c r="E5" s="2">
        <v>0</v>
      </c>
      <c r="F5" s="2">
        <v>0</v>
      </c>
      <c r="G5" s="2">
        <v>0</v>
      </c>
      <c r="H5" s="2">
        <v>0</v>
      </c>
      <c r="I5" s="2">
        <v>0</v>
      </c>
      <c r="J5" s="2">
        <f t="shared" si="0"/>
        <v>0</v>
      </c>
      <c r="K5" s="2">
        <f>K4+J5</f>
        <v>0</v>
      </c>
      <c r="L5" s="170">
        <f t="shared" ref="L5:L68" si="2">3.52%</f>
        <v>3.5200000000000002E-2</v>
      </c>
      <c r="M5" s="1">
        <f>ROUND(((L5*K4)/12),2)</f>
        <v>0</v>
      </c>
      <c r="N5" s="2">
        <f>M5+N4</f>
        <v>0</v>
      </c>
      <c r="O5" s="2">
        <f t="shared" si="1"/>
        <v>0</v>
      </c>
      <c r="Q5" s="2">
        <v>0</v>
      </c>
      <c r="R5" s="2">
        <v>0</v>
      </c>
      <c r="S5" s="2">
        <f t="shared" ref="S5:S68" si="3">SUM(Q5:R5)</f>
        <v>0</v>
      </c>
      <c r="T5" s="2">
        <f>T4+S5</f>
        <v>0</v>
      </c>
      <c r="U5" s="170">
        <f t="shared" ref="U5:U68" si="4">3.52%</f>
        <v>3.5200000000000002E-2</v>
      </c>
      <c r="V5" s="1">
        <f>ROUND(((U5*T4)/12),2)</f>
        <v>0</v>
      </c>
      <c r="W5" s="2">
        <f>V5+W4</f>
        <v>0</v>
      </c>
      <c r="X5" s="2">
        <f t="shared" ref="X5:X68" si="5">T5-W5</f>
        <v>0</v>
      </c>
    </row>
    <row r="6" spans="1:24">
      <c r="A6" s="163">
        <v>201910</v>
      </c>
      <c r="B6" s="163">
        <v>36400</v>
      </c>
      <c r="C6" s="2">
        <v>0</v>
      </c>
      <c r="D6" s="2">
        <v>0</v>
      </c>
      <c r="E6" s="2">
        <v>0</v>
      </c>
      <c r="F6" s="2">
        <v>0</v>
      </c>
      <c r="G6" s="2">
        <v>0</v>
      </c>
      <c r="H6" s="2">
        <v>0</v>
      </c>
      <c r="I6" s="2">
        <v>0</v>
      </c>
      <c r="J6" s="2">
        <f t="shared" si="0"/>
        <v>0</v>
      </c>
      <c r="K6" s="2">
        <f t="shared" ref="K6:K69" si="6">K5+J6</f>
        <v>0</v>
      </c>
      <c r="L6" s="170">
        <f t="shared" si="2"/>
        <v>3.5200000000000002E-2</v>
      </c>
      <c r="M6" s="1">
        <f t="shared" ref="M6:M69" si="7">ROUND(((L6*K5)/12),2)</f>
        <v>0</v>
      </c>
      <c r="N6" s="2">
        <f>M6+N5</f>
        <v>0</v>
      </c>
      <c r="O6" s="2">
        <f t="shared" si="1"/>
        <v>0</v>
      </c>
      <c r="Q6" s="2">
        <v>0</v>
      </c>
      <c r="R6" s="2">
        <v>0</v>
      </c>
      <c r="S6" s="2">
        <f t="shared" si="3"/>
        <v>0</v>
      </c>
      <c r="T6" s="2">
        <f t="shared" ref="T6:T69" si="8">T5+S6</f>
        <v>0</v>
      </c>
      <c r="U6" s="170">
        <f t="shared" si="4"/>
        <v>3.5200000000000002E-2</v>
      </c>
      <c r="V6" s="1">
        <f t="shared" ref="V6:V69" si="9">ROUND(((U6*T5)/12),2)</f>
        <v>0</v>
      </c>
      <c r="W6" s="2">
        <f>V6+W5</f>
        <v>0</v>
      </c>
      <c r="X6" s="2">
        <f t="shared" si="5"/>
        <v>0</v>
      </c>
    </row>
    <row r="7" spans="1:24">
      <c r="A7" s="163">
        <v>201911</v>
      </c>
      <c r="B7" s="163">
        <v>36400</v>
      </c>
      <c r="C7" s="2">
        <v>0</v>
      </c>
      <c r="D7" s="2">
        <v>0</v>
      </c>
      <c r="E7" s="2">
        <v>0</v>
      </c>
      <c r="F7" s="2">
        <v>0</v>
      </c>
      <c r="G7" s="2">
        <v>0</v>
      </c>
      <c r="H7" s="2">
        <v>0</v>
      </c>
      <c r="I7" s="2">
        <v>0</v>
      </c>
      <c r="J7" s="2">
        <f t="shared" si="0"/>
        <v>0</v>
      </c>
      <c r="K7" s="2">
        <f t="shared" si="6"/>
        <v>0</v>
      </c>
      <c r="L7" s="170">
        <f t="shared" si="2"/>
        <v>3.5200000000000002E-2</v>
      </c>
      <c r="M7" s="1">
        <f t="shared" si="7"/>
        <v>0</v>
      </c>
      <c r="N7" s="2">
        <f t="shared" ref="N7:N10" si="10">M7+N6</f>
        <v>0</v>
      </c>
      <c r="O7" s="2">
        <f t="shared" si="1"/>
        <v>0</v>
      </c>
      <c r="Q7" s="2">
        <v>0</v>
      </c>
      <c r="R7" s="2">
        <v>0</v>
      </c>
      <c r="S7" s="2">
        <f t="shared" si="3"/>
        <v>0</v>
      </c>
      <c r="T7" s="2">
        <f t="shared" si="8"/>
        <v>0</v>
      </c>
      <c r="U7" s="170">
        <f t="shared" si="4"/>
        <v>3.5200000000000002E-2</v>
      </c>
      <c r="V7" s="1">
        <f t="shared" si="9"/>
        <v>0</v>
      </c>
      <c r="W7" s="2">
        <f t="shared" ref="W7:W10" si="11">V7+W6</f>
        <v>0</v>
      </c>
      <c r="X7" s="2">
        <f t="shared" si="5"/>
        <v>0</v>
      </c>
    </row>
    <row r="8" spans="1:24">
      <c r="A8" s="163">
        <v>201912</v>
      </c>
      <c r="B8" s="163">
        <v>36400</v>
      </c>
      <c r="C8" s="2">
        <v>0</v>
      </c>
      <c r="D8" s="2">
        <v>0</v>
      </c>
      <c r="E8" s="2">
        <v>0</v>
      </c>
      <c r="F8" s="2">
        <v>0</v>
      </c>
      <c r="G8" s="2">
        <v>0</v>
      </c>
      <c r="H8" s="2">
        <v>0</v>
      </c>
      <c r="I8" s="2">
        <v>0</v>
      </c>
      <c r="J8" s="2">
        <f t="shared" si="0"/>
        <v>0</v>
      </c>
      <c r="K8" s="2">
        <f t="shared" si="6"/>
        <v>0</v>
      </c>
      <c r="L8" s="170">
        <f t="shared" si="2"/>
        <v>3.5200000000000002E-2</v>
      </c>
      <c r="M8" s="1">
        <f t="shared" si="7"/>
        <v>0</v>
      </c>
      <c r="N8" s="2">
        <f t="shared" si="10"/>
        <v>0</v>
      </c>
      <c r="O8" s="2">
        <f t="shared" si="1"/>
        <v>0</v>
      </c>
      <c r="Q8" s="2">
        <v>0</v>
      </c>
      <c r="R8" s="2">
        <v>0</v>
      </c>
      <c r="S8" s="2">
        <f t="shared" si="3"/>
        <v>0</v>
      </c>
      <c r="T8" s="2">
        <f t="shared" si="8"/>
        <v>0</v>
      </c>
      <c r="U8" s="170">
        <f t="shared" si="4"/>
        <v>3.5200000000000002E-2</v>
      </c>
      <c r="V8" s="1">
        <f t="shared" si="9"/>
        <v>0</v>
      </c>
      <c r="W8" s="2">
        <f t="shared" si="11"/>
        <v>0</v>
      </c>
      <c r="X8" s="2">
        <f t="shared" si="5"/>
        <v>0</v>
      </c>
    </row>
    <row r="9" spans="1:24">
      <c r="A9" s="163">
        <v>202001</v>
      </c>
      <c r="B9" s="163">
        <v>36400</v>
      </c>
      <c r="C9" s="2">
        <v>0</v>
      </c>
      <c r="D9" s="2">
        <v>0</v>
      </c>
      <c r="E9" s="2">
        <v>0</v>
      </c>
      <c r="F9" s="2">
        <v>0</v>
      </c>
      <c r="G9" s="2">
        <v>0</v>
      </c>
      <c r="H9" s="2">
        <v>0</v>
      </c>
      <c r="I9" s="2">
        <v>0</v>
      </c>
      <c r="J9" s="2">
        <f t="shared" si="0"/>
        <v>0</v>
      </c>
      <c r="K9" s="2">
        <f t="shared" si="6"/>
        <v>0</v>
      </c>
      <c r="L9" s="170">
        <f t="shared" si="2"/>
        <v>3.5200000000000002E-2</v>
      </c>
      <c r="M9" s="1">
        <f t="shared" si="7"/>
        <v>0</v>
      </c>
      <c r="N9" s="2">
        <f t="shared" si="10"/>
        <v>0</v>
      </c>
      <c r="O9" s="2">
        <f t="shared" si="1"/>
        <v>0</v>
      </c>
      <c r="Q9" s="2">
        <v>0</v>
      </c>
      <c r="R9" s="2">
        <v>0</v>
      </c>
      <c r="S9" s="2">
        <f t="shared" si="3"/>
        <v>0</v>
      </c>
      <c r="T9" s="2">
        <f t="shared" si="8"/>
        <v>0</v>
      </c>
      <c r="U9" s="170">
        <f t="shared" si="4"/>
        <v>3.5200000000000002E-2</v>
      </c>
      <c r="V9" s="1">
        <f t="shared" si="9"/>
        <v>0</v>
      </c>
      <c r="W9" s="2">
        <f t="shared" si="11"/>
        <v>0</v>
      </c>
      <c r="X9" s="2">
        <f t="shared" si="5"/>
        <v>0</v>
      </c>
    </row>
    <row r="10" spans="1:24">
      <c r="A10" s="163">
        <v>202002</v>
      </c>
      <c r="B10" s="163">
        <v>36400</v>
      </c>
      <c r="C10" s="2">
        <v>4341.1499999999996</v>
      </c>
      <c r="D10" s="2">
        <v>12113028.140000001</v>
      </c>
      <c r="E10" s="2">
        <v>0</v>
      </c>
      <c r="F10" s="2">
        <v>0</v>
      </c>
      <c r="G10" s="2">
        <v>0</v>
      </c>
      <c r="H10" s="2">
        <v>0</v>
      </c>
      <c r="I10" s="2">
        <v>0</v>
      </c>
      <c r="J10" s="2">
        <f t="shared" si="0"/>
        <v>12117369.290000001</v>
      </c>
      <c r="K10" s="2">
        <f t="shared" si="6"/>
        <v>12117369.290000001</v>
      </c>
      <c r="L10" s="170">
        <f t="shared" si="2"/>
        <v>3.5200000000000002E-2</v>
      </c>
      <c r="M10" s="1">
        <f t="shared" si="7"/>
        <v>0</v>
      </c>
      <c r="N10" s="2">
        <f t="shared" si="10"/>
        <v>0</v>
      </c>
      <c r="O10" s="2">
        <f t="shared" si="1"/>
        <v>12117369.290000001</v>
      </c>
      <c r="Q10" s="2">
        <v>0</v>
      </c>
      <c r="R10" s="2">
        <v>0</v>
      </c>
      <c r="S10" s="2">
        <f t="shared" si="3"/>
        <v>0</v>
      </c>
      <c r="T10" s="2">
        <f t="shared" si="8"/>
        <v>0</v>
      </c>
      <c r="U10" s="170">
        <f t="shared" si="4"/>
        <v>3.5200000000000002E-2</v>
      </c>
      <c r="V10" s="1">
        <f t="shared" si="9"/>
        <v>0</v>
      </c>
      <c r="W10" s="2">
        <f t="shared" si="11"/>
        <v>0</v>
      </c>
      <c r="X10" s="2">
        <f t="shared" si="5"/>
        <v>0</v>
      </c>
    </row>
    <row r="11" spans="1:24">
      <c r="A11" s="163">
        <v>202003</v>
      </c>
      <c r="B11" s="163">
        <v>36400</v>
      </c>
      <c r="C11" s="2">
        <v>0</v>
      </c>
      <c r="D11" s="2">
        <v>6822.86</v>
      </c>
      <c r="E11" s="2">
        <v>0</v>
      </c>
      <c r="F11" s="2">
        <v>0</v>
      </c>
      <c r="G11" s="2">
        <v>0</v>
      </c>
      <c r="H11" s="2">
        <v>0</v>
      </c>
      <c r="I11" s="2">
        <v>0</v>
      </c>
      <c r="J11" s="2">
        <f t="shared" si="0"/>
        <v>6822.86</v>
      </c>
      <c r="K11" s="2">
        <f t="shared" si="6"/>
        <v>12124192.15</v>
      </c>
      <c r="L11" s="170">
        <f t="shared" si="2"/>
        <v>3.5200000000000002E-2</v>
      </c>
      <c r="M11" s="1">
        <f t="shared" si="7"/>
        <v>35544.28</v>
      </c>
      <c r="N11" s="2">
        <f>M11+N10</f>
        <v>35544.28</v>
      </c>
      <c r="O11" s="2">
        <f>K11-N11</f>
        <v>12088647.870000001</v>
      </c>
      <c r="Q11" s="2">
        <v>0</v>
      </c>
      <c r="R11" s="2">
        <v>0</v>
      </c>
      <c r="S11" s="2">
        <f t="shared" si="3"/>
        <v>0</v>
      </c>
      <c r="T11" s="2">
        <f t="shared" si="8"/>
        <v>0</v>
      </c>
      <c r="U11" s="170">
        <f t="shared" si="4"/>
        <v>3.5200000000000002E-2</v>
      </c>
      <c r="V11" s="1">
        <f t="shared" si="9"/>
        <v>0</v>
      </c>
      <c r="W11" s="2">
        <f>V11+W10</f>
        <v>0</v>
      </c>
      <c r="X11" s="2">
        <f t="shared" si="5"/>
        <v>0</v>
      </c>
    </row>
    <row r="12" spans="1:24">
      <c r="A12" s="163">
        <v>202004</v>
      </c>
      <c r="B12" s="163">
        <v>36400</v>
      </c>
      <c r="C12" s="2">
        <v>0</v>
      </c>
      <c r="D12" s="2">
        <v>-33688.76</v>
      </c>
      <c r="E12" s="2">
        <v>0</v>
      </c>
      <c r="F12" s="2">
        <v>0</v>
      </c>
      <c r="G12" s="2">
        <v>0</v>
      </c>
      <c r="H12" s="2">
        <v>0</v>
      </c>
      <c r="I12" s="2">
        <v>0</v>
      </c>
      <c r="J12" s="2">
        <f t="shared" si="0"/>
        <v>-33688.76</v>
      </c>
      <c r="K12" s="2">
        <f t="shared" si="6"/>
        <v>12090503.390000001</v>
      </c>
      <c r="L12" s="170">
        <f t="shared" si="2"/>
        <v>3.5200000000000002E-2</v>
      </c>
      <c r="M12" s="1">
        <f t="shared" si="7"/>
        <v>35564.300000000003</v>
      </c>
      <c r="N12" s="2">
        <f>M12+N11</f>
        <v>71108.58</v>
      </c>
      <c r="O12" s="2">
        <f t="shared" ref="O12:O75" si="12">K12-N12</f>
        <v>12019394.810000001</v>
      </c>
      <c r="Q12" s="2">
        <v>0</v>
      </c>
      <c r="R12" s="2">
        <v>0</v>
      </c>
      <c r="S12" s="2">
        <f t="shared" si="3"/>
        <v>0</v>
      </c>
      <c r="T12" s="2">
        <f t="shared" si="8"/>
        <v>0</v>
      </c>
      <c r="U12" s="170">
        <f t="shared" si="4"/>
        <v>3.5200000000000002E-2</v>
      </c>
      <c r="V12" s="1">
        <f t="shared" si="9"/>
        <v>0</v>
      </c>
      <c r="W12" s="2">
        <f>V12+W11</f>
        <v>0</v>
      </c>
      <c r="X12" s="2">
        <f t="shared" si="5"/>
        <v>0</v>
      </c>
    </row>
    <row r="13" spans="1:24">
      <c r="A13" s="163">
        <v>202005</v>
      </c>
      <c r="B13" s="163">
        <v>36400</v>
      </c>
      <c r="C13" s="2">
        <v>0</v>
      </c>
      <c r="D13" s="2">
        <v>10461.24</v>
      </c>
      <c r="E13" s="2">
        <v>0</v>
      </c>
      <c r="F13" s="2">
        <v>0</v>
      </c>
      <c r="G13" s="2">
        <v>0</v>
      </c>
      <c r="H13" s="2">
        <v>0</v>
      </c>
      <c r="I13" s="2">
        <v>0</v>
      </c>
      <c r="J13" s="2">
        <f t="shared" si="0"/>
        <v>10461.24</v>
      </c>
      <c r="K13" s="2">
        <f t="shared" si="6"/>
        <v>12100964.630000001</v>
      </c>
      <c r="L13" s="170">
        <f t="shared" si="2"/>
        <v>3.5200000000000002E-2</v>
      </c>
      <c r="M13" s="1">
        <f t="shared" si="7"/>
        <v>35465.480000000003</v>
      </c>
      <c r="N13" s="2">
        <f t="shared" ref="N13:N76" si="13">M13+N12</f>
        <v>106574.06</v>
      </c>
      <c r="O13" s="2">
        <f t="shared" si="12"/>
        <v>11994390.57</v>
      </c>
      <c r="Q13" s="2">
        <v>0</v>
      </c>
      <c r="R13" s="2">
        <v>2923572.47</v>
      </c>
      <c r="S13" s="2">
        <f t="shared" si="3"/>
        <v>2923572.47</v>
      </c>
      <c r="T13" s="2">
        <f>T12+S13</f>
        <v>2923572.47</v>
      </c>
      <c r="U13" s="170">
        <f t="shared" si="4"/>
        <v>3.5200000000000002E-2</v>
      </c>
      <c r="V13" s="1">
        <f t="shared" si="9"/>
        <v>0</v>
      </c>
      <c r="W13" s="2">
        <f t="shared" ref="W13:W76" si="14">V13+W12</f>
        <v>0</v>
      </c>
      <c r="X13" s="2">
        <f t="shared" si="5"/>
        <v>2923572.47</v>
      </c>
    </row>
    <row r="14" spans="1:24">
      <c r="A14" s="163">
        <v>202006</v>
      </c>
      <c r="B14" s="163">
        <v>36400</v>
      </c>
      <c r="C14" s="2">
        <v>0</v>
      </c>
      <c r="D14" s="2">
        <v>15542.7</v>
      </c>
      <c r="E14" s="2">
        <v>0</v>
      </c>
      <c r="F14" s="2">
        <v>0</v>
      </c>
      <c r="G14" s="2">
        <v>0</v>
      </c>
      <c r="H14" s="2">
        <v>0</v>
      </c>
      <c r="I14" s="2">
        <v>0</v>
      </c>
      <c r="J14" s="2">
        <f t="shared" si="0"/>
        <v>15542.7</v>
      </c>
      <c r="K14" s="2">
        <f t="shared" si="6"/>
        <v>12116507.33</v>
      </c>
      <c r="L14" s="170">
        <f t="shared" si="2"/>
        <v>3.5200000000000002E-2</v>
      </c>
      <c r="M14" s="1">
        <f t="shared" si="7"/>
        <v>35496.160000000003</v>
      </c>
      <c r="N14" s="2">
        <f t="shared" si="13"/>
        <v>142070.22</v>
      </c>
      <c r="O14" s="2">
        <f t="shared" si="12"/>
        <v>11974437.109999999</v>
      </c>
      <c r="Q14" s="2">
        <v>0</v>
      </c>
      <c r="R14" s="2">
        <v>0</v>
      </c>
      <c r="S14" s="2">
        <f t="shared" si="3"/>
        <v>0</v>
      </c>
      <c r="T14" s="2">
        <f t="shared" si="8"/>
        <v>2923572.47</v>
      </c>
      <c r="U14" s="170">
        <f t="shared" si="4"/>
        <v>3.5200000000000002E-2</v>
      </c>
      <c r="V14" s="1">
        <f t="shared" si="9"/>
        <v>8575.81</v>
      </c>
      <c r="W14" s="2">
        <f t="shared" si="14"/>
        <v>8575.81</v>
      </c>
      <c r="X14" s="2">
        <f t="shared" si="5"/>
        <v>2914996.66</v>
      </c>
    </row>
    <row r="15" spans="1:24">
      <c r="A15" s="163">
        <v>202007</v>
      </c>
      <c r="B15" s="163">
        <v>36400</v>
      </c>
      <c r="C15" s="2">
        <v>0</v>
      </c>
      <c r="D15" s="2">
        <v>13714.82</v>
      </c>
      <c r="E15" s="2">
        <v>0</v>
      </c>
      <c r="F15" s="2">
        <v>0</v>
      </c>
      <c r="G15" s="2">
        <v>0</v>
      </c>
      <c r="H15" s="2">
        <v>0</v>
      </c>
      <c r="I15" s="2">
        <v>0</v>
      </c>
      <c r="J15" s="2">
        <f t="shared" si="0"/>
        <v>13714.82</v>
      </c>
      <c r="K15" s="2">
        <f t="shared" si="6"/>
        <v>12130222.15</v>
      </c>
      <c r="L15" s="170">
        <f t="shared" si="2"/>
        <v>3.5200000000000002E-2</v>
      </c>
      <c r="M15" s="1">
        <f t="shared" si="7"/>
        <v>35541.75</v>
      </c>
      <c r="N15" s="2">
        <f t="shared" si="13"/>
        <v>177611.97</v>
      </c>
      <c r="O15" s="2">
        <f t="shared" si="12"/>
        <v>11952610.18</v>
      </c>
      <c r="Q15" s="2">
        <v>0</v>
      </c>
      <c r="R15" s="2">
        <v>0</v>
      </c>
      <c r="S15" s="2">
        <f t="shared" si="3"/>
        <v>0</v>
      </c>
      <c r="T15" s="2">
        <f t="shared" si="8"/>
        <v>2923572.47</v>
      </c>
      <c r="U15" s="170">
        <f t="shared" si="4"/>
        <v>3.5200000000000002E-2</v>
      </c>
      <c r="V15" s="1">
        <f t="shared" si="9"/>
        <v>8575.81</v>
      </c>
      <c r="W15" s="2">
        <f t="shared" si="14"/>
        <v>17151.62</v>
      </c>
      <c r="X15" s="2">
        <f t="shared" si="5"/>
        <v>2906420.85</v>
      </c>
    </row>
    <row r="16" spans="1:24">
      <c r="A16" s="163">
        <v>202008</v>
      </c>
      <c r="B16" s="163">
        <v>36400</v>
      </c>
      <c r="C16" s="2">
        <v>0</v>
      </c>
      <c r="D16" s="2">
        <v>11791.51</v>
      </c>
      <c r="E16" s="2">
        <v>0</v>
      </c>
      <c r="F16" s="2">
        <v>0</v>
      </c>
      <c r="G16" s="2">
        <v>0</v>
      </c>
      <c r="H16" s="2">
        <v>0</v>
      </c>
      <c r="I16" s="2">
        <v>0</v>
      </c>
      <c r="J16" s="2">
        <f t="shared" si="0"/>
        <v>11791.51</v>
      </c>
      <c r="K16" s="2">
        <f t="shared" si="6"/>
        <v>12142013.66</v>
      </c>
      <c r="L16" s="170">
        <f t="shared" si="2"/>
        <v>3.5200000000000002E-2</v>
      </c>
      <c r="M16" s="1">
        <f t="shared" si="7"/>
        <v>35581.980000000003</v>
      </c>
      <c r="N16" s="2">
        <f t="shared" si="13"/>
        <v>213193.95</v>
      </c>
      <c r="O16" s="2">
        <f t="shared" si="12"/>
        <v>11928819.710000001</v>
      </c>
      <c r="Q16" s="2">
        <v>0</v>
      </c>
      <c r="R16" s="2">
        <v>2411.7600000000002</v>
      </c>
      <c r="S16" s="2">
        <f t="shared" si="3"/>
        <v>2411.7600000000002</v>
      </c>
      <c r="T16" s="2">
        <f t="shared" si="8"/>
        <v>2925984.23</v>
      </c>
      <c r="U16" s="170">
        <f t="shared" si="4"/>
        <v>3.5200000000000002E-2</v>
      </c>
      <c r="V16" s="1">
        <f t="shared" si="9"/>
        <v>8575.81</v>
      </c>
      <c r="W16" s="2">
        <f t="shared" si="14"/>
        <v>25727.43</v>
      </c>
      <c r="X16" s="2">
        <f t="shared" si="5"/>
        <v>2900256.8</v>
      </c>
    </row>
    <row r="17" spans="1:24">
      <c r="A17" s="163">
        <v>202009</v>
      </c>
      <c r="B17" s="163">
        <v>36400</v>
      </c>
      <c r="C17" s="2">
        <v>0</v>
      </c>
      <c r="D17" s="2">
        <v>1008.6</v>
      </c>
      <c r="E17" s="2">
        <v>0</v>
      </c>
      <c r="F17" s="2">
        <v>0</v>
      </c>
      <c r="G17" s="2">
        <v>0</v>
      </c>
      <c r="H17" s="2">
        <v>0</v>
      </c>
      <c r="I17" s="2">
        <v>0</v>
      </c>
      <c r="J17" s="2">
        <f t="shared" si="0"/>
        <v>1008.6</v>
      </c>
      <c r="K17" s="2">
        <f t="shared" si="6"/>
        <v>12143022.26</v>
      </c>
      <c r="L17" s="170">
        <f t="shared" si="2"/>
        <v>3.5200000000000002E-2</v>
      </c>
      <c r="M17" s="1">
        <f t="shared" si="7"/>
        <v>35616.57</v>
      </c>
      <c r="N17" s="2">
        <f t="shared" si="13"/>
        <v>248810.52000000002</v>
      </c>
      <c r="O17" s="2">
        <f t="shared" si="12"/>
        <v>11894211.74</v>
      </c>
      <c r="Q17" s="2">
        <v>0</v>
      </c>
      <c r="R17" s="2">
        <v>-2411.7600000000002</v>
      </c>
      <c r="S17" s="2">
        <f t="shared" si="3"/>
        <v>-2411.7600000000002</v>
      </c>
      <c r="T17" s="2">
        <f t="shared" si="8"/>
        <v>2923572.47</v>
      </c>
      <c r="U17" s="170">
        <f t="shared" si="4"/>
        <v>3.5200000000000002E-2</v>
      </c>
      <c r="V17" s="1">
        <f t="shared" si="9"/>
        <v>8582.89</v>
      </c>
      <c r="W17" s="2">
        <f t="shared" si="14"/>
        <v>34310.32</v>
      </c>
      <c r="X17" s="2">
        <f t="shared" si="5"/>
        <v>2889262.1500000004</v>
      </c>
    </row>
    <row r="18" spans="1:24">
      <c r="A18" s="163">
        <v>202010</v>
      </c>
      <c r="B18" s="163">
        <v>36400</v>
      </c>
      <c r="C18" s="2">
        <v>0</v>
      </c>
      <c r="D18" s="2">
        <v>-2017.2</v>
      </c>
      <c r="E18" s="2">
        <v>0</v>
      </c>
      <c r="F18" s="2">
        <v>0</v>
      </c>
      <c r="G18" s="2">
        <v>0</v>
      </c>
      <c r="H18" s="2">
        <v>0</v>
      </c>
      <c r="I18" s="2">
        <v>0</v>
      </c>
      <c r="J18" s="2">
        <f t="shared" si="0"/>
        <v>-2017.2</v>
      </c>
      <c r="K18" s="2">
        <f t="shared" si="6"/>
        <v>12141005.060000001</v>
      </c>
      <c r="L18" s="170">
        <f t="shared" si="2"/>
        <v>3.5200000000000002E-2</v>
      </c>
      <c r="M18" s="1">
        <f t="shared" si="7"/>
        <v>35619.53</v>
      </c>
      <c r="N18" s="2">
        <f t="shared" si="13"/>
        <v>284430.05000000005</v>
      </c>
      <c r="O18" s="2">
        <f t="shared" si="12"/>
        <v>11856575.01</v>
      </c>
      <c r="Q18" s="2">
        <v>0</v>
      </c>
      <c r="R18" s="2">
        <v>0</v>
      </c>
      <c r="S18" s="2">
        <f t="shared" si="3"/>
        <v>0</v>
      </c>
      <c r="T18" s="2">
        <f t="shared" si="8"/>
        <v>2923572.47</v>
      </c>
      <c r="U18" s="170">
        <f t="shared" si="4"/>
        <v>3.5200000000000002E-2</v>
      </c>
      <c r="V18" s="1">
        <f t="shared" si="9"/>
        <v>8575.81</v>
      </c>
      <c r="W18" s="2">
        <f t="shared" si="14"/>
        <v>42886.13</v>
      </c>
      <c r="X18" s="2">
        <f t="shared" si="5"/>
        <v>2880686.3400000003</v>
      </c>
    </row>
    <row r="19" spans="1:24">
      <c r="A19" s="163">
        <v>202011</v>
      </c>
      <c r="B19" s="163">
        <v>36400</v>
      </c>
      <c r="C19" s="2">
        <v>0</v>
      </c>
      <c r="D19" s="2">
        <v>0</v>
      </c>
      <c r="E19" s="2">
        <v>0</v>
      </c>
      <c r="F19" s="2">
        <v>0</v>
      </c>
      <c r="G19" s="2">
        <v>0</v>
      </c>
      <c r="H19" s="2">
        <v>0</v>
      </c>
      <c r="I19" s="2">
        <v>0</v>
      </c>
      <c r="J19" s="2">
        <f t="shared" si="0"/>
        <v>0</v>
      </c>
      <c r="K19" s="2">
        <f t="shared" si="6"/>
        <v>12141005.060000001</v>
      </c>
      <c r="L19" s="170">
        <f t="shared" si="2"/>
        <v>3.5200000000000002E-2</v>
      </c>
      <c r="M19" s="1">
        <f t="shared" si="7"/>
        <v>35613.61</v>
      </c>
      <c r="N19" s="2">
        <f t="shared" si="13"/>
        <v>320043.66000000003</v>
      </c>
      <c r="O19" s="2">
        <f t="shared" si="12"/>
        <v>11820961.4</v>
      </c>
      <c r="Q19" s="2">
        <v>0</v>
      </c>
      <c r="R19" s="2">
        <v>0</v>
      </c>
      <c r="S19" s="2">
        <f t="shared" si="3"/>
        <v>0</v>
      </c>
      <c r="T19" s="2">
        <f t="shared" si="8"/>
        <v>2923572.47</v>
      </c>
      <c r="U19" s="170">
        <f t="shared" si="4"/>
        <v>3.5200000000000002E-2</v>
      </c>
      <c r="V19" s="1">
        <f t="shared" si="9"/>
        <v>8575.81</v>
      </c>
      <c r="W19" s="2">
        <f t="shared" si="14"/>
        <v>51461.939999999995</v>
      </c>
      <c r="X19" s="2">
        <f t="shared" si="5"/>
        <v>2872110.5300000003</v>
      </c>
    </row>
    <row r="20" spans="1:24">
      <c r="A20" s="163">
        <v>202012</v>
      </c>
      <c r="B20" s="163">
        <v>36400</v>
      </c>
      <c r="C20" s="2">
        <v>0</v>
      </c>
      <c r="D20" s="2">
        <v>0</v>
      </c>
      <c r="E20" s="2">
        <v>0</v>
      </c>
      <c r="F20" s="2">
        <v>0</v>
      </c>
      <c r="G20" s="2">
        <v>0</v>
      </c>
      <c r="H20" s="2">
        <v>0</v>
      </c>
      <c r="I20" s="2">
        <v>0</v>
      </c>
      <c r="J20" s="2">
        <f t="shared" si="0"/>
        <v>0</v>
      </c>
      <c r="K20" s="2">
        <f t="shared" si="6"/>
        <v>12141005.060000001</v>
      </c>
      <c r="L20" s="170">
        <f t="shared" si="2"/>
        <v>3.5200000000000002E-2</v>
      </c>
      <c r="M20" s="1">
        <f t="shared" si="7"/>
        <v>35613.61</v>
      </c>
      <c r="N20" s="2">
        <f t="shared" si="13"/>
        <v>355657.27</v>
      </c>
      <c r="O20" s="2">
        <f t="shared" si="12"/>
        <v>11785347.790000001</v>
      </c>
      <c r="Q20" s="2">
        <v>0</v>
      </c>
      <c r="R20" s="2">
        <v>0</v>
      </c>
      <c r="S20" s="2">
        <f t="shared" si="3"/>
        <v>0</v>
      </c>
      <c r="T20" s="2">
        <f t="shared" si="8"/>
        <v>2923572.47</v>
      </c>
      <c r="U20" s="170">
        <f t="shared" si="4"/>
        <v>3.5200000000000002E-2</v>
      </c>
      <c r="V20" s="1">
        <f t="shared" si="9"/>
        <v>8575.81</v>
      </c>
      <c r="W20" s="2">
        <f t="shared" si="14"/>
        <v>60037.749999999993</v>
      </c>
      <c r="X20" s="2">
        <f t="shared" si="5"/>
        <v>2863534.72</v>
      </c>
    </row>
    <row r="21" spans="1:24">
      <c r="A21" s="163">
        <v>202101</v>
      </c>
      <c r="B21" s="163">
        <v>36400</v>
      </c>
      <c r="C21" s="2">
        <v>0</v>
      </c>
      <c r="D21" s="2">
        <v>0</v>
      </c>
      <c r="E21" s="2">
        <v>0</v>
      </c>
      <c r="F21" s="2">
        <v>0</v>
      </c>
      <c r="G21" s="2">
        <v>0</v>
      </c>
      <c r="H21" s="2">
        <v>0</v>
      </c>
      <c r="I21" s="2">
        <v>0</v>
      </c>
      <c r="J21" s="2">
        <f t="shared" si="0"/>
        <v>0</v>
      </c>
      <c r="K21" s="2">
        <f t="shared" si="6"/>
        <v>12141005.060000001</v>
      </c>
      <c r="L21" s="170">
        <f t="shared" si="2"/>
        <v>3.5200000000000002E-2</v>
      </c>
      <c r="M21" s="1">
        <f t="shared" si="7"/>
        <v>35613.61</v>
      </c>
      <c r="N21" s="2">
        <f t="shared" si="13"/>
        <v>391270.88</v>
      </c>
      <c r="O21" s="2">
        <f t="shared" si="12"/>
        <v>11749734.18</v>
      </c>
      <c r="Q21" s="2">
        <v>0</v>
      </c>
      <c r="R21" s="2">
        <v>0</v>
      </c>
      <c r="S21" s="2">
        <f t="shared" si="3"/>
        <v>0</v>
      </c>
      <c r="T21" s="2">
        <f t="shared" si="8"/>
        <v>2923572.47</v>
      </c>
      <c r="U21" s="170">
        <f t="shared" si="4"/>
        <v>3.5200000000000002E-2</v>
      </c>
      <c r="V21" s="1">
        <f t="shared" si="9"/>
        <v>8575.81</v>
      </c>
      <c r="W21" s="2">
        <f t="shared" si="14"/>
        <v>68613.56</v>
      </c>
      <c r="X21" s="2">
        <f t="shared" si="5"/>
        <v>2854958.91</v>
      </c>
    </row>
    <row r="22" spans="1:24">
      <c r="A22" s="163">
        <v>202102</v>
      </c>
      <c r="B22" s="163">
        <v>36400</v>
      </c>
      <c r="C22" s="2">
        <v>0</v>
      </c>
      <c r="D22" s="2">
        <v>0</v>
      </c>
      <c r="E22" s="2">
        <v>7554373.8700000001</v>
      </c>
      <c r="F22" s="2">
        <v>0</v>
      </c>
      <c r="G22" s="2">
        <v>0</v>
      </c>
      <c r="H22" s="2">
        <v>0</v>
      </c>
      <c r="I22" s="2">
        <v>0</v>
      </c>
      <c r="J22" s="2">
        <f t="shared" si="0"/>
        <v>7554373.8700000001</v>
      </c>
      <c r="K22" s="2">
        <f t="shared" si="6"/>
        <v>19695378.93</v>
      </c>
      <c r="L22" s="170">
        <f t="shared" si="2"/>
        <v>3.5200000000000002E-2</v>
      </c>
      <c r="M22" s="1">
        <f t="shared" si="7"/>
        <v>35613.61</v>
      </c>
      <c r="N22" s="2">
        <f t="shared" si="13"/>
        <v>426884.49</v>
      </c>
      <c r="O22" s="2">
        <f t="shared" si="12"/>
        <v>19268494.440000001</v>
      </c>
      <c r="Q22" s="2">
        <v>0</v>
      </c>
      <c r="R22" s="2">
        <v>0</v>
      </c>
      <c r="S22" s="2">
        <f t="shared" si="3"/>
        <v>0</v>
      </c>
      <c r="T22" s="2">
        <f t="shared" si="8"/>
        <v>2923572.47</v>
      </c>
      <c r="U22" s="170">
        <f t="shared" si="4"/>
        <v>3.5200000000000002E-2</v>
      </c>
      <c r="V22" s="1">
        <f t="shared" si="9"/>
        <v>8575.81</v>
      </c>
      <c r="W22" s="2">
        <f t="shared" si="14"/>
        <v>77189.37</v>
      </c>
      <c r="X22" s="2">
        <f t="shared" si="5"/>
        <v>2846383.1</v>
      </c>
    </row>
    <row r="23" spans="1:24">
      <c r="A23" s="163">
        <v>202103</v>
      </c>
      <c r="B23" s="163">
        <v>36400</v>
      </c>
      <c r="C23" s="2">
        <v>0</v>
      </c>
      <c r="D23" s="2">
        <v>0</v>
      </c>
      <c r="E23" s="2">
        <v>72668.34</v>
      </c>
      <c r="F23" s="2">
        <v>0</v>
      </c>
      <c r="G23" s="2">
        <v>0</v>
      </c>
      <c r="H23" s="2">
        <v>0</v>
      </c>
      <c r="I23" s="2">
        <v>0</v>
      </c>
      <c r="J23" s="2">
        <f t="shared" si="0"/>
        <v>72668.34</v>
      </c>
      <c r="K23" s="2">
        <f t="shared" si="6"/>
        <v>19768047.27</v>
      </c>
      <c r="L23" s="170">
        <f t="shared" si="2"/>
        <v>3.5200000000000002E-2</v>
      </c>
      <c r="M23" s="1">
        <f t="shared" si="7"/>
        <v>57773.11</v>
      </c>
      <c r="N23" s="2">
        <f t="shared" si="13"/>
        <v>484657.6</v>
      </c>
      <c r="O23" s="2">
        <f t="shared" si="12"/>
        <v>19283389.669999998</v>
      </c>
      <c r="Q23" s="2">
        <v>0</v>
      </c>
      <c r="R23" s="2">
        <v>0</v>
      </c>
      <c r="S23" s="2">
        <f t="shared" si="3"/>
        <v>0</v>
      </c>
      <c r="T23" s="2">
        <f t="shared" si="8"/>
        <v>2923572.47</v>
      </c>
      <c r="U23" s="170">
        <f t="shared" si="4"/>
        <v>3.5200000000000002E-2</v>
      </c>
      <c r="V23" s="1">
        <f t="shared" si="9"/>
        <v>8575.81</v>
      </c>
      <c r="W23" s="2">
        <f t="shared" si="14"/>
        <v>85765.18</v>
      </c>
      <c r="X23" s="2">
        <f t="shared" si="5"/>
        <v>2837807.29</v>
      </c>
    </row>
    <row r="24" spans="1:24">
      <c r="A24" s="163">
        <v>202104</v>
      </c>
      <c r="B24" s="163">
        <v>36400</v>
      </c>
      <c r="C24" s="2">
        <v>0</v>
      </c>
      <c r="D24" s="2">
        <v>0</v>
      </c>
      <c r="E24" s="2">
        <v>18919.54</v>
      </c>
      <c r="F24" s="2">
        <v>0</v>
      </c>
      <c r="G24" s="2">
        <v>0</v>
      </c>
      <c r="H24" s="2">
        <v>0</v>
      </c>
      <c r="I24" s="2">
        <v>0</v>
      </c>
      <c r="J24" s="2">
        <f t="shared" si="0"/>
        <v>18919.54</v>
      </c>
      <c r="K24" s="2">
        <f t="shared" si="6"/>
        <v>19786966.809999999</v>
      </c>
      <c r="L24" s="170">
        <f t="shared" si="2"/>
        <v>3.5200000000000002E-2</v>
      </c>
      <c r="M24" s="1">
        <f t="shared" si="7"/>
        <v>57986.27</v>
      </c>
      <c r="N24" s="2">
        <f t="shared" si="13"/>
        <v>542643.87</v>
      </c>
      <c r="O24" s="2">
        <f t="shared" si="12"/>
        <v>19244322.939999998</v>
      </c>
      <c r="Q24" s="2">
        <v>0</v>
      </c>
      <c r="R24" s="2">
        <v>0</v>
      </c>
      <c r="S24" s="2">
        <f t="shared" si="3"/>
        <v>0</v>
      </c>
      <c r="T24" s="2">
        <f t="shared" si="8"/>
        <v>2923572.47</v>
      </c>
      <c r="U24" s="170">
        <f t="shared" si="4"/>
        <v>3.5200000000000002E-2</v>
      </c>
      <c r="V24" s="1">
        <f t="shared" si="9"/>
        <v>8575.81</v>
      </c>
      <c r="W24" s="2">
        <f t="shared" si="14"/>
        <v>94340.989999999991</v>
      </c>
      <c r="X24" s="2">
        <f t="shared" si="5"/>
        <v>2829231.4800000004</v>
      </c>
    </row>
    <row r="25" spans="1:24">
      <c r="A25" s="163">
        <v>202105</v>
      </c>
      <c r="B25" s="163">
        <v>36400</v>
      </c>
      <c r="C25" s="2">
        <v>0</v>
      </c>
      <c r="D25" s="2">
        <v>0</v>
      </c>
      <c r="E25" s="2">
        <v>-4042.42</v>
      </c>
      <c r="F25" s="2">
        <v>0</v>
      </c>
      <c r="G25" s="2">
        <v>0</v>
      </c>
      <c r="H25" s="2">
        <v>0</v>
      </c>
      <c r="I25" s="2">
        <v>0</v>
      </c>
      <c r="J25" s="2">
        <f t="shared" si="0"/>
        <v>-4042.42</v>
      </c>
      <c r="K25" s="2">
        <f t="shared" si="6"/>
        <v>19782924.389999997</v>
      </c>
      <c r="L25" s="170">
        <f t="shared" si="2"/>
        <v>3.5200000000000002E-2</v>
      </c>
      <c r="M25" s="1">
        <f t="shared" si="7"/>
        <v>58041.77</v>
      </c>
      <c r="N25" s="2">
        <f t="shared" si="13"/>
        <v>600685.64</v>
      </c>
      <c r="O25" s="2">
        <f t="shared" si="12"/>
        <v>19182238.749999996</v>
      </c>
      <c r="Q25" s="2">
        <v>0</v>
      </c>
      <c r="R25" s="2">
        <v>0</v>
      </c>
      <c r="S25" s="2">
        <f t="shared" si="3"/>
        <v>0</v>
      </c>
      <c r="T25" s="2">
        <f t="shared" si="8"/>
        <v>2923572.47</v>
      </c>
      <c r="U25" s="170">
        <f t="shared" si="4"/>
        <v>3.5200000000000002E-2</v>
      </c>
      <c r="V25" s="1">
        <f t="shared" si="9"/>
        <v>8575.81</v>
      </c>
      <c r="W25" s="2">
        <f t="shared" si="14"/>
        <v>102916.79999999999</v>
      </c>
      <c r="X25" s="2">
        <f t="shared" si="5"/>
        <v>2820655.6700000004</v>
      </c>
    </row>
    <row r="26" spans="1:24">
      <c r="A26" s="163">
        <v>202106</v>
      </c>
      <c r="B26" s="163">
        <v>36400</v>
      </c>
      <c r="C26" s="2">
        <v>0</v>
      </c>
      <c r="D26" s="2">
        <v>0</v>
      </c>
      <c r="E26" s="2">
        <v>-88066.2</v>
      </c>
      <c r="F26" s="2">
        <v>0</v>
      </c>
      <c r="G26" s="2">
        <v>0</v>
      </c>
      <c r="H26" s="2">
        <v>0</v>
      </c>
      <c r="I26" s="2">
        <v>0</v>
      </c>
      <c r="J26" s="2">
        <f t="shared" si="0"/>
        <v>-88066.2</v>
      </c>
      <c r="K26" s="2">
        <f t="shared" si="6"/>
        <v>19694858.189999998</v>
      </c>
      <c r="L26" s="170">
        <f t="shared" si="2"/>
        <v>3.5200000000000002E-2</v>
      </c>
      <c r="M26" s="1">
        <f t="shared" si="7"/>
        <v>58029.91</v>
      </c>
      <c r="N26" s="2">
        <f t="shared" si="13"/>
        <v>658715.55000000005</v>
      </c>
      <c r="O26" s="2">
        <f t="shared" si="12"/>
        <v>19036142.639999997</v>
      </c>
      <c r="Q26" s="2">
        <v>0</v>
      </c>
      <c r="R26" s="2">
        <v>0</v>
      </c>
      <c r="S26" s="2">
        <f t="shared" si="3"/>
        <v>0</v>
      </c>
      <c r="T26" s="2">
        <f t="shared" si="8"/>
        <v>2923572.47</v>
      </c>
      <c r="U26" s="170">
        <f t="shared" si="4"/>
        <v>3.5200000000000002E-2</v>
      </c>
      <c r="V26" s="1">
        <f t="shared" si="9"/>
        <v>8575.81</v>
      </c>
      <c r="W26" s="2">
        <f t="shared" si="14"/>
        <v>111492.60999999999</v>
      </c>
      <c r="X26" s="2">
        <f t="shared" si="5"/>
        <v>2812079.8600000003</v>
      </c>
    </row>
    <row r="27" spans="1:24">
      <c r="A27" s="163">
        <v>202107</v>
      </c>
      <c r="B27" s="163">
        <v>36400</v>
      </c>
      <c r="C27" s="2">
        <v>0</v>
      </c>
      <c r="D27" s="2">
        <v>0</v>
      </c>
      <c r="E27" s="2">
        <v>0</v>
      </c>
      <c r="F27" s="2">
        <v>0</v>
      </c>
      <c r="G27" s="2">
        <v>0</v>
      </c>
      <c r="H27" s="2">
        <v>0</v>
      </c>
      <c r="I27" s="2">
        <v>0</v>
      </c>
      <c r="J27" s="2">
        <f t="shared" si="0"/>
        <v>0</v>
      </c>
      <c r="K27" s="2">
        <f t="shared" si="6"/>
        <v>19694858.189999998</v>
      </c>
      <c r="L27" s="170">
        <f t="shared" si="2"/>
        <v>3.5200000000000002E-2</v>
      </c>
      <c r="M27" s="1">
        <f t="shared" si="7"/>
        <v>57771.58</v>
      </c>
      <c r="N27" s="2">
        <f t="shared" si="13"/>
        <v>716487.13</v>
      </c>
      <c r="O27" s="2">
        <f t="shared" si="12"/>
        <v>18978371.059999999</v>
      </c>
      <c r="Q27" s="2">
        <v>0</v>
      </c>
      <c r="R27" s="2">
        <v>0</v>
      </c>
      <c r="S27" s="2">
        <f t="shared" si="3"/>
        <v>0</v>
      </c>
      <c r="T27" s="2">
        <f t="shared" si="8"/>
        <v>2923572.47</v>
      </c>
      <c r="U27" s="170">
        <f t="shared" si="4"/>
        <v>3.5200000000000002E-2</v>
      </c>
      <c r="V27" s="1">
        <f t="shared" si="9"/>
        <v>8575.81</v>
      </c>
      <c r="W27" s="2">
        <f t="shared" si="14"/>
        <v>120068.41999999998</v>
      </c>
      <c r="X27" s="2">
        <f t="shared" si="5"/>
        <v>2803504.0500000003</v>
      </c>
    </row>
    <row r="28" spans="1:24">
      <c r="A28" s="163">
        <v>202108</v>
      </c>
      <c r="B28" s="163">
        <v>36400</v>
      </c>
      <c r="C28" s="2">
        <v>0</v>
      </c>
      <c r="D28" s="2">
        <v>0</v>
      </c>
      <c r="E28" s="2">
        <v>0</v>
      </c>
      <c r="F28" s="2">
        <v>0</v>
      </c>
      <c r="G28" s="2">
        <v>0</v>
      </c>
      <c r="H28" s="2">
        <v>0</v>
      </c>
      <c r="I28" s="2">
        <v>0</v>
      </c>
      <c r="J28" s="2">
        <f t="shared" si="0"/>
        <v>0</v>
      </c>
      <c r="K28" s="2">
        <f t="shared" si="6"/>
        <v>19694858.189999998</v>
      </c>
      <c r="L28" s="170">
        <f t="shared" si="2"/>
        <v>3.5200000000000002E-2</v>
      </c>
      <c r="M28" s="1">
        <f t="shared" si="7"/>
        <v>57771.58</v>
      </c>
      <c r="N28" s="2">
        <f t="shared" si="13"/>
        <v>774258.71</v>
      </c>
      <c r="O28" s="2">
        <f t="shared" si="12"/>
        <v>18920599.479999997</v>
      </c>
      <c r="Q28" s="2">
        <v>0</v>
      </c>
      <c r="R28" s="2">
        <v>0</v>
      </c>
      <c r="S28" s="2">
        <f t="shared" si="3"/>
        <v>0</v>
      </c>
      <c r="T28" s="2">
        <f t="shared" si="8"/>
        <v>2923572.47</v>
      </c>
      <c r="U28" s="170">
        <f t="shared" si="4"/>
        <v>3.5200000000000002E-2</v>
      </c>
      <c r="V28" s="1">
        <f t="shared" si="9"/>
        <v>8575.81</v>
      </c>
      <c r="W28" s="2">
        <f t="shared" si="14"/>
        <v>128644.22999999998</v>
      </c>
      <c r="X28" s="2">
        <f t="shared" si="5"/>
        <v>2794928.24</v>
      </c>
    </row>
    <row r="29" spans="1:24">
      <c r="A29" s="163">
        <v>202109</v>
      </c>
      <c r="B29" s="163">
        <v>36400</v>
      </c>
      <c r="C29" s="2">
        <v>0</v>
      </c>
      <c r="D29" s="2">
        <v>0</v>
      </c>
      <c r="E29" s="2">
        <v>0</v>
      </c>
      <c r="F29" s="2">
        <v>0</v>
      </c>
      <c r="G29" s="2">
        <v>0</v>
      </c>
      <c r="H29" s="2">
        <v>0</v>
      </c>
      <c r="I29" s="2">
        <v>0</v>
      </c>
      <c r="J29" s="2">
        <f t="shared" si="0"/>
        <v>0</v>
      </c>
      <c r="K29" s="2">
        <f t="shared" si="6"/>
        <v>19694858.189999998</v>
      </c>
      <c r="L29" s="170">
        <f t="shared" si="2"/>
        <v>3.5200000000000002E-2</v>
      </c>
      <c r="M29" s="1">
        <f t="shared" si="7"/>
        <v>57771.58</v>
      </c>
      <c r="N29" s="2">
        <f t="shared" si="13"/>
        <v>832030.28999999992</v>
      </c>
      <c r="O29" s="2">
        <f t="shared" si="12"/>
        <v>18862827.899999999</v>
      </c>
      <c r="Q29" s="2">
        <v>0</v>
      </c>
      <c r="R29" s="2">
        <v>0</v>
      </c>
      <c r="S29" s="2">
        <f t="shared" si="3"/>
        <v>0</v>
      </c>
      <c r="T29" s="2">
        <f t="shared" si="8"/>
        <v>2923572.47</v>
      </c>
      <c r="U29" s="170">
        <f t="shared" si="4"/>
        <v>3.5200000000000002E-2</v>
      </c>
      <c r="V29" s="1">
        <f t="shared" si="9"/>
        <v>8575.81</v>
      </c>
      <c r="W29" s="2">
        <f t="shared" si="14"/>
        <v>137220.03999999998</v>
      </c>
      <c r="X29" s="2">
        <f t="shared" si="5"/>
        <v>2786352.43</v>
      </c>
    </row>
    <row r="30" spans="1:24">
      <c r="A30" s="163">
        <v>202110</v>
      </c>
      <c r="B30" s="163">
        <v>36400</v>
      </c>
      <c r="C30" s="2">
        <v>0</v>
      </c>
      <c r="D30" s="2">
        <v>0</v>
      </c>
      <c r="E30" s="2">
        <v>0</v>
      </c>
      <c r="F30" s="2">
        <v>0</v>
      </c>
      <c r="G30" s="2">
        <v>0</v>
      </c>
      <c r="H30" s="2">
        <v>0</v>
      </c>
      <c r="I30" s="2">
        <v>0</v>
      </c>
      <c r="J30" s="2">
        <f t="shared" si="0"/>
        <v>0</v>
      </c>
      <c r="K30" s="2">
        <f t="shared" si="6"/>
        <v>19694858.189999998</v>
      </c>
      <c r="L30" s="170">
        <f t="shared" si="2"/>
        <v>3.5200000000000002E-2</v>
      </c>
      <c r="M30" s="1">
        <f t="shared" si="7"/>
        <v>57771.58</v>
      </c>
      <c r="N30" s="2">
        <f t="shared" si="13"/>
        <v>889801.86999999988</v>
      </c>
      <c r="O30" s="2">
        <f t="shared" si="12"/>
        <v>18805056.319999997</v>
      </c>
      <c r="Q30" s="2">
        <v>0</v>
      </c>
      <c r="R30" s="2">
        <v>0</v>
      </c>
      <c r="S30" s="2">
        <f t="shared" si="3"/>
        <v>0</v>
      </c>
      <c r="T30" s="2">
        <f t="shared" si="8"/>
        <v>2923572.47</v>
      </c>
      <c r="U30" s="170">
        <f t="shared" si="4"/>
        <v>3.5200000000000002E-2</v>
      </c>
      <c r="V30" s="1">
        <f t="shared" si="9"/>
        <v>8575.81</v>
      </c>
      <c r="W30" s="2">
        <f t="shared" si="14"/>
        <v>145795.84999999998</v>
      </c>
      <c r="X30" s="2">
        <f t="shared" si="5"/>
        <v>2777776.62</v>
      </c>
    </row>
    <row r="31" spans="1:24">
      <c r="A31" s="163">
        <v>202111</v>
      </c>
      <c r="B31" s="163">
        <v>36400</v>
      </c>
      <c r="C31" s="2">
        <v>0</v>
      </c>
      <c r="D31" s="2">
        <v>0</v>
      </c>
      <c r="E31" s="2">
        <v>0</v>
      </c>
      <c r="F31" s="2">
        <v>0</v>
      </c>
      <c r="G31" s="2">
        <v>0</v>
      </c>
      <c r="H31" s="2">
        <v>0</v>
      </c>
      <c r="I31" s="2">
        <v>0</v>
      </c>
      <c r="J31" s="2">
        <f t="shared" si="0"/>
        <v>0</v>
      </c>
      <c r="K31" s="2">
        <f t="shared" si="6"/>
        <v>19694858.189999998</v>
      </c>
      <c r="L31" s="170">
        <f t="shared" si="2"/>
        <v>3.5200000000000002E-2</v>
      </c>
      <c r="M31" s="1">
        <f t="shared" si="7"/>
        <v>57771.58</v>
      </c>
      <c r="N31" s="2">
        <f t="shared" si="13"/>
        <v>947573.44999999984</v>
      </c>
      <c r="O31" s="2">
        <f t="shared" si="12"/>
        <v>18747284.739999998</v>
      </c>
      <c r="Q31" s="2">
        <v>0</v>
      </c>
      <c r="R31" s="2">
        <v>0</v>
      </c>
      <c r="S31" s="2">
        <f t="shared" si="3"/>
        <v>0</v>
      </c>
      <c r="T31" s="2">
        <f t="shared" si="8"/>
        <v>2923572.47</v>
      </c>
      <c r="U31" s="170">
        <f t="shared" si="4"/>
        <v>3.5200000000000002E-2</v>
      </c>
      <c r="V31" s="1">
        <f t="shared" si="9"/>
        <v>8575.81</v>
      </c>
      <c r="W31" s="2">
        <f t="shared" si="14"/>
        <v>154371.65999999997</v>
      </c>
      <c r="X31" s="2">
        <f t="shared" si="5"/>
        <v>2769200.81</v>
      </c>
    </row>
    <row r="32" spans="1:24">
      <c r="A32" s="163">
        <v>202112</v>
      </c>
      <c r="B32" s="163">
        <v>36400</v>
      </c>
      <c r="C32" s="2">
        <v>0</v>
      </c>
      <c r="D32" s="2">
        <v>0</v>
      </c>
      <c r="E32" s="2">
        <v>0</v>
      </c>
      <c r="F32" s="2">
        <v>0</v>
      </c>
      <c r="G32" s="2">
        <v>0</v>
      </c>
      <c r="H32" s="2">
        <v>0</v>
      </c>
      <c r="I32" s="2">
        <v>0</v>
      </c>
      <c r="J32" s="2">
        <f t="shared" si="0"/>
        <v>0</v>
      </c>
      <c r="K32" s="2">
        <f t="shared" si="6"/>
        <v>19694858.189999998</v>
      </c>
      <c r="L32" s="170">
        <f t="shared" si="2"/>
        <v>3.5200000000000002E-2</v>
      </c>
      <c r="M32" s="1">
        <f t="shared" si="7"/>
        <v>57771.58</v>
      </c>
      <c r="N32" s="2">
        <f t="shared" si="13"/>
        <v>1005345.0299999998</v>
      </c>
      <c r="O32" s="2">
        <f t="shared" si="12"/>
        <v>18689513.159999996</v>
      </c>
      <c r="Q32" s="2">
        <v>0</v>
      </c>
      <c r="R32" s="2">
        <v>0</v>
      </c>
      <c r="S32" s="2">
        <f t="shared" si="3"/>
        <v>0</v>
      </c>
      <c r="T32" s="2">
        <f t="shared" si="8"/>
        <v>2923572.47</v>
      </c>
      <c r="U32" s="170">
        <f t="shared" si="4"/>
        <v>3.5200000000000002E-2</v>
      </c>
      <c r="V32" s="1">
        <f t="shared" si="9"/>
        <v>8575.81</v>
      </c>
      <c r="W32" s="2">
        <f t="shared" si="14"/>
        <v>162947.46999999997</v>
      </c>
      <c r="X32" s="2">
        <f t="shared" si="5"/>
        <v>2760625</v>
      </c>
    </row>
    <row r="33" spans="1:24">
      <c r="A33" s="163">
        <v>202201</v>
      </c>
      <c r="B33" s="163">
        <v>36400</v>
      </c>
      <c r="C33" s="2">
        <v>0</v>
      </c>
      <c r="D33" s="2">
        <v>0</v>
      </c>
      <c r="E33" s="2">
        <v>0</v>
      </c>
      <c r="F33" s="2">
        <v>0</v>
      </c>
      <c r="G33" s="2">
        <v>0</v>
      </c>
      <c r="H33" s="2">
        <v>0</v>
      </c>
      <c r="I33" s="2">
        <v>0</v>
      </c>
      <c r="J33" s="2">
        <f t="shared" si="0"/>
        <v>0</v>
      </c>
      <c r="K33" s="2">
        <f t="shared" si="6"/>
        <v>19694858.189999998</v>
      </c>
      <c r="L33" s="170">
        <f t="shared" si="2"/>
        <v>3.5200000000000002E-2</v>
      </c>
      <c r="M33" s="1">
        <f t="shared" si="7"/>
        <v>57771.58</v>
      </c>
      <c r="N33" s="2">
        <f t="shared" si="13"/>
        <v>1063116.6099999999</v>
      </c>
      <c r="O33" s="2">
        <f t="shared" si="12"/>
        <v>18631741.579999998</v>
      </c>
      <c r="Q33" s="2">
        <v>0</v>
      </c>
      <c r="R33" s="2">
        <v>0</v>
      </c>
      <c r="S33" s="2">
        <f t="shared" si="3"/>
        <v>0</v>
      </c>
      <c r="T33" s="2">
        <f t="shared" si="8"/>
        <v>2923572.47</v>
      </c>
      <c r="U33" s="170">
        <f t="shared" si="4"/>
        <v>3.5200000000000002E-2</v>
      </c>
      <c r="V33" s="1">
        <f t="shared" si="9"/>
        <v>8575.81</v>
      </c>
      <c r="W33" s="2">
        <f t="shared" si="14"/>
        <v>171523.27999999997</v>
      </c>
      <c r="X33" s="2">
        <f t="shared" si="5"/>
        <v>2752049.1900000004</v>
      </c>
    </row>
    <row r="34" spans="1:24">
      <c r="A34" s="163">
        <v>202202</v>
      </c>
      <c r="B34" s="163">
        <v>36400</v>
      </c>
      <c r="C34" s="2">
        <v>0</v>
      </c>
      <c r="D34" s="2">
        <v>0</v>
      </c>
      <c r="E34" s="2">
        <v>0</v>
      </c>
      <c r="F34" s="2">
        <v>6836837.1900000004</v>
      </c>
      <c r="G34" s="2">
        <v>0</v>
      </c>
      <c r="H34" s="2">
        <v>0</v>
      </c>
      <c r="I34" s="2">
        <v>0</v>
      </c>
      <c r="J34" s="2">
        <f t="shared" si="0"/>
        <v>6836837.1900000004</v>
      </c>
      <c r="K34" s="2">
        <f t="shared" si="6"/>
        <v>26531695.379999999</v>
      </c>
      <c r="L34" s="170">
        <f t="shared" si="2"/>
        <v>3.5200000000000002E-2</v>
      </c>
      <c r="M34" s="1">
        <f t="shared" si="7"/>
        <v>57771.58</v>
      </c>
      <c r="N34" s="2">
        <f t="shared" si="13"/>
        <v>1120888.19</v>
      </c>
      <c r="O34" s="2">
        <f t="shared" si="12"/>
        <v>25410807.189999998</v>
      </c>
      <c r="Q34" s="2">
        <v>0</v>
      </c>
      <c r="R34" s="2">
        <v>0</v>
      </c>
      <c r="S34" s="2">
        <f t="shared" si="3"/>
        <v>0</v>
      </c>
      <c r="T34" s="2">
        <f t="shared" si="8"/>
        <v>2923572.47</v>
      </c>
      <c r="U34" s="170">
        <f t="shared" si="4"/>
        <v>3.5200000000000002E-2</v>
      </c>
      <c r="V34" s="1">
        <f t="shared" si="9"/>
        <v>8575.81</v>
      </c>
      <c r="W34" s="2">
        <f t="shared" si="14"/>
        <v>180099.08999999997</v>
      </c>
      <c r="X34" s="2">
        <f t="shared" si="5"/>
        <v>2743473.3800000004</v>
      </c>
    </row>
    <row r="35" spans="1:24">
      <c r="A35" s="163">
        <v>202203</v>
      </c>
      <c r="B35" s="163">
        <v>36400</v>
      </c>
      <c r="C35" s="2">
        <v>0</v>
      </c>
      <c r="D35" s="2">
        <v>0</v>
      </c>
      <c r="E35" s="2">
        <v>0</v>
      </c>
      <c r="F35" s="2">
        <v>5164.07</v>
      </c>
      <c r="G35" s="2">
        <v>0</v>
      </c>
      <c r="H35" s="2">
        <v>0</v>
      </c>
      <c r="I35" s="2">
        <v>0</v>
      </c>
      <c r="J35" s="2">
        <f t="shared" si="0"/>
        <v>5164.07</v>
      </c>
      <c r="K35" s="2">
        <f t="shared" si="6"/>
        <v>26536859.449999999</v>
      </c>
      <c r="L35" s="170">
        <f t="shared" si="2"/>
        <v>3.5200000000000002E-2</v>
      </c>
      <c r="M35" s="1">
        <f t="shared" si="7"/>
        <v>77826.31</v>
      </c>
      <c r="N35" s="2">
        <f t="shared" si="13"/>
        <v>1198714.5</v>
      </c>
      <c r="O35" s="2">
        <f t="shared" si="12"/>
        <v>25338144.949999999</v>
      </c>
      <c r="Q35" s="2">
        <v>0</v>
      </c>
      <c r="R35" s="2">
        <v>0</v>
      </c>
      <c r="S35" s="2">
        <f t="shared" si="3"/>
        <v>0</v>
      </c>
      <c r="T35" s="2">
        <f t="shared" si="8"/>
        <v>2923572.47</v>
      </c>
      <c r="U35" s="170">
        <f t="shared" si="4"/>
        <v>3.5200000000000002E-2</v>
      </c>
      <c r="V35" s="1">
        <f t="shared" si="9"/>
        <v>8575.81</v>
      </c>
      <c r="W35" s="2">
        <f t="shared" si="14"/>
        <v>188674.89999999997</v>
      </c>
      <c r="X35" s="2">
        <f t="shared" si="5"/>
        <v>2734897.5700000003</v>
      </c>
    </row>
    <row r="36" spans="1:24">
      <c r="A36" s="163">
        <v>202204</v>
      </c>
      <c r="B36" s="163">
        <v>36400</v>
      </c>
      <c r="C36" s="2">
        <v>0</v>
      </c>
      <c r="D36" s="2">
        <v>0</v>
      </c>
      <c r="E36" s="2">
        <v>0</v>
      </c>
      <c r="F36" s="2">
        <v>4112.7</v>
      </c>
      <c r="G36" s="2">
        <v>0</v>
      </c>
      <c r="H36" s="2">
        <v>0</v>
      </c>
      <c r="I36" s="2">
        <v>0</v>
      </c>
      <c r="J36" s="2">
        <f t="shared" ref="J36:J67" si="15">SUM(C36:I36)</f>
        <v>4112.7</v>
      </c>
      <c r="K36" s="2">
        <f t="shared" si="6"/>
        <v>26540972.149999999</v>
      </c>
      <c r="L36" s="170">
        <f t="shared" si="2"/>
        <v>3.5200000000000002E-2</v>
      </c>
      <c r="M36" s="1">
        <f t="shared" si="7"/>
        <v>77841.45</v>
      </c>
      <c r="N36" s="2">
        <f t="shared" si="13"/>
        <v>1276555.95</v>
      </c>
      <c r="O36" s="2">
        <f t="shared" si="12"/>
        <v>25264416.199999999</v>
      </c>
      <c r="Q36" s="2">
        <v>0</v>
      </c>
      <c r="R36" s="2">
        <v>0</v>
      </c>
      <c r="S36" s="2">
        <f t="shared" si="3"/>
        <v>0</v>
      </c>
      <c r="T36" s="2">
        <f t="shared" si="8"/>
        <v>2923572.47</v>
      </c>
      <c r="U36" s="170">
        <f t="shared" si="4"/>
        <v>3.5200000000000002E-2</v>
      </c>
      <c r="V36" s="1">
        <f t="shared" si="9"/>
        <v>8575.81</v>
      </c>
      <c r="W36" s="2">
        <f t="shared" si="14"/>
        <v>197250.70999999996</v>
      </c>
      <c r="X36" s="2">
        <f t="shared" si="5"/>
        <v>2726321.7600000002</v>
      </c>
    </row>
    <row r="37" spans="1:24">
      <c r="A37" s="163">
        <v>202205</v>
      </c>
      <c r="B37" s="163">
        <v>36400</v>
      </c>
      <c r="C37" s="2">
        <v>0</v>
      </c>
      <c r="D37" s="2">
        <v>0</v>
      </c>
      <c r="E37" s="2">
        <v>0</v>
      </c>
      <c r="F37" s="2">
        <v>4243.2700000000004</v>
      </c>
      <c r="G37" s="2">
        <v>0</v>
      </c>
      <c r="H37" s="2">
        <v>0</v>
      </c>
      <c r="I37" s="2">
        <v>0</v>
      </c>
      <c r="J37" s="2">
        <f t="shared" si="15"/>
        <v>4243.2700000000004</v>
      </c>
      <c r="K37" s="2">
        <f t="shared" si="6"/>
        <v>26545215.419999998</v>
      </c>
      <c r="L37" s="170">
        <f t="shared" si="2"/>
        <v>3.5200000000000002E-2</v>
      </c>
      <c r="M37" s="1">
        <f t="shared" si="7"/>
        <v>77853.52</v>
      </c>
      <c r="N37" s="2">
        <f t="shared" si="13"/>
        <v>1354409.47</v>
      </c>
      <c r="O37" s="2">
        <f t="shared" si="12"/>
        <v>25190805.949999999</v>
      </c>
      <c r="Q37" s="2">
        <v>0</v>
      </c>
      <c r="R37" s="2">
        <v>0</v>
      </c>
      <c r="S37" s="2">
        <f t="shared" si="3"/>
        <v>0</v>
      </c>
      <c r="T37" s="2">
        <f t="shared" si="8"/>
        <v>2923572.47</v>
      </c>
      <c r="U37" s="170">
        <f t="shared" si="4"/>
        <v>3.5200000000000002E-2</v>
      </c>
      <c r="V37" s="1">
        <f t="shared" si="9"/>
        <v>8575.81</v>
      </c>
      <c r="W37" s="2">
        <f t="shared" si="14"/>
        <v>205826.51999999996</v>
      </c>
      <c r="X37" s="2">
        <f t="shared" si="5"/>
        <v>2717745.95</v>
      </c>
    </row>
    <row r="38" spans="1:24">
      <c r="A38" s="163">
        <v>202206</v>
      </c>
      <c r="B38" s="163">
        <v>36400</v>
      </c>
      <c r="C38" s="2">
        <v>0</v>
      </c>
      <c r="D38" s="2">
        <v>0</v>
      </c>
      <c r="E38" s="2">
        <v>0</v>
      </c>
      <c r="F38" s="2">
        <v>5048.6400000000003</v>
      </c>
      <c r="G38" s="2">
        <v>0</v>
      </c>
      <c r="H38" s="2">
        <v>0</v>
      </c>
      <c r="I38" s="2">
        <v>0</v>
      </c>
      <c r="J38" s="2">
        <f t="shared" si="15"/>
        <v>5048.6400000000003</v>
      </c>
      <c r="K38" s="2">
        <f t="shared" si="6"/>
        <v>26550264.059999999</v>
      </c>
      <c r="L38" s="170">
        <f t="shared" si="2"/>
        <v>3.5200000000000002E-2</v>
      </c>
      <c r="M38" s="1">
        <f t="shared" si="7"/>
        <v>77865.97</v>
      </c>
      <c r="N38" s="2">
        <f t="shared" si="13"/>
        <v>1432275.44</v>
      </c>
      <c r="O38" s="2">
        <f t="shared" si="12"/>
        <v>25117988.619999997</v>
      </c>
      <c r="Q38" s="2">
        <v>0</v>
      </c>
      <c r="R38" s="2">
        <v>0</v>
      </c>
      <c r="S38" s="2">
        <f t="shared" si="3"/>
        <v>0</v>
      </c>
      <c r="T38" s="2">
        <f t="shared" si="8"/>
        <v>2923572.47</v>
      </c>
      <c r="U38" s="170">
        <f t="shared" si="4"/>
        <v>3.5200000000000002E-2</v>
      </c>
      <c r="V38" s="1">
        <f t="shared" si="9"/>
        <v>8575.81</v>
      </c>
      <c r="W38" s="2">
        <f t="shared" si="14"/>
        <v>214402.32999999996</v>
      </c>
      <c r="X38" s="2">
        <f t="shared" si="5"/>
        <v>2709170.14</v>
      </c>
    </row>
    <row r="39" spans="1:24">
      <c r="A39" s="163">
        <v>202207</v>
      </c>
      <c r="B39" s="163">
        <v>36400</v>
      </c>
      <c r="C39" s="2">
        <v>0</v>
      </c>
      <c r="D39" s="2">
        <v>0</v>
      </c>
      <c r="E39" s="2">
        <v>0</v>
      </c>
      <c r="F39" s="2">
        <v>5596.25</v>
      </c>
      <c r="G39" s="2">
        <v>0</v>
      </c>
      <c r="H39" s="2">
        <v>0</v>
      </c>
      <c r="I39" s="2">
        <v>0</v>
      </c>
      <c r="J39" s="2">
        <f t="shared" si="15"/>
        <v>5596.25</v>
      </c>
      <c r="K39" s="2">
        <f t="shared" si="6"/>
        <v>26555860.309999999</v>
      </c>
      <c r="L39" s="170">
        <f t="shared" si="2"/>
        <v>3.5200000000000002E-2</v>
      </c>
      <c r="M39" s="1">
        <f t="shared" si="7"/>
        <v>77880.77</v>
      </c>
      <c r="N39" s="2">
        <f t="shared" si="13"/>
        <v>1510156.21</v>
      </c>
      <c r="O39" s="2">
        <f t="shared" si="12"/>
        <v>25045704.099999998</v>
      </c>
      <c r="Q39" s="2">
        <v>0</v>
      </c>
      <c r="R39" s="2">
        <v>0</v>
      </c>
      <c r="S39" s="2">
        <f t="shared" si="3"/>
        <v>0</v>
      </c>
      <c r="T39" s="2">
        <f t="shared" si="8"/>
        <v>2923572.47</v>
      </c>
      <c r="U39" s="170">
        <f t="shared" si="4"/>
        <v>3.5200000000000002E-2</v>
      </c>
      <c r="V39" s="1">
        <f t="shared" si="9"/>
        <v>8575.81</v>
      </c>
      <c r="W39" s="2">
        <f t="shared" si="14"/>
        <v>222978.13999999996</v>
      </c>
      <c r="X39" s="2">
        <f t="shared" si="5"/>
        <v>2700594.33</v>
      </c>
    </row>
    <row r="40" spans="1:24">
      <c r="A40" s="163">
        <v>202208</v>
      </c>
      <c r="B40" s="163">
        <v>36400</v>
      </c>
      <c r="C40" s="2">
        <v>0</v>
      </c>
      <c r="D40" s="2">
        <v>0</v>
      </c>
      <c r="E40" s="2">
        <v>0</v>
      </c>
      <c r="F40" s="2">
        <v>2941.37</v>
      </c>
      <c r="G40" s="2">
        <v>0</v>
      </c>
      <c r="H40" s="2">
        <v>0</v>
      </c>
      <c r="I40" s="2">
        <v>0</v>
      </c>
      <c r="J40" s="2">
        <f t="shared" si="15"/>
        <v>2941.37</v>
      </c>
      <c r="K40" s="2">
        <f t="shared" si="6"/>
        <v>26558801.68</v>
      </c>
      <c r="L40" s="170">
        <f t="shared" si="2"/>
        <v>3.5200000000000002E-2</v>
      </c>
      <c r="M40" s="1">
        <f t="shared" si="7"/>
        <v>77897.19</v>
      </c>
      <c r="N40" s="2">
        <f t="shared" si="13"/>
        <v>1588053.4</v>
      </c>
      <c r="O40" s="2">
        <f t="shared" si="12"/>
        <v>24970748.280000001</v>
      </c>
      <c r="Q40" s="2">
        <v>0</v>
      </c>
      <c r="R40" s="2">
        <v>0</v>
      </c>
      <c r="S40" s="2">
        <f t="shared" si="3"/>
        <v>0</v>
      </c>
      <c r="T40" s="2">
        <f t="shared" si="8"/>
        <v>2923572.47</v>
      </c>
      <c r="U40" s="170">
        <f t="shared" si="4"/>
        <v>3.5200000000000002E-2</v>
      </c>
      <c r="V40" s="1">
        <f t="shared" si="9"/>
        <v>8575.81</v>
      </c>
      <c r="W40" s="2">
        <f t="shared" si="14"/>
        <v>231553.94999999995</v>
      </c>
      <c r="X40" s="2">
        <f t="shared" si="5"/>
        <v>2692018.5200000005</v>
      </c>
    </row>
    <row r="41" spans="1:24">
      <c r="A41" s="163">
        <v>202209</v>
      </c>
      <c r="B41" s="163">
        <v>36400</v>
      </c>
      <c r="C41" s="2">
        <v>0</v>
      </c>
      <c r="D41" s="2">
        <v>0</v>
      </c>
      <c r="E41" s="2">
        <v>0</v>
      </c>
      <c r="F41" s="2">
        <v>3672.33</v>
      </c>
      <c r="G41" s="2">
        <v>0</v>
      </c>
      <c r="H41" s="2">
        <v>0</v>
      </c>
      <c r="I41" s="2">
        <v>0</v>
      </c>
      <c r="J41" s="2">
        <f t="shared" si="15"/>
        <v>3672.33</v>
      </c>
      <c r="K41" s="2">
        <f t="shared" si="6"/>
        <v>26562474.009999998</v>
      </c>
      <c r="L41" s="170">
        <f t="shared" si="2"/>
        <v>3.5200000000000002E-2</v>
      </c>
      <c r="M41" s="1">
        <f t="shared" si="7"/>
        <v>77905.820000000007</v>
      </c>
      <c r="N41" s="2">
        <f t="shared" si="13"/>
        <v>1665959.22</v>
      </c>
      <c r="O41" s="2">
        <f t="shared" si="12"/>
        <v>24896514.789999999</v>
      </c>
      <c r="Q41" s="2">
        <v>0</v>
      </c>
      <c r="R41" s="2">
        <v>0</v>
      </c>
      <c r="S41" s="2">
        <f t="shared" si="3"/>
        <v>0</v>
      </c>
      <c r="T41" s="2">
        <f t="shared" si="8"/>
        <v>2923572.47</v>
      </c>
      <c r="U41" s="170">
        <f t="shared" si="4"/>
        <v>3.5200000000000002E-2</v>
      </c>
      <c r="V41" s="1">
        <f t="shared" si="9"/>
        <v>8575.81</v>
      </c>
      <c r="W41" s="2">
        <f t="shared" si="14"/>
        <v>240129.75999999995</v>
      </c>
      <c r="X41" s="2">
        <f t="shared" si="5"/>
        <v>2683442.7100000004</v>
      </c>
    </row>
    <row r="42" spans="1:24">
      <c r="A42" s="163">
        <v>202210</v>
      </c>
      <c r="B42" s="163">
        <v>36400</v>
      </c>
      <c r="C42" s="2">
        <v>0</v>
      </c>
      <c r="D42" s="2">
        <v>0</v>
      </c>
      <c r="E42" s="2">
        <v>0</v>
      </c>
      <c r="F42" s="2">
        <v>4748.74</v>
      </c>
      <c r="G42" s="2">
        <v>0</v>
      </c>
      <c r="H42" s="2">
        <v>0</v>
      </c>
      <c r="I42" s="2">
        <v>0</v>
      </c>
      <c r="J42" s="2">
        <f t="shared" si="15"/>
        <v>4748.74</v>
      </c>
      <c r="K42" s="2">
        <f t="shared" si="6"/>
        <v>26567222.749999996</v>
      </c>
      <c r="L42" s="170">
        <f t="shared" si="2"/>
        <v>3.5200000000000002E-2</v>
      </c>
      <c r="M42" s="1">
        <f t="shared" si="7"/>
        <v>77916.59</v>
      </c>
      <c r="N42" s="2">
        <f t="shared" si="13"/>
        <v>1743875.81</v>
      </c>
      <c r="O42" s="2">
        <f t="shared" si="12"/>
        <v>24823346.939999998</v>
      </c>
      <c r="Q42" s="2">
        <v>0</v>
      </c>
      <c r="R42" s="2">
        <v>0</v>
      </c>
      <c r="S42" s="2">
        <f t="shared" si="3"/>
        <v>0</v>
      </c>
      <c r="T42" s="2">
        <f t="shared" si="8"/>
        <v>2923572.47</v>
      </c>
      <c r="U42" s="170">
        <f t="shared" si="4"/>
        <v>3.5200000000000002E-2</v>
      </c>
      <c r="V42" s="1">
        <f t="shared" si="9"/>
        <v>8575.81</v>
      </c>
      <c r="W42" s="2">
        <f t="shared" si="14"/>
        <v>248705.56999999995</v>
      </c>
      <c r="X42" s="2">
        <f t="shared" si="5"/>
        <v>2674866.9000000004</v>
      </c>
    </row>
    <row r="43" spans="1:24">
      <c r="A43" s="163">
        <v>202211</v>
      </c>
      <c r="B43" s="163">
        <v>36400</v>
      </c>
      <c r="C43" s="2">
        <v>0</v>
      </c>
      <c r="D43" s="2">
        <v>0</v>
      </c>
      <c r="E43" s="2">
        <v>0</v>
      </c>
      <c r="F43" s="2">
        <v>3773.09</v>
      </c>
      <c r="G43" s="2">
        <v>0</v>
      </c>
      <c r="H43" s="2">
        <v>0</v>
      </c>
      <c r="I43" s="2">
        <v>0</v>
      </c>
      <c r="J43" s="2">
        <f t="shared" si="15"/>
        <v>3773.09</v>
      </c>
      <c r="K43" s="2">
        <f t="shared" si="6"/>
        <v>26570995.839999996</v>
      </c>
      <c r="L43" s="170">
        <f t="shared" si="2"/>
        <v>3.5200000000000002E-2</v>
      </c>
      <c r="M43" s="1">
        <f t="shared" si="7"/>
        <v>77930.52</v>
      </c>
      <c r="N43" s="2">
        <f t="shared" si="13"/>
        <v>1821806.33</v>
      </c>
      <c r="O43" s="2">
        <f t="shared" si="12"/>
        <v>24749189.509999998</v>
      </c>
      <c r="Q43" s="2">
        <v>0</v>
      </c>
      <c r="R43" s="2">
        <v>0</v>
      </c>
      <c r="S43" s="2">
        <f t="shared" si="3"/>
        <v>0</v>
      </c>
      <c r="T43" s="2">
        <f t="shared" si="8"/>
        <v>2923572.47</v>
      </c>
      <c r="U43" s="170">
        <f t="shared" si="4"/>
        <v>3.5200000000000002E-2</v>
      </c>
      <c r="V43" s="1">
        <f t="shared" si="9"/>
        <v>8575.81</v>
      </c>
      <c r="W43" s="2">
        <f t="shared" si="14"/>
        <v>257281.37999999995</v>
      </c>
      <c r="X43" s="2">
        <f t="shared" si="5"/>
        <v>2666291.0900000003</v>
      </c>
    </row>
    <row r="44" spans="1:24">
      <c r="A44" s="163">
        <v>202212</v>
      </c>
      <c r="B44" s="163">
        <v>36400</v>
      </c>
      <c r="C44" s="2">
        <v>0</v>
      </c>
      <c r="D44" s="2">
        <v>0</v>
      </c>
      <c r="E44" s="2">
        <v>0</v>
      </c>
      <c r="F44" s="2">
        <v>5462.88</v>
      </c>
      <c r="G44" s="2">
        <v>0</v>
      </c>
      <c r="H44" s="2">
        <v>0</v>
      </c>
      <c r="I44" s="2">
        <v>0</v>
      </c>
      <c r="J44" s="2">
        <f t="shared" si="15"/>
        <v>5462.88</v>
      </c>
      <c r="K44" s="2">
        <f t="shared" si="6"/>
        <v>26576458.719999995</v>
      </c>
      <c r="L44" s="170">
        <f t="shared" si="2"/>
        <v>3.5200000000000002E-2</v>
      </c>
      <c r="M44" s="1">
        <f t="shared" si="7"/>
        <v>77941.59</v>
      </c>
      <c r="N44" s="2">
        <f t="shared" si="13"/>
        <v>1899747.9200000002</v>
      </c>
      <c r="O44" s="2">
        <f t="shared" si="12"/>
        <v>24676710.799999993</v>
      </c>
      <c r="Q44" s="2">
        <v>0</v>
      </c>
      <c r="R44" s="2">
        <v>0</v>
      </c>
      <c r="S44" s="2">
        <f t="shared" si="3"/>
        <v>0</v>
      </c>
      <c r="T44" s="2">
        <f t="shared" si="8"/>
        <v>2923572.47</v>
      </c>
      <c r="U44" s="170">
        <f t="shared" si="4"/>
        <v>3.5200000000000002E-2</v>
      </c>
      <c r="V44" s="1">
        <f t="shared" si="9"/>
        <v>8575.81</v>
      </c>
      <c r="W44" s="2">
        <f t="shared" si="14"/>
        <v>265857.18999999994</v>
      </c>
      <c r="X44" s="2">
        <f t="shared" si="5"/>
        <v>2657715.2800000003</v>
      </c>
    </row>
    <row r="45" spans="1:24">
      <c r="A45" s="163">
        <v>202301</v>
      </c>
      <c r="B45" s="163">
        <v>36400</v>
      </c>
      <c r="C45" s="2">
        <v>0</v>
      </c>
      <c r="D45" s="2">
        <v>0</v>
      </c>
      <c r="E45" s="2">
        <v>0</v>
      </c>
      <c r="F45" s="2">
        <v>7167119.0100000007</v>
      </c>
      <c r="G45" s="2">
        <v>0</v>
      </c>
      <c r="H45" s="2">
        <v>0</v>
      </c>
      <c r="I45" s="2">
        <v>0</v>
      </c>
      <c r="J45" s="2">
        <f t="shared" si="15"/>
        <v>7167119.0100000007</v>
      </c>
      <c r="K45" s="2">
        <f t="shared" si="6"/>
        <v>33743577.729999997</v>
      </c>
      <c r="L45" s="171">
        <f t="shared" si="2"/>
        <v>3.5200000000000002E-2</v>
      </c>
      <c r="M45" s="5">
        <f t="shared" si="7"/>
        <v>77957.61</v>
      </c>
      <c r="N45" s="2">
        <f t="shared" si="13"/>
        <v>1977705.5300000003</v>
      </c>
      <c r="O45" s="2">
        <f t="shared" si="12"/>
        <v>31765872.199999996</v>
      </c>
      <c r="Q45" s="2">
        <v>0</v>
      </c>
      <c r="R45" s="2">
        <v>0</v>
      </c>
      <c r="S45" s="2">
        <f t="shared" si="3"/>
        <v>0</v>
      </c>
      <c r="T45" s="2">
        <f t="shared" si="8"/>
        <v>2923572.47</v>
      </c>
      <c r="U45" s="171">
        <f t="shared" si="4"/>
        <v>3.5200000000000002E-2</v>
      </c>
      <c r="V45" s="5">
        <f t="shared" si="9"/>
        <v>8575.81</v>
      </c>
      <c r="W45" s="2">
        <f t="shared" si="14"/>
        <v>274432.99999999994</v>
      </c>
      <c r="X45" s="2">
        <f t="shared" si="5"/>
        <v>2649139.4700000002</v>
      </c>
    </row>
    <row r="46" spans="1:24">
      <c r="A46" s="163">
        <v>202302</v>
      </c>
      <c r="B46" s="163">
        <v>36400</v>
      </c>
      <c r="C46" s="2">
        <v>0</v>
      </c>
      <c r="D46" s="2">
        <v>0</v>
      </c>
      <c r="E46" s="2">
        <v>0</v>
      </c>
      <c r="F46" s="2">
        <v>696432.22000000009</v>
      </c>
      <c r="G46" s="2">
        <v>0</v>
      </c>
      <c r="H46" s="2">
        <v>0</v>
      </c>
      <c r="I46" s="2">
        <v>0</v>
      </c>
      <c r="J46" s="2">
        <f t="shared" si="15"/>
        <v>696432.22000000009</v>
      </c>
      <c r="K46" s="2">
        <f t="shared" si="6"/>
        <v>34440009.949999996</v>
      </c>
      <c r="L46" s="171">
        <f t="shared" si="2"/>
        <v>3.5200000000000002E-2</v>
      </c>
      <c r="M46" s="5">
        <f t="shared" si="7"/>
        <v>98981.16</v>
      </c>
      <c r="N46" s="2">
        <f t="shared" si="13"/>
        <v>2076686.6900000002</v>
      </c>
      <c r="O46" s="2">
        <f t="shared" si="12"/>
        <v>32363323.259999994</v>
      </c>
      <c r="Q46" s="2">
        <v>0</v>
      </c>
      <c r="R46" s="2">
        <v>0</v>
      </c>
      <c r="S46" s="2">
        <f t="shared" si="3"/>
        <v>0</v>
      </c>
      <c r="T46" s="2">
        <f t="shared" si="8"/>
        <v>2923572.47</v>
      </c>
      <c r="U46" s="171">
        <f t="shared" si="4"/>
        <v>3.5200000000000002E-2</v>
      </c>
      <c r="V46" s="5">
        <f t="shared" si="9"/>
        <v>8575.81</v>
      </c>
      <c r="W46" s="2">
        <f t="shared" si="14"/>
        <v>283008.80999999994</v>
      </c>
      <c r="X46" s="2">
        <f t="shared" si="5"/>
        <v>2640563.66</v>
      </c>
    </row>
    <row r="47" spans="1:24">
      <c r="A47" s="163">
        <v>202303</v>
      </c>
      <c r="B47" s="163">
        <v>36400</v>
      </c>
      <c r="C47" s="2">
        <v>0</v>
      </c>
      <c r="D47" s="2">
        <v>0</v>
      </c>
      <c r="E47" s="2">
        <v>0</v>
      </c>
      <c r="F47" s="2">
        <v>-714290.11</v>
      </c>
      <c r="G47" s="2">
        <v>0</v>
      </c>
      <c r="H47" s="2">
        <v>0</v>
      </c>
      <c r="I47" s="2">
        <v>0</v>
      </c>
      <c r="J47" s="2">
        <f t="shared" si="15"/>
        <v>-714290.11</v>
      </c>
      <c r="K47" s="2">
        <f t="shared" si="6"/>
        <v>33725719.839999996</v>
      </c>
      <c r="L47" s="171">
        <f t="shared" si="2"/>
        <v>3.5200000000000002E-2</v>
      </c>
      <c r="M47" s="5">
        <f t="shared" si="7"/>
        <v>101024.03</v>
      </c>
      <c r="N47" s="2">
        <f t="shared" si="13"/>
        <v>2177710.7200000002</v>
      </c>
      <c r="O47" s="2">
        <f t="shared" si="12"/>
        <v>31548009.119999997</v>
      </c>
      <c r="Q47" s="2">
        <v>0</v>
      </c>
      <c r="R47" s="2">
        <v>0</v>
      </c>
      <c r="S47" s="2">
        <f t="shared" si="3"/>
        <v>0</v>
      </c>
      <c r="T47" s="2">
        <f t="shared" si="8"/>
        <v>2923572.47</v>
      </c>
      <c r="U47" s="171">
        <f t="shared" si="4"/>
        <v>3.5200000000000002E-2</v>
      </c>
      <c r="V47" s="5">
        <f t="shared" si="9"/>
        <v>8575.81</v>
      </c>
      <c r="W47" s="2">
        <f t="shared" si="14"/>
        <v>291584.61999999994</v>
      </c>
      <c r="X47" s="2">
        <f t="shared" si="5"/>
        <v>2631987.85</v>
      </c>
    </row>
    <row r="48" spans="1:24">
      <c r="A48" s="163">
        <v>202304</v>
      </c>
      <c r="B48" s="163">
        <v>36400</v>
      </c>
      <c r="C48" s="2">
        <v>0</v>
      </c>
      <c r="D48" s="2">
        <v>0</v>
      </c>
      <c r="E48" s="2">
        <v>0</v>
      </c>
      <c r="F48" s="2">
        <v>95752.18</v>
      </c>
      <c r="G48" s="2">
        <v>0</v>
      </c>
      <c r="H48" s="2">
        <v>0</v>
      </c>
      <c r="I48" s="2">
        <v>0</v>
      </c>
      <c r="J48" s="2">
        <f t="shared" si="15"/>
        <v>95752.18</v>
      </c>
      <c r="K48" s="2">
        <f t="shared" si="6"/>
        <v>33821472.019999996</v>
      </c>
      <c r="L48" s="171">
        <f t="shared" si="2"/>
        <v>3.5200000000000002E-2</v>
      </c>
      <c r="M48" s="5">
        <f t="shared" si="7"/>
        <v>98928.78</v>
      </c>
      <c r="N48" s="2">
        <f t="shared" si="13"/>
        <v>2276639.5</v>
      </c>
      <c r="O48" s="2">
        <f t="shared" si="12"/>
        <v>31544832.519999996</v>
      </c>
      <c r="Q48" s="2">
        <v>0</v>
      </c>
      <c r="R48" s="2">
        <v>0</v>
      </c>
      <c r="S48" s="2">
        <f t="shared" si="3"/>
        <v>0</v>
      </c>
      <c r="T48" s="2">
        <f t="shared" si="8"/>
        <v>2923572.47</v>
      </c>
      <c r="U48" s="171">
        <f t="shared" si="4"/>
        <v>3.5200000000000002E-2</v>
      </c>
      <c r="V48" s="5">
        <f t="shared" si="9"/>
        <v>8575.81</v>
      </c>
      <c r="W48" s="2">
        <f t="shared" si="14"/>
        <v>300160.42999999993</v>
      </c>
      <c r="X48" s="2">
        <f t="shared" si="5"/>
        <v>2623412.04</v>
      </c>
    </row>
    <row r="49" spans="1:24">
      <c r="A49" s="163">
        <v>202305</v>
      </c>
      <c r="B49" s="163">
        <v>36400</v>
      </c>
      <c r="C49" s="2">
        <v>0</v>
      </c>
      <c r="D49" s="2">
        <v>0</v>
      </c>
      <c r="E49" s="2">
        <v>0</v>
      </c>
      <c r="F49" s="2">
        <v>-646254.22</v>
      </c>
      <c r="G49" s="2">
        <v>0</v>
      </c>
      <c r="H49" s="2">
        <v>0</v>
      </c>
      <c r="I49" s="2">
        <v>0</v>
      </c>
      <c r="J49" s="2">
        <f t="shared" si="15"/>
        <v>-646254.22</v>
      </c>
      <c r="K49" s="2">
        <f t="shared" si="6"/>
        <v>33175217.799999997</v>
      </c>
      <c r="L49" s="171">
        <f t="shared" si="2"/>
        <v>3.5200000000000002E-2</v>
      </c>
      <c r="M49" s="5">
        <f t="shared" si="7"/>
        <v>99209.65</v>
      </c>
      <c r="N49" s="2">
        <f t="shared" si="13"/>
        <v>2375849.15</v>
      </c>
      <c r="O49" s="2">
        <f t="shared" si="12"/>
        <v>30799368.649999999</v>
      </c>
      <c r="Q49" s="2">
        <v>0</v>
      </c>
      <c r="R49" s="2">
        <v>0</v>
      </c>
      <c r="S49" s="2">
        <f t="shared" si="3"/>
        <v>0</v>
      </c>
      <c r="T49" s="2">
        <f t="shared" si="8"/>
        <v>2923572.47</v>
      </c>
      <c r="U49" s="171">
        <f t="shared" si="4"/>
        <v>3.5200000000000002E-2</v>
      </c>
      <c r="V49" s="5">
        <f t="shared" si="9"/>
        <v>8575.81</v>
      </c>
      <c r="W49" s="2">
        <f t="shared" si="14"/>
        <v>308736.23999999993</v>
      </c>
      <c r="X49" s="2">
        <f t="shared" si="5"/>
        <v>2614836.2300000004</v>
      </c>
    </row>
    <row r="50" spans="1:24">
      <c r="A50" s="163">
        <v>202306</v>
      </c>
      <c r="B50" s="163">
        <v>36400</v>
      </c>
      <c r="C50" s="2">
        <v>0</v>
      </c>
      <c r="D50" s="2">
        <v>0</v>
      </c>
      <c r="E50" s="2">
        <v>0</v>
      </c>
      <c r="F50" s="2">
        <v>978.53</v>
      </c>
      <c r="G50" s="2">
        <v>0</v>
      </c>
      <c r="H50" s="2">
        <v>0</v>
      </c>
      <c r="I50" s="2">
        <v>0</v>
      </c>
      <c r="J50" s="2">
        <f t="shared" si="15"/>
        <v>978.53</v>
      </c>
      <c r="K50" s="2">
        <f t="shared" si="6"/>
        <v>33176196.329999998</v>
      </c>
      <c r="L50" s="171">
        <f t="shared" si="2"/>
        <v>3.5200000000000002E-2</v>
      </c>
      <c r="M50" s="5">
        <f t="shared" si="7"/>
        <v>97313.97</v>
      </c>
      <c r="N50" s="2">
        <f t="shared" si="13"/>
        <v>2473163.12</v>
      </c>
      <c r="O50" s="2">
        <f t="shared" si="12"/>
        <v>30703033.209999997</v>
      </c>
      <c r="Q50" s="2">
        <v>0</v>
      </c>
      <c r="R50" s="2">
        <v>0</v>
      </c>
      <c r="S50" s="2">
        <f t="shared" si="3"/>
        <v>0</v>
      </c>
      <c r="T50" s="2">
        <f t="shared" si="8"/>
        <v>2923572.47</v>
      </c>
      <c r="U50" s="171">
        <f t="shared" si="4"/>
        <v>3.5200000000000002E-2</v>
      </c>
      <c r="V50" s="5">
        <f t="shared" si="9"/>
        <v>8575.81</v>
      </c>
      <c r="W50" s="2">
        <f t="shared" si="14"/>
        <v>317312.04999999993</v>
      </c>
      <c r="X50" s="2">
        <f t="shared" si="5"/>
        <v>2606260.4200000004</v>
      </c>
    </row>
    <row r="51" spans="1:24">
      <c r="A51" s="163">
        <v>202307</v>
      </c>
      <c r="B51" s="163">
        <v>36400</v>
      </c>
      <c r="C51" s="2">
        <v>0</v>
      </c>
      <c r="D51" s="2">
        <v>0</v>
      </c>
      <c r="E51" s="2">
        <v>0</v>
      </c>
      <c r="F51" s="2">
        <v>531.39</v>
      </c>
      <c r="G51" s="2">
        <v>0</v>
      </c>
      <c r="H51" s="2">
        <v>0</v>
      </c>
      <c r="I51" s="2">
        <v>0</v>
      </c>
      <c r="J51" s="2">
        <f t="shared" si="15"/>
        <v>531.39</v>
      </c>
      <c r="K51" s="2">
        <f t="shared" si="6"/>
        <v>33176727.719999999</v>
      </c>
      <c r="L51" s="171">
        <f t="shared" si="2"/>
        <v>3.5200000000000002E-2</v>
      </c>
      <c r="M51" s="5">
        <f t="shared" si="7"/>
        <v>97316.84</v>
      </c>
      <c r="N51" s="2">
        <f t="shared" si="13"/>
        <v>2570479.96</v>
      </c>
      <c r="O51" s="2">
        <f t="shared" si="12"/>
        <v>30606247.759999998</v>
      </c>
      <c r="Q51" s="2">
        <v>0</v>
      </c>
      <c r="R51" s="2">
        <v>0</v>
      </c>
      <c r="S51" s="2">
        <f t="shared" si="3"/>
        <v>0</v>
      </c>
      <c r="T51" s="2">
        <f t="shared" si="8"/>
        <v>2923572.47</v>
      </c>
      <c r="U51" s="171">
        <f t="shared" si="4"/>
        <v>3.5200000000000002E-2</v>
      </c>
      <c r="V51" s="5">
        <f t="shared" si="9"/>
        <v>8575.81</v>
      </c>
      <c r="W51" s="2">
        <f t="shared" si="14"/>
        <v>325887.85999999993</v>
      </c>
      <c r="X51" s="2">
        <f t="shared" si="5"/>
        <v>2597684.6100000003</v>
      </c>
    </row>
    <row r="52" spans="1:24">
      <c r="A52" s="163">
        <v>202308</v>
      </c>
      <c r="B52" s="163">
        <v>36400</v>
      </c>
      <c r="C52" s="2">
        <v>0</v>
      </c>
      <c r="D52" s="2">
        <v>0</v>
      </c>
      <c r="E52" s="2">
        <v>0</v>
      </c>
      <c r="F52" s="2">
        <v>358.56</v>
      </c>
      <c r="G52" s="2">
        <v>0</v>
      </c>
      <c r="H52" s="2">
        <v>0</v>
      </c>
      <c r="I52" s="2">
        <v>0</v>
      </c>
      <c r="J52" s="2">
        <f t="shared" si="15"/>
        <v>358.56</v>
      </c>
      <c r="K52" s="2">
        <f t="shared" si="6"/>
        <v>33177086.279999997</v>
      </c>
      <c r="L52" s="171">
        <f t="shared" si="2"/>
        <v>3.5200000000000002E-2</v>
      </c>
      <c r="M52" s="5">
        <f t="shared" si="7"/>
        <v>97318.399999999994</v>
      </c>
      <c r="N52" s="2">
        <f t="shared" si="13"/>
        <v>2667798.36</v>
      </c>
      <c r="O52" s="2">
        <f t="shared" si="12"/>
        <v>30509287.919999998</v>
      </c>
      <c r="Q52" s="2">
        <v>0</v>
      </c>
      <c r="R52" s="2">
        <v>0</v>
      </c>
      <c r="S52" s="2">
        <f t="shared" si="3"/>
        <v>0</v>
      </c>
      <c r="T52" s="2">
        <f t="shared" si="8"/>
        <v>2923572.47</v>
      </c>
      <c r="U52" s="171">
        <f t="shared" si="4"/>
        <v>3.5200000000000002E-2</v>
      </c>
      <c r="V52" s="5">
        <f t="shared" si="9"/>
        <v>8575.81</v>
      </c>
      <c r="W52" s="2">
        <f t="shared" si="14"/>
        <v>334463.66999999993</v>
      </c>
      <c r="X52" s="2">
        <f t="shared" si="5"/>
        <v>2589108.8000000003</v>
      </c>
    </row>
    <row r="53" spans="1:24">
      <c r="A53" s="163">
        <v>202309</v>
      </c>
      <c r="B53" s="163">
        <v>36400</v>
      </c>
      <c r="C53" s="2">
        <v>0</v>
      </c>
      <c r="D53" s="2">
        <v>0</v>
      </c>
      <c r="E53" s="2">
        <v>0</v>
      </c>
      <c r="F53" s="2">
        <v>-31608.48</v>
      </c>
      <c r="G53" s="2">
        <v>0</v>
      </c>
      <c r="H53" s="2">
        <v>0</v>
      </c>
      <c r="I53" s="2">
        <v>0</v>
      </c>
      <c r="J53" s="2">
        <f t="shared" si="15"/>
        <v>-31608.48</v>
      </c>
      <c r="K53" s="2">
        <f t="shared" si="6"/>
        <v>33145477.799999997</v>
      </c>
      <c r="L53" s="171">
        <f t="shared" si="2"/>
        <v>3.5200000000000002E-2</v>
      </c>
      <c r="M53" s="5">
        <f t="shared" si="7"/>
        <v>97319.45</v>
      </c>
      <c r="N53" s="2">
        <f t="shared" si="13"/>
        <v>2765117.81</v>
      </c>
      <c r="O53" s="2">
        <f t="shared" si="12"/>
        <v>30380359.989999998</v>
      </c>
      <c r="Q53" s="2">
        <v>0</v>
      </c>
      <c r="R53" s="2">
        <v>0</v>
      </c>
      <c r="S53" s="2">
        <f t="shared" si="3"/>
        <v>0</v>
      </c>
      <c r="T53" s="2">
        <f t="shared" si="8"/>
        <v>2923572.47</v>
      </c>
      <c r="U53" s="171">
        <f t="shared" si="4"/>
        <v>3.5200000000000002E-2</v>
      </c>
      <c r="V53" s="5">
        <f t="shared" si="9"/>
        <v>8575.81</v>
      </c>
      <c r="W53" s="2">
        <f t="shared" si="14"/>
        <v>343039.47999999992</v>
      </c>
      <c r="X53" s="2">
        <f t="shared" si="5"/>
        <v>2580532.9900000002</v>
      </c>
    </row>
    <row r="54" spans="1:24">
      <c r="A54" s="163">
        <v>202310</v>
      </c>
      <c r="B54" s="163">
        <v>36400</v>
      </c>
      <c r="C54" s="2">
        <v>0</v>
      </c>
      <c r="D54" s="2">
        <v>0</v>
      </c>
      <c r="E54" s="2">
        <v>0</v>
      </c>
      <c r="F54" s="2">
        <v>403.3</v>
      </c>
      <c r="G54" s="2">
        <v>0</v>
      </c>
      <c r="H54" s="2">
        <v>0</v>
      </c>
      <c r="I54" s="2">
        <v>0</v>
      </c>
      <c r="J54" s="2">
        <f t="shared" si="15"/>
        <v>403.3</v>
      </c>
      <c r="K54" s="2">
        <f t="shared" si="6"/>
        <v>33145881.099999998</v>
      </c>
      <c r="L54" s="171">
        <f t="shared" si="2"/>
        <v>3.5200000000000002E-2</v>
      </c>
      <c r="M54" s="5">
        <f t="shared" si="7"/>
        <v>97226.73</v>
      </c>
      <c r="N54" s="2">
        <f t="shared" si="13"/>
        <v>2862344.54</v>
      </c>
      <c r="O54" s="2">
        <f t="shared" si="12"/>
        <v>30283536.559999999</v>
      </c>
      <c r="Q54" s="2">
        <v>0</v>
      </c>
      <c r="R54" s="2">
        <v>0</v>
      </c>
      <c r="S54" s="2">
        <f t="shared" si="3"/>
        <v>0</v>
      </c>
      <c r="T54" s="2">
        <f t="shared" si="8"/>
        <v>2923572.47</v>
      </c>
      <c r="U54" s="171">
        <f t="shared" si="4"/>
        <v>3.5200000000000002E-2</v>
      </c>
      <c r="V54" s="5">
        <f t="shared" si="9"/>
        <v>8575.81</v>
      </c>
      <c r="W54" s="2">
        <f t="shared" si="14"/>
        <v>351615.28999999992</v>
      </c>
      <c r="X54" s="2">
        <f t="shared" si="5"/>
        <v>2571957.1800000002</v>
      </c>
    </row>
    <row r="55" spans="1:24">
      <c r="A55" s="163">
        <v>202311</v>
      </c>
      <c r="B55" s="163">
        <v>36400</v>
      </c>
      <c r="C55" s="2">
        <v>0</v>
      </c>
      <c r="D55" s="2">
        <v>0</v>
      </c>
      <c r="E55" s="2">
        <v>0</v>
      </c>
      <c r="F55" s="2">
        <v>667.18</v>
      </c>
      <c r="G55" s="2">
        <v>0</v>
      </c>
      <c r="H55" s="2">
        <v>0</v>
      </c>
      <c r="I55" s="2">
        <v>0</v>
      </c>
      <c r="J55" s="2">
        <f t="shared" si="15"/>
        <v>667.18</v>
      </c>
      <c r="K55" s="2">
        <f t="shared" si="6"/>
        <v>33146548.279999997</v>
      </c>
      <c r="L55" s="171">
        <f t="shared" si="2"/>
        <v>3.5200000000000002E-2</v>
      </c>
      <c r="M55" s="5">
        <f t="shared" si="7"/>
        <v>97227.92</v>
      </c>
      <c r="N55" s="2">
        <f t="shared" si="13"/>
        <v>2959572.46</v>
      </c>
      <c r="O55" s="2">
        <f t="shared" si="12"/>
        <v>30186975.819999997</v>
      </c>
      <c r="Q55" s="2">
        <v>0</v>
      </c>
      <c r="R55" s="2">
        <v>0</v>
      </c>
      <c r="S55" s="2">
        <f t="shared" si="3"/>
        <v>0</v>
      </c>
      <c r="T55" s="2">
        <f t="shared" si="8"/>
        <v>2923572.47</v>
      </c>
      <c r="U55" s="171">
        <f t="shared" si="4"/>
        <v>3.5200000000000002E-2</v>
      </c>
      <c r="V55" s="5">
        <f t="shared" si="9"/>
        <v>8575.81</v>
      </c>
      <c r="W55" s="2">
        <f t="shared" si="14"/>
        <v>360191.09999999992</v>
      </c>
      <c r="X55" s="2">
        <f t="shared" si="5"/>
        <v>2563381.37</v>
      </c>
    </row>
    <row r="56" spans="1:24">
      <c r="A56" s="163">
        <v>202312</v>
      </c>
      <c r="B56" s="163">
        <v>36400</v>
      </c>
      <c r="C56" s="2">
        <v>0</v>
      </c>
      <c r="D56" s="2">
        <v>0</v>
      </c>
      <c r="E56" s="2">
        <v>0</v>
      </c>
      <c r="F56" s="2">
        <v>914.52</v>
      </c>
      <c r="G56" s="2">
        <v>0</v>
      </c>
      <c r="H56" s="2">
        <v>0</v>
      </c>
      <c r="I56" s="2">
        <v>0</v>
      </c>
      <c r="J56" s="2">
        <f t="shared" si="15"/>
        <v>914.52</v>
      </c>
      <c r="K56" s="2">
        <f t="shared" si="6"/>
        <v>33147462.799999997</v>
      </c>
      <c r="L56" s="171">
        <f t="shared" si="2"/>
        <v>3.5200000000000002E-2</v>
      </c>
      <c r="M56" s="5">
        <f t="shared" si="7"/>
        <v>97229.87</v>
      </c>
      <c r="N56" s="2">
        <f t="shared" si="13"/>
        <v>3056802.33</v>
      </c>
      <c r="O56" s="2">
        <f t="shared" si="12"/>
        <v>30090660.469999999</v>
      </c>
      <c r="Q56" s="2">
        <v>0</v>
      </c>
      <c r="R56" s="2">
        <v>0</v>
      </c>
      <c r="S56" s="2">
        <f t="shared" si="3"/>
        <v>0</v>
      </c>
      <c r="T56" s="2">
        <f t="shared" si="8"/>
        <v>2923572.47</v>
      </c>
      <c r="U56" s="171">
        <f t="shared" si="4"/>
        <v>3.5200000000000002E-2</v>
      </c>
      <c r="V56" s="5">
        <f t="shared" si="9"/>
        <v>8575.81</v>
      </c>
      <c r="W56" s="2">
        <f t="shared" si="14"/>
        <v>368766.90999999992</v>
      </c>
      <c r="X56" s="2">
        <f t="shared" si="5"/>
        <v>2554805.5600000005</v>
      </c>
    </row>
    <row r="57" spans="1:24">
      <c r="A57" s="163">
        <v>202401</v>
      </c>
      <c r="B57" s="163">
        <v>36400</v>
      </c>
      <c r="C57" s="2">
        <v>0</v>
      </c>
      <c r="D57" s="2">
        <v>0</v>
      </c>
      <c r="E57" s="2">
        <v>0</v>
      </c>
      <c r="F57" s="2">
        <v>410.96</v>
      </c>
      <c r="G57" s="2">
        <v>6726022.79</v>
      </c>
      <c r="H57" s="2">
        <v>0</v>
      </c>
      <c r="I57" s="2">
        <v>0</v>
      </c>
      <c r="J57" s="2">
        <f t="shared" si="15"/>
        <v>6726433.75</v>
      </c>
      <c r="K57" s="2">
        <f t="shared" si="6"/>
        <v>39873896.549999997</v>
      </c>
      <c r="L57" s="171">
        <f t="shared" si="2"/>
        <v>3.5200000000000002E-2</v>
      </c>
      <c r="M57" s="5">
        <f t="shared" si="7"/>
        <v>97232.56</v>
      </c>
      <c r="N57" s="2">
        <f t="shared" si="13"/>
        <v>3154034.89</v>
      </c>
      <c r="O57" s="2">
        <f t="shared" si="12"/>
        <v>36719861.659999996</v>
      </c>
      <c r="Q57" s="2">
        <v>0</v>
      </c>
      <c r="R57" s="2">
        <v>0</v>
      </c>
      <c r="S57" s="2">
        <f t="shared" si="3"/>
        <v>0</v>
      </c>
      <c r="T57" s="2">
        <f t="shared" si="8"/>
        <v>2923572.47</v>
      </c>
      <c r="U57" s="171">
        <f t="shared" si="4"/>
        <v>3.5200000000000002E-2</v>
      </c>
      <c r="V57" s="5">
        <f t="shared" si="9"/>
        <v>8575.81</v>
      </c>
      <c r="W57" s="2">
        <f t="shared" si="14"/>
        <v>377342.71999999991</v>
      </c>
      <c r="X57" s="2">
        <f t="shared" si="5"/>
        <v>2546229.7500000005</v>
      </c>
    </row>
    <row r="58" spans="1:24">
      <c r="A58" s="163">
        <v>202402</v>
      </c>
      <c r="B58" s="163">
        <v>36400</v>
      </c>
      <c r="C58" s="2">
        <v>0</v>
      </c>
      <c r="D58" s="2">
        <v>0</v>
      </c>
      <c r="E58" s="2">
        <v>0</v>
      </c>
      <c r="F58" s="2">
        <v>606.16999999999996</v>
      </c>
      <c r="G58" s="2">
        <v>47404.82</v>
      </c>
      <c r="H58" s="2">
        <v>755709.8</v>
      </c>
      <c r="I58" s="2">
        <v>0</v>
      </c>
      <c r="J58" s="2">
        <f t="shared" si="15"/>
        <v>803720.79</v>
      </c>
      <c r="K58" s="2">
        <f t="shared" si="6"/>
        <v>40677617.339999996</v>
      </c>
      <c r="L58" s="171">
        <f t="shared" si="2"/>
        <v>3.5200000000000002E-2</v>
      </c>
      <c r="M58" s="5">
        <f t="shared" si="7"/>
        <v>116963.43</v>
      </c>
      <c r="N58" s="2">
        <f t="shared" si="13"/>
        <v>3270998.3200000003</v>
      </c>
      <c r="O58" s="2">
        <f t="shared" si="12"/>
        <v>37406619.019999996</v>
      </c>
      <c r="Q58" s="2">
        <v>0</v>
      </c>
      <c r="R58" s="2">
        <v>0</v>
      </c>
      <c r="S58" s="2">
        <f t="shared" si="3"/>
        <v>0</v>
      </c>
      <c r="T58" s="2">
        <f t="shared" si="8"/>
        <v>2923572.47</v>
      </c>
      <c r="U58" s="171">
        <f t="shared" si="4"/>
        <v>3.5200000000000002E-2</v>
      </c>
      <c r="V58" s="5">
        <f t="shared" si="9"/>
        <v>8575.81</v>
      </c>
      <c r="W58" s="2">
        <f t="shared" si="14"/>
        <v>385918.52999999991</v>
      </c>
      <c r="X58" s="2">
        <f t="shared" si="5"/>
        <v>2537653.9400000004</v>
      </c>
    </row>
    <row r="59" spans="1:24">
      <c r="A59" s="163">
        <v>202403</v>
      </c>
      <c r="B59" s="163">
        <v>36400</v>
      </c>
      <c r="C59" s="2">
        <v>0</v>
      </c>
      <c r="D59" s="2">
        <v>0</v>
      </c>
      <c r="E59" s="2">
        <v>0</v>
      </c>
      <c r="F59" s="2">
        <v>621.13</v>
      </c>
      <c r="G59" s="2">
        <v>-30654.57</v>
      </c>
      <c r="H59" s="2">
        <v>145626.01999999999</v>
      </c>
      <c r="I59" s="2">
        <v>0</v>
      </c>
      <c r="J59" s="2">
        <f t="shared" si="15"/>
        <v>115592.57999999999</v>
      </c>
      <c r="K59" s="2">
        <f t="shared" si="6"/>
        <v>40793209.919999994</v>
      </c>
      <c r="L59" s="171">
        <f t="shared" si="2"/>
        <v>3.5200000000000002E-2</v>
      </c>
      <c r="M59" s="5">
        <f t="shared" si="7"/>
        <v>119321.01</v>
      </c>
      <c r="N59" s="2">
        <f t="shared" si="13"/>
        <v>3390319.33</v>
      </c>
      <c r="O59" s="2">
        <f t="shared" si="12"/>
        <v>37402890.589999996</v>
      </c>
      <c r="Q59" s="2">
        <v>0</v>
      </c>
      <c r="R59" s="2">
        <v>0</v>
      </c>
      <c r="S59" s="2">
        <f t="shared" si="3"/>
        <v>0</v>
      </c>
      <c r="T59" s="2">
        <f t="shared" si="8"/>
        <v>2923572.47</v>
      </c>
      <c r="U59" s="171">
        <f t="shared" si="4"/>
        <v>3.5200000000000002E-2</v>
      </c>
      <c r="V59" s="5">
        <f t="shared" si="9"/>
        <v>8575.81</v>
      </c>
      <c r="W59" s="2">
        <f t="shared" si="14"/>
        <v>394494.33999999991</v>
      </c>
      <c r="X59" s="2">
        <f t="shared" si="5"/>
        <v>2529078.1300000004</v>
      </c>
    </row>
    <row r="60" spans="1:24">
      <c r="A60" s="163">
        <v>202404</v>
      </c>
      <c r="B60" s="163">
        <v>36400</v>
      </c>
      <c r="C60" s="2">
        <v>0</v>
      </c>
      <c r="D60" s="2">
        <v>0</v>
      </c>
      <c r="E60" s="2">
        <v>0</v>
      </c>
      <c r="F60" s="2">
        <v>570.4</v>
      </c>
      <c r="G60" s="2">
        <v>-32552.23</v>
      </c>
      <c r="H60" s="2">
        <v>-13302.83</v>
      </c>
      <c r="I60" s="2">
        <v>0</v>
      </c>
      <c r="J60" s="2">
        <f t="shared" si="15"/>
        <v>-45284.659999999996</v>
      </c>
      <c r="K60" s="2">
        <f t="shared" si="6"/>
        <v>40747925.259999998</v>
      </c>
      <c r="L60" s="171">
        <f t="shared" si="2"/>
        <v>3.5200000000000002E-2</v>
      </c>
      <c r="M60" s="5">
        <f t="shared" si="7"/>
        <v>119660.08</v>
      </c>
      <c r="N60" s="2">
        <f t="shared" si="13"/>
        <v>3509979.41</v>
      </c>
      <c r="O60" s="2">
        <f t="shared" si="12"/>
        <v>37237945.849999994</v>
      </c>
      <c r="Q60" s="2">
        <v>0</v>
      </c>
      <c r="R60" s="2">
        <v>0</v>
      </c>
      <c r="S60" s="2">
        <f t="shared" si="3"/>
        <v>0</v>
      </c>
      <c r="T60" s="2">
        <f t="shared" si="8"/>
        <v>2923572.47</v>
      </c>
      <c r="U60" s="171">
        <f t="shared" si="4"/>
        <v>3.5200000000000002E-2</v>
      </c>
      <c r="V60" s="5">
        <f t="shared" si="9"/>
        <v>8575.81</v>
      </c>
      <c r="W60" s="2">
        <f t="shared" si="14"/>
        <v>403070.14999999991</v>
      </c>
      <c r="X60" s="2">
        <f t="shared" si="5"/>
        <v>2520502.3200000003</v>
      </c>
    </row>
    <row r="61" spans="1:24">
      <c r="A61" s="163">
        <v>202405</v>
      </c>
      <c r="B61" s="163">
        <v>36400</v>
      </c>
      <c r="C61" s="2">
        <v>0</v>
      </c>
      <c r="D61" s="2">
        <v>0</v>
      </c>
      <c r="E61" s="2">
        <v>0</v>
      </c>
      <c r="F61" s="2">
        <v>835.19</v>
      </c>
      <c r="G61" s="2">
        <v>56864.9</v>
      </c>
      <c r="H61" s="2">
        <v>226015.99</v>
      </c>
      <c r="I61" s="2">
        <v>0</v>
      </c>
      <c r="J61" s="2">
        <f t="shared" si="15"/>
        <v>283716.08</v>
      </c>
      <c r="K61" s="2">
        <f t="shared" si="6"/>
        <v>41031641.339999996</v>
      </c>
      <c r="L61" s="171">
        <f t="shared" si="2"/>
        <v>3.5200000000000002E-2</v>
      </c>
      <c r="M61" s="5">
        <f t="shared" si="7"/>
        <v>119527.25</v>
      </c>
      <c r="N61" s="2">
        <f t="shared" si="13"/>
        <v>3629506.66</v>
      </c>
      <c r="O61" s="2">
        <f t="shared" si="12"/>
        <v>37402134.679999992</v>
      </c>
      <c r="Q61" s="2">
        <v>0</v>
      </c>
      <c r="R61" s="2">
        <v>0</v>
      </c>
      <c r="S61" s="2">
        <f t="shared" si="3"/>
        <v>0</v>
      </c>
      <c r="T61" s="2">
        <f t="shared" si="8"/>
        <v>2923572.47</v>
      </c>
      <c r="U61" s="171">
        <f t="shared" si="4"/>
        <v>3.5200000000000002E-2</v>
      </c>
      <c r="V61" s="5">
        <f t="shared" si="9"/>
        <v>8575.81</v>
      </c>
      <c r="W61" s="2">
        <f t="shared" si="14"/>
        <v>411645.9599999999</v>
      </c>
      <c r="X61" s="2">
        <f t="shared" si="5"/>
        <v>2511926.5100000002</v>
      </c>
    </row>
    <row r="62" spans="1:24">
      <c r="A62" s="163">
        <v>202406</v>
      </c>
      <c r="B62" s="163">
        <v>36400</v>
      </c>
      <c r="C62" s="2">
        <v>0</v>
      </c>
      <c r="D62" s="2">
        <v>0</v>
      </c>
      <c r="E62" s="2">
        <v>0</v>
      </c>
      <c r="F62" s="2">
        <v>664.4</v>
      </c>
      <c r="G62" s="2">
        <v>-50998.45</v>
      </c>
      <c r="H62" s="2">
        <v>353400.36</v>
      </c>
      <c r="I62" s="2">
        <v>0</v>
      </c>
      <c r="J62" s="2">
        <f t="shared" si="15"/>
        <v>303066.31</v>
      </c>
      <c r="K62" s="2">
        <f t="shared" si="6"/>
        <v>41334707.649999999</v>
      </c>
      <c r="L62" s="171">
        <f t="shared" si="2"/>
        <v>3.5200000000000002E-2</v>
      </c>
      <c r="M62" s="5">
        <f t="shared" si="7"/>
        <v>120359.48</v>
      </c>
      <c r="N62" s="2">
        <f t="shared" si="13"/>
        <v>3749866.14</v>
      </c>
      <c r="O62" s="2">
        <f t="shared" si="12"/>
        <v>37584841.509999998</v>
      </c>
      <c r="Q62" s="2">
        <v>0</v>
      </c>
      <c r="R62" s="2">
        <v>0</v>
      </c>
      <c r="S62" s="2">
        <f t="shared" si="3"/>
        <v>0</v>
      </c>
      <c r="T62" s="2">
        <f t="shared" si="8"/>
        <v>2923572.47</v>
      </c>
      <c r="U62" s="171">
        <f t="shared" si="4"/>
        <v>3.5200000000000002E-2</v>
      </c>
      <c r="V62" s="5">
        <f t="shared" si="9"/>
        <v>8575.81</v>
      </c>
      <c r="W62" s="2">
        <f t="shared" si="14"/>
        <v>420221.7699999999</v>
      </c>
      <c r="X62" s="2">
        <f t="shared" si="5"/>
        <v>2503350.7000000002</v>
      </c>
    </row>
    <row r="63" spans="1:24">
      <c r="A63" s="163">
        <v>202407</v>
      </c>
      <c r="B63" s="163">
        <v>36400</v>
      </c>
      <c r="C63" s="2">
        <v>0</v>
      </c>
      <c r="D63" s="2">
        <v>0</v>
      </c>
      <c r="E63" s="2">
        <v>0</v>
      </c>
      <c r="F63" s="2">
        <v>0</v>
      </c>
      <c r="G63" s="2">
        <v>-604.6</v>
      </c>
      <c r="H63" s="2">
        <v>260421.33</v>
      </c>
      <c r="I63" s="2">
        <v>0</v>
      </c>
      <c r="J63" s="2">
        <f t="shared" si="15"/>
        <v>259816.72999999998</v>
      </c>
      <c r="K63" s="2">
        <f t="shared" si="6"/>
        <v>41594524.379999995</v>
      </c>
      <c r="L63" s="171">
        <f t="shared" si="2"/>
        <v>3.5200000000000002E-2</v>
      </c>
      <c r="M63" s="5">
        <f t="shared" si="7"/>
        <v>121248.48</v>
      </c>
      <c r="N63" s="2">
        <f t="shared" si="13"/>
        <v>3871114.62</v>
      </c>
      <c r="O63" s="2">
        <f t="shared" si="12"/>
        <v>37723409.759999998</v>
      </c>
      <c r="Q63" s="2">
        <v>0</v>
      </c>
      <c r="R63" s="2">
        <v>0</v>
      </c>
      <c r="S63" s="2">
        <f t="shared" si="3"/>
        <v>0</v>
      </c>
      <c r="T63" s="2">
        <f t="shared" si="8"/>
        <v>2923572.47</v>
      </c>
      <c r="U63" s="171">
        <f t="shared" si="4"/>
        <v>3.5200000000000002E-2</v>
      </c>
      <c r="V63" s="5">
        <f t="shared" si="9"/>
        <v>8575.81</v>
      </c>
      <c r="W63" s="2">
        <f t="shared" si="14"/>
        <v>428797.5799999999</v>
      </c>
      <c r="X63" s="2">
        <f t="shared" si="5"/>
        <v>2494774.89</v>
      </c>
    </row>
    <row r="64" spans="1:24">
      <c r="A64" s="163">
        <v>202408</v>
      </c>
      <c r="B64" s="163">
        <v>36400</v>
      </c>
      <c r="C64" s="2">
        <v>0</v>
      </c>
      <c r="D64" s="2">
        <v>0</v>
      </c>
      <c r="E64" s="2">
        <v>0</v>
      </c>
      <c r="F64" s="2">
        <v>0</v>
      </c>
      <c r="G64" s="2">
        <v>18344.349999999999</v>
      </c>
      <c r="H64" s="2">
        <v>474290.94</v>
      </c>
      <c r="I64" s="2">
        <v>0</v>
      </c>
      <c r="J64" s="2">
        <f t="shared" si="15"/>
        <v>492635.29</v>
      </c>
      <c r="K64" s="2">
        <f t="shared" si="6"/>
        <v>42087159.669999994</v>
      </c>
      <c r="L64" s="171">
        <f t="shared" si="2"/>
        <v>3.5200000000000002E-2</v>
      </c>
      <c r="M64" s="5">
        <f t="shared" si="7"/>
        <v>122010.6</v>
      </c>
      <c r="N64" s="2">
        <f t="shared" si="13"/>
        <v>3993125.22</v>
      </c>
      <c r="O64" s="2">
        <f t="shared" si="12"/>
        <v>38094034.449999996</v>
      </c>
      <c r="Q64" s="2">
        <v>0</v>
      </c>
      <c r="R64" s="2">
        <v>0</v>
      </c>
      <c r="S64" s="2">
        <f t="shared" si="3"/>
        <v>0</v>
      </c>
      <c r="T64" s="2">
        <f t="shared" si="8"/>
        <v>2923572.47</v>
      </c>
      <c r="U64" s="171">
        <f t="shared" si="4"/>
        <v>3.5200000000000002E-2</v>
      </c>
      <c r="V64" s="5">
        <f t="shared" si="9"/>
        <v>8575.81</v>
      </c>
      <c r="W64" s="2">
        <f t="shared" si="14"/>
        <v>437373.3899999999</v>
      </c>
      <c r="X64" s="2">
        <f t="shared" si="5"/>
        <v>2486199.08</v>
      </c>
    </row>
    <row r="65" spans="1:24">
      <c r="A65" s="163">
        <v>202409</v>
      </c>
      <c r="B65" s="163">
        <v>36400</v>
      </c>
      <c r="C65" s="2">
        <v>0</v>
      </c>
      <c r="D65" s="2">
        <v>0</v>
      </c>
      <c r="E65" s="2">
        <v>0</v>
      </c>
      <c r="F65" s="2">
        <v>0</v>
      </c>
      <c r="G65" s="2">
        <v>-17491.009999999998</v>
      </c>
      <c r="H65" s="2">
        <v>458345.43</v>
      </c>
      <c r="I65" s="2">
        <v>0</v>
      </c>
      <c r="J65" s="2">
        <f t="shared" si="15"/>
        <v>440854.42</v>
      </c>
      <c r="K65" s="2">
        <f t="shared" si="6"/>
        <v>42528014.089999996</v>
      </c>
      <c r="L65" s="171">
        <f t="shared" si="2"/>
        <v>3.5200000000000002E-2</v>
      </c>
      <c r="M65" s="5">
        <f t="shared" si="7"/>
        <v>123455.67</v>
      </c>
      <c r="N65" s="2">
        <f t="shared" si="13"/>
        <v>4116580.89</v>
      </c>
      <c r="O65" s="2">
        <f t="shared" si="12"/>
        <v>38411433.199999996</v>
      </c>
      <c r="Q65" s="2">
        <v>0</v>
      </c>
      <c r="R65" s="2">
        <v>0</v>
      </c>
      <c r="S65" s="2">
        <f t="shared" si="3"/>
        <v>0</v>
      </c>
      <c r="T65" s="2">
        <f t="shared" si="8"/>
        <v>2923572.47</v>
      </c>
      <c r="U65" s="171">
        <f t="shared" si="4"/>
        <v>3.5200000000000002E-2</v>
      </c>
      <c r="V65" s="5">
        <f t="shared" si="9"/>
        <v>8575.81</v>
      </c>
      <c r="W65" s="2">
        <f t="shared" si="14"/>
        <v>445949.1999999999</v>
      </c>
      <c r="X65" s="2">
        <f t="shared" si="5"/>
        <v>2477623.2700000005</v>
      </c>
    </row>
    <row r="66" spans="1:24">
      <c r="A66" s="163">
        <v>202410</v>
      </c>
      <c r="B66" s="163">
        <v>36400</v>
      </c>
      <c r="C66" s="2">
        <v>0</v>
      </c>
      <c r="D66" s="2">
        <v>0</v>
      </c>
      <c r="E66" s="2">
        <v>0</v>
      </c>
      <c r="F66" s="2">
        <v>0</v>
      </c>
      <c r="G66" s="2">
        <v>0</v>
      </c>
      <c r="H66" s="2">
        <v>676259.48</v>
      </c>
      <c r="I66" s="2">
        <v>0</v>
      </c>
      <c r="J66" s="2">
        <f t="shared" si="15"/>
        <v>676259.48</v>
      </c>
      <c r="K66" s="2">
        <f t="shared" si="6"/>
        <v>43204273.569999993</v>
      </c>
      <c r="L66" s="171">
        <f t="shared" si="2"/>
        <v>3.5200000000000002E-2</v>
      </c>
      <c r="M66" s="5">
        <f t="shared" si="7"/>
        <v>124748.84</v>
      </c>
      <c r="N66" s="2">
        <f t="shared" si="13"/>
        <v>4241329.7300000004</v>
      </c>
      <c r="O66" s="2">
        <f t="shared" si="12"/>
        <v>38962943.839999989</v>
      </c>
      <c r="Q66" s="2">
        <v>0</v>
      </c>
      <c r="R66" s="2">
        <v>0</v>
      </c>
      <c r="S66" s="2">
        <f t="shared" si="3"/>
        <v>0</v>
      </c>
      <c r="T66" s="2">
        <f t="shared" si="8"/>
        <v>2923572.47</v>
      </c>
      <c r="U66" s="171">
        <f t="shared" si="4"/>
        <v>3.5200000000000002E-2</v>
      </c>
      <c r="V66" s="5">
        <f t="shared" si="9"/>
        <v>8575.81</v>
      </c>
      <c r="W66" s="2">
        <f t="shared" si="14"/>
        <v>454525.00999999989</v>
      </c>
      <c r="X66" s="2">
        <f t="shared" si="5"/>
        <v>2469047.4600000004</v>
      </c>
    </row>
    <row r="67" spans="1:24">
      <c r="A67" s="163">
        <v>202411</v>
      </c>
      <c r="B67" s="163">
        <v>36400</v>
      </c>
      <c r="C67" s="2">
        <v>0</v>
      </c>
      <c r="D67" s="2">
        <v>0</v>
      </c>
      <c r="E67" s="2">
        <v>0</v>
      </c>
      <c r="F67" s="2">
        <v>0</v>
      </c>
      <c r="G67" s="2">
        <v>1524.28</v>
      </c>
      <c r="H67" s="2">
        <v>798132</v>
      </c>
      <c r="I67" s="2">
        <v>0</v>
      </c>
      <c r="J67" s="2">
        <f t="shared" si="15"/>
        <v>799656.28</v>
      </c>
      <c r="K67" s="2">
        <f t="shared" si="6"/>
        <v>44003929.849999994</v>
      </c>
      <c r="L67" s="171">
        <f t="shared" si="2"/>
        <v>3.5200000000000002E-2</v>
      </c>
      <c r="M67" s="5">
        <f t="shared" si="7"/>
        <v>126732.54</v>
      </c>
      <c r="N67" s="2">
        <f t="shared" si="13"/>
        <v>4368062.2700000005</v>
      </c>
      <c r="O67" s="2">
        <f t="shared" si="12"/>
        <v>39635867.579999991</v>
      </c>
      <c r="Q67" s="2">
        <v>0</v>
      </c>
      <c r="R67" s="2">
        <v>0</v>
      </c>
      <c r="S67" s="2">
        <f t="shared" si="3"/>
        <v>0</v>
      </c>
      <c r="T67" s="2">
        <f t="shared" si="8"/>
        <v>2923572.47</v>
      </c>
      <c r="U67" s="171">
        <f t="shared" si="4"/>
        <v>3.5200000000000002E-2</v>
      </c>
      <c r="V67" s="5">
        <f t="shared" si="9"/>
        <v>8575.81</v>
      </c>
      <c r="W67" s="2">
        <f t="shared" si="14"/>
        <v>463100.81999999989</v>
      </c>
      <c r="X67" s="2">
        <f t="shared" si="5"/>
        <v>2460471.6500000004</v>
      </c>
    </row>
    <row r="68" spans="1:24">
      <c r="A68" s="163">
        <v>202412</v>
      </c>
      <c r="B68" s="163">
        <v>36400</v>
      </c>
      <c r="C68" s="2">
        <v>0</v>
      </c>
      <c r="D68" s="2">
        <v>0</v>
      </c>
      <c r="E68" s="2">
        <v>0</v>
      </c>
      <c r="F68" s="2">
        <v>0</v>
      </c>
      <c r="G68" s="2">
        <v>20737.14</v>
      </c>
      <c r="H68" s="2">
        <v>454041.07</v>
      </c>
      <c r="I68" s="2">
        <v>0</v>
      </c>
      <c r="J68" s="2">
        <f t="shared" ref="J68:J82" si="16">SUM(C68:I68)</f>
        <v>474778.21</v>
      </c>
      <c r="K68" s="2">
        <f t="shared" si="6"/>
        <v>44478708.059999995</v>
      </c>
      <c r="L68" s="171">
        <f t="shared" si="2"/>
        <v>3.5200000000000002E-2</v>
      </c>
      <c r="M68" s="5">
        <f t="shared" si="7"/>
        <v>129078.19</v>
      </c>
      <c r="N68" s="2">
        <f t="shared" si="13"/>
        <v>4497140.4600000009</v>
      </c>
      <c r="O68" s="2">
        <f t="shared" si="12"/>
        <v>39981567.599999994</v>
      </c>
      <c r="Q68" s="2">
        <v>0</v>
      </c>
      <c r="R68" s="2">
        <v>0</v>
      </c>
      <c r="S68" s="2">
        <f t="shared" si="3"/>
        <v>0</v>
      </c>
      <c r="T68" s="2">
        <f t="shared" si="8"/>
        <v>2923572.47</v>
      </c>
      <c r="U68" s="171">
        <f t="shared" si="4"/>
        <v>3.5200000000000002E-2</v>
      </c>
      <c r="V68" s="5">
        <f t="shared" si="9"/>
        <v>8575.81</v>
      </c>
      <c r="W68" s="2">
        <f t="shared" si="14"/>
        <v>471676.62999999989</v>
      </c>
      <c r="X68" s="2">
        <f t="shared" si="5"/>
        <v>2451895.8400000003</v>
      </c>
    </row>
    <row r="69" spans="1:24">
      <c r="A69" s="163">
        <v>202501</v>
      </c>
      <c r="B69" s="163">
        <v>36400</v>
      </c>
      <c r="C69" s="2">
        <v>0</v>
      </c>
      <c r="D69" s="2">
        <v>0</v>
      </c>
      <c r="E69" s="2">
        <v>0</v>
      </c>
      <c r="F69" s="2">
        <v>0</v>
      </c>
      <c r="G69" s="2">
        <v>-17587.72</v>
      </c>
      <c r="H69" s="2">
        <v>142135.57</v>
      </c>
      <c r="I69" s="2">
        <v>0</v>
      </c>
      <c r="J69" s="2">
        <f t="shared" si="16"/>
        <v>124547.85</v>
      </c>
      <c r="K69" s="2">
        <f t="shared" si="6"/>
        <v>44603255.909999996</v>
      </c>
      <c r="L69" s="171">
        <f t="shared" ref="L69:L80" si="17">3.52%</f>
        <v>3.5200000000000002E-2</v>
      </c>
      <c r="M69" s="5">
        <f t="shared" si="7"/>
        <v>130470.88</v>
      </c>
      <c r="N69" s="2">
        <f t="shared" si="13"/>
        <v>4627611.3400000008</v>
      </c>
      <c r="O69" s="2">
        <f t="shared" si="12"/>
        <v>39975644.569999993</v>
      </c>
      <c r="Q69" s="2">
        <v>0</v>
      </c>
      <c r="R69" s="2">
        <v>0</v>
      </c>
      <c r="S69" s="2">
        <f t="shared" ref="S69:S82" si="18">SUM(Q69:R69)</f>
        <v>0</v>
      </c>
      <c r="T69" s="2">
        <f t="shared" si="8"/>
        <v>2923572.47</v>
      </c>
      <c r="U69" s="171">
        <f t="shared" ref="U69:U80" si="19">3.52%</f>
        <v>3.5200000000000002E-2</v>
      </c>
      <c r="V69" s="5">
        <f t="shared" si="9"/>
        <v>8575.81</v>
      </c>
      <c r="W69" s="2">
        <f t="shared" si="14"/>
        <v>480252.43999999989</v>
      </c>
      <c r="X69" s="2">
        <f t="shared" ref="X69:X82" si="20">T69-W69</f>
        <v>2443320.0300000003</v>
      </c>
    </row>
    <row r="70" spans="1:24">
      <c r="A70" s="163">
        <v>202502</v>
      </c>
      <c r="B70" s="163">
        <v>36400</v>
      </c>
      <c r="C70" s="2">
        <v>0</v>
      </c>
      <c r="D70" s="2">
        <v>0</v>
      </c>
      <c r="E70" s="2">
        <v>0</v>
      </c>
      <c r="F70" s="2">
        <v>0</v>
      </c>
      <c r="G70" s="2">
        <v>0</v>
      </c>
      <c r="H70" s="2">
        <v>-114184.17</v>
      </c>
      <c r="I70" s="2">
        <v>0</v>
      </c>
      <c r="J70" s="2">
        <f t="shared" si="16"/>
        <v>-114184.17</v>
      </c>
      <c r="K70" s="2">
        <f t="shared" ref="K70:K82" si="21">K69+J70</f>
        <v>44489071.739999995</v>
      </c>
      <c r="L70" s="171">
        <f t="shared" si="17"/>
        <v>3.5200000000000002E-2</v>
      </c>
      <c r="M70" s="5">
        <f t="shared" ref="M70:M82" si="22">ROUND(((L70*K69)/12),2)</f>
        <v>130836.22</v>
      </c>
      <c r="N70" s="2">
        <f t="shared" si="13"/>
        <v>4758447.5600000005</v>
      </c>
      <c r="O70" s="2">
        <f t="shared" si="12"/>
        <v>39730624.179999992</v>
      </c>
      <c r="Q70" s="2">
        <v>0</v>
      </c>
      <c r="R70" s="2">
        <v>0</v>
      </c>
      <c r="S70" s="2">
        <f t="shared" si="18"/>
        <v>0</v>
      </c>
      <c r="T70" s="2">
        <f t="shared" ref="T70:T82" si="23">T69+S70</f>
        <v>2923572.47</v>
      </c>
      <c r="U70" s="171">
        <f t="shared" si="19"/>
        <v>3.5200000000000002E-2</v>
      </c>
      <c r="V70" s="5">
        <f t="shared" ref="V70:V82" si="24">ROUND(((U70*T69)/12),2)</f>
        <v>8575.81</v>
      </c>
      <c r="W70" s="2">
        <f t="shared" si="14"/>
        <v>488828.24999999988</v>
      </c>
      <c r="X70" s="2">
        <f t="shared" si="20"/>
        <v>2434744.2200000002</v>
      </c>
    </row>
    <row r="71" spans="1:24">
      <c r="A71" s="163">
        <v>202503</v>
      </c>
      <c r="B71" s="163">
        <v>36400</v>
      </c>
      <c r="C71" s="2">
        <v>0</v>
      </c>
      <c r="D71" s="2">
        <v>0</v>
      </c>
      <c r="E71" s="2">
        <v>0</v>
      </c>
      <c r="F71" s="2">
        <v>0</v>
      </c>
      <c r="G71" s="2">
        <v>5899.17</v>
      </c>
      <c r="H71" s="2">
        <v>67685.37</v>
      </c>
      <c r="I71" s="2">
        <v>0</v>
      </c>
      <c r="J71" s="2">
        <f t="shared" si="16"/>
        <v>73584.539999999994</v>
      </c>
      <c r="K71" s="2">
        <f t="shared" si="21"/>
        <v>44562656.279999994</v>
      </c>
      <c r="L71" s="171">
        <f t="shared" si="17"/>
        <v>3.5200000000000002E-2</v>
      </c>
      <c r="M71" s="5">
        <f t="shared" si="22"/>
        <v>130501.28</v>
      </c>
      <c r="N71" s="2">
        <f t="shared" si="13"/>
        <v>4888948.8400000008</v>
      </c>
      <c r="O71" s="2">
        <f t="shared" si="12"/>
        <v>39673707.43999999</v>
      </c>
      <c r="Q71" s="2">
        <v>0</v>
      </c>
      <c r="R71" s="2">
        <v>0</v>
      </c>
      <c r="S71" s="2">
        <f t="shared" si="18"/>
        <v>0</v>
      </c>
      <c r="T71" s="2">
        <f t="shared" si="23"/>
        <v>2923572.47</v>
      </c>
      <c r="U71" s="171">
        <f t="shared" si="19"/>
        <v>3.5200000000000002E-2</v>
      </c>
      <c r="V71" s="5">
        <f t="shared" si="24"/>
        <v>8575.81</v>
      </c>
      <c r="W71" s="2">
        <f t="shared" si="14"/>
        <v>497404.05999999988</v>
      </c>
      <c r="X71" s="2">
        <f t="shared" si="20"/>
        <v>2426168.41</v>
      </c>
    </row>
    <row r="72" spans="1:24">
      <c r="A72" s="163">
        <v>202504</v>
      </c>
      <c r="B72" s="163">
        <v>36400</v>
      </c>
      <c r="C72" s="2">
        <v>0</v>
      </c>
      <c r="D72" s="2">
        <v>0</v>
      </c>
      <c r="E72" s="2">
        <v>0</v>
      </c>
      <c r="F72" s="2">
        <v>0</v>
      </c>
      <c r="G72" s="2">
        <v>-5899.17</v>
      </c>
      <c r="H72" s="2">
        <v>-45108.01</v>
      </c>
      <c r="I72" s="2">
        <v>0</v>
      </c>
      <c r="J72" s="2">
        <f t="shared" si="16"/>
        <v>-51007.18</v>
      </c>
      <c r="K72" s="2">
        <f t="shared" si="21"/>
        <v>44511649.099999994</v>
      </c>
      <c r="L72" s="171">
        <f t="shared" si="17"/>
        <v>3.5200000000000002E-2</v>
      </c>
      <c r="M72" s="5">
        <f t="shared" si="22"/>
        <v>130717.13</v>
      </c>
      <c r="N72" s="2">
        <f t="shared" si="13"/>
        <v>5019665.9700000007</v>
      </c>
      <c r="O72" s="2">
        <f t="shared" si="12"/>
        <v>39491983.129999995</v>
      </c>
      <c r="Q72" s="2">
        <v>0</v>
      </c>
      <c r="R72" s="2">
        <v>0</v>
      </c>
      <c r="S72" s="2">
        <f t="shared" si="18"/>
        <v>0</v>
      </c>
      <c r="T72" s="2">
        <f t="shared" si="23"/>
        <v>2923572.47</v>
      </c>
      <c r="U72" s="171">
        <f t="shared" si="19"/>
        <v>3.5200000000000002E-2</v>
      </c>
      <c r="V72" s="5">
        <f t="shared" si="24"/>
        <v>8575.81</v>
      </c>
      <c r="W72" s="2">
        <f t="shared" si="14"/>
        <v>505979.86999999988</v>
      </c>
      <c r="X72" s="2">
        <f t="shared" si="20"/>
        <v>2417592.6000000006</v>
      </c>
    </row>
    <row r="73" spans="1:24">
      <c r="A73" s="163">
        <v>202505</v>
      </c>
      <c r="B73" s="163">
        <v>36400</v>
      </c>
      <c r="C73" s="2">
        <v>0</v>
      </c>
      <c r="D73" s="2">
        <v>0</v>
      </c>
      <c r="E73" s="2">
        <v>0</v>
      </c>
      <c r="F73" s="2">
        <v>0</v>
      </c>
      <c r="G73" s="2">
        <v>10654.4</v>
      </c>
      <c r="H73" s="2">
        <v>3840</v>
      </c>
      <c r="I73" s="2">
        <v>0</v>
      </c>
      <c r="J73" s="2">
        <f t="shared" si="16"/>
        <v>14494.4</v>
      </c>
      <c r="K73" s="2">
        <f t="shared" si="21"/>
        <v>44526143.499999993</v>
      </c>
      <c r="L73" s="171">
        <f t="shared" si="17"/>
        <v>3.5200000000000002E-2</v>
      </c>
      <c r="M73" s="5">
        <f t="shared" si="22"/>
        <v>130567.5</v>
      </c>
      <c r="N73" s="2">
        <f t="shared" si="13"/>
        <v>5150233.4700000007</v>
      </c>
      <c r="O73" s="2">
        <f t="shared" si="12"/>
        <v>39375910.029999994</v>
      </c>
      <c r="Q73" s="2">
        <v>0</v>
      </c>
      <c r="R73" s="2">
        <v>0</v>
      </c>
      <c r="S73" s="2">
        <f t="shared" si="18"/>
        <v>0</v>
      </c>
      <c r="T73" s="2">
        <f t="shared" si="23"/>
        <v>2923572.47</v>
      </c>
      <c r="U73" s="171">
        <f t="shared" si="19"/>
        <v>3.5200000000000002E-2</v>
      </c>
      <c r="V73" s="5">
        <f t="shared" si="24"/>
        <v>8575.81</v>
      </c>
      <c r="W73" s="2">
        <f t="shared" si="14"/>
        <v>514555.67999999988</v>
      </c>
      <c r="X73" s="2">
        <f t="shared" si="20"/>
        <v>2409016.7900000005</v>
      </c>
    </row>
    <row r="74" spans="1:24">
      <c r="A74" s="163">
        <v>202506</v>
      </c>
      <c r="B74" s="163">
        <v>36400</v>
      </c>
      <c r="C74" s="2">
        <v>0</v>
      </c>
      <c r="D74" s="2">
        <v>0</v>
      </c>
      <c r="E74" s="2">
        <v>0</v>
      </c>
      <c r="F74" s="2">
        <v>0</v>
      </c>
      <c r="G74" s="2">
        <v>-8471.4500000000007</v>
      </c>
      <c r="H74" s="2">
        <v>4657.96</v>
      </c>
      <c r="I74" s="2">
        <v>0</v>
      </c>
      <c r="J74" s="2">
        <f t="shared" si="16"/>
        <v>-3813.4900000000007</v>
      </c>
      <c r="K74" s="2">
        <f t="shared" si="21"/>
        <v>44522330.00999999</v>
      </c>
      <c r="L74" s="171">
        <f t="shared" si="17"/>
        <v>3.5200000000000002E-2</v>
      </c>
      <c r="M74" s="5">
        <f t="shared" si="22"/>
        <v>130610.02</v>
      </c>
      <c r="N74" s="2">
        <f t="shared" si="13"/>
        <v>5280843.49</v>
      </c>
      <c r="O74" s="2">
        <f t="shared" si="12"/>
        <v>39241486.519999988</v>
      </c>
      <c r="Q74" s="2">
        <v>0</v>
      </c>
      <c r="R74" s="2">
        <v>0</v>
      </c>
      <c r="S74" s="2">
        <f t="shared" si="18"/>
        <v>0</v>
      </c>
      <c r="T74" s="2">
        <f t="shared" si="23"/>
        <v>2923572.47</v>
      </c>
      <c r="U74" s="171">
        <f t="shared" si="19"/>
        <v>3.5200000000000002E-2</v>
      </c>
      <c r="V74" s="5">
        <f t="shared" si="24"/>
        <v>8575.81</v>
      </c>
      <c r="W74" s="2">
        <f t="shared" si="14"/>
        <v>523131.48999999987</v>
      </c>
      <c r="X74" s="2">
        <f t="shared" si="20"/>
        <v>2400440.9800000004</v>
      </c>
    </row>
    <row r="75" spans="1:24">
      <c r="A75" s="163">
        <v>202507</v>
      </c>
      <c r="B75" s="163">
        <v>36400</v>
      </c>
      <c r="C75" s="2">
        <v>0</v>
      </c>
      <c r="D75" s="2">
        <v>0</v>
      </c>
      <c r="E75" s="2">
        <v>0</v>
      </c>
      <c r="F75" s="2">
        <v>0</v>
      </c>
      <c r="G75" s="2">
        <v>1544.7</v>
      </c>
      <c r="H75" s="2">
        <v>7916.56</v>
      </c>
      <c r="I75" s="2">
        <v>0</v>
      </c>
      <c r="J75" s="2">
        <f t="shared" si="16"/>
        <v>9461.26</v>
      </c>
      <c r="K75" s="2">
        <f t="shared" si="21"/>
        <v>44531791.269999988</v>
      </c>
      <c r="L75" s="171">
        <f t="shared" si="17"/>
        <v>3.5200000000000002E-2</v>
      </c>
      <c r="M75" s="5">
        <f t="shared" si="22"/>
        <v>130598.83</v>
      </c>
      <c r="N75" s="2">
        <f t="shared" si="13"/>
        <v>5411442.3200000003</v>
      </c>
      <c r="O75" s="2">
        <f t="shared" si="12"/>
        <v>39120348.949999988</v>
      </c>
      <c r="Q75" s="2">
        <v>0</v>
      </c>
      <c r="R75" s="2">
        <v>0</v>
      </c>
      <c r="S75" s="2">
        <f t="shared" si="18"/>
        <v>0</v>
      </c>
      <c r="T75" s="2">
        <f t="shared" si="23"/>
        <v>2923572.47</v>
      </c>
      <c r="U75" s="171">
        <f t="shared" si="19"/>
        <v>3.5200000000000002E-2</v>
      </c>
      <c r="V75" s="5">
        <f t="shared" si="24"/>
        <v>8575.81</v>
      </c>
      <c r="W75" s="2">
        <f t="shared" si="14"/>
        <v>531707.29999999993</v>
      </c>
      <c r="X75" s="2">
        <f t="shared" si="20"/>
        <v>2391865.1700000004</v>
      </c>
    </row>
    <row r="76" spans="1:24">
      <c r="A76" s="163">
        <v>202508</v>
      </c>
      <c r="B76" s="163">
        <v>36400</v>
      </c>
      <c r="C76" s="2">
        <v>0</v>
      </c>
      <c r="D76" s="2">
        <v>0</v>
      </c>
      <c r="E76" s="2">
        <v>0</v>
      </c>
      <c r="F76" s="2">
        <v>0</v>
      </c>
      <c r="G76" s="2">
        <v>-1544.7</v>
      </c>
      <c r="H76" s="2">
        <v>7833.24</v>
      </c>
      <c r="I76" s="2">
        <v>0</v>
      </c>
      <c r="J76" s="2">
        <f t="shared" si="16"/>
        <v>6288.54</v>
      </c>
      <c r="K76" s="2">
        <f t="shared" si="21"/>
        <v>44538079.809999987</v>
      </c>
      <c r="L76" s="171">
        <f t="shared" si="17"/>
        <v>3.5200000000000002E-2</v>
      </c>
      <c r="M76" s="5">
        <f t="shared" si="22"/>
        <v>130626.59</v>
      </c>
      <c r="N76" s="2">
        <f t="shared" si="13"/>
        <v>5542068.9100000001</v>
      </c>
      <c r="O76" s="2">
        <f t="shared" ref="O76:O82" si="25">K76-N76</f>
        <v>38996010.899999991</v>
      </c>
      <c r="Q76" s="2">
        <v>0</v>
      </c>
      <c r="R76" s="2">
        <v>0</v>
      </c>
      <c r="S76" s="2">
        <f t="shared" si="18"/>
        <v>0</v>
      </c>
      <c r="T76" s="2">
        <f t="shared" si="23"/>
        <v>2923572.47</v>
      </c>
      <c r="U76" s="171">
        <f t="shared" si="19"/>
        <v>3.5200000000000002E-2</v>
      </c>
      <c r="V76" s="5">
        <f t="shared" si="24"/>
        <v>8575.81</v>
      </c>
      <c r="W76" s="2">
        <f t="shared" si="14"/>
        <v>540283.11</v>
      </c>
      <c r="X76" s="2">
        <f t="shared" si="20"/>
        <v>2383289.3600000003</v>
      </c>
    </row>
    <row r="77" spans="1:24">
      <c r="A77" s="163">
        <v>202509</v>
      </c>
      <c r="B77" s="163">
        <v>36400</v>
      </c>
      <c r="C77" s="2">
        <v>0</v>
      </c>
      <c r="D77" s="2">
        <v>0</v>
      </c>
      <c r="E77" s="2">
        <v>0</v>
      </c>
      <c r="F77" s="2">
        <v>0</v>
      </c>
      <c r="G77" s="2">
        <v>0</v>
      </c>
      <c r="H77" s="2">
        <v>-4598.5200000000004</v>
      </c>
      <c r="I77" s="2">
        <v>0</v>
      </c>
      <c r="J77" s="2">
        <f t="shared" si="16"/>
        <v>-4598.5200000000004</v>
      </c>
      <c r="K77" s="2">
        <f t="shared" si="21"/>
        <v>44533481.289999984</v>
      </c>
      <c r="L77" s="171">
        <f t="shared" si="17"/>
        <v>3.5200000000000002E-2</v>
      </c>
      <c r="M77" s="5">
        <f t="shared" si="22"/>
        <v>130645.03</v>
      </c>
      <c r="N77" s="2">
        <f t="shared" ref="N77:N82" si="26">M77+N76</f>
        <v>5672713.9400000004</v>
      </c>
      <c r="O77" s="2">
        <f t="shared" si="25"/>
        <v>38860767.349999987</v>
      </c>
      <c r="Q77" s="2">
        <v>0</v>
      </c>
      <c r="R77" s="2">
        <v>0</v>
      </c>
      <c r="S77" s="2">
        <f t="shared" si="18"/>
        <v>0</v>
      </c>
      <c r="T77" s="2">
        <f t="shared" si="23"/>
        <v>2923572.47</v>
      </c>
      <c r="U77" s="171">
        <f t="shared" si="19"/>
        <v>3.5200000000000002E-2</v>
      </c>
      <c r="V77" s="5">
        <f t="shared" si="24"/>
        <v>8575.81</v>
      </c>
      <c r="W77" s="2">
        <f t="shared" ref="W77:W82" si="27">V77+W76</f>
        <v>548858.92000000004</v>
      </c>
      <c r="X77" s="2">
        <f t="shared" si="20"/>
        <v>2374713.5500000003</v>
      </c>
    </row>
    <row r="78" spans="1:24">
      <c r="A78" s="163">
        <v>202510</v>
      </c>
      <c r="B78" s="163">
        <v>36400</v>
      </c>
      <c r="C78" s="2">
        <v>0</v>
      </c>
      <c r="D78" s="2">
        <v>0</v>
      </c>
      <c r="E78" s="2">
        <v>0</v>
      </c>
      <c r="F78" s="2">
        <v>0</v>
      </c>
      <c r="G78" s="2">
        <v>0</v>
      </c>
      <c r="H78" s="2">
        <v>3000.6</v>
      </c>
      <c r="I78" s="2">
        <v>0</v>
      </c>
      <c r="J78" s="2">
        <f t="shared" si="16"/>
        <v>3000.6</v>
      </c>
      <c r="K78" s="2">
        <f t="shared" si="21"/>
        <v>44536481.889999986</v>
      </c>
      <c r="L78" s="171">
        <f t="shared" si="17"/>
        <v>3.5200000000000002E-2</v>
      </c>
      <c r="M78" s="5">
        <f t="shared" si="22"/>
        <v>130631.55</v>
      </c>
      <c r="N78" s="2">
        <f t="shared" si="26"/>
        <v>5803345.4900000002</v>
      </c>
      <c r="O78" s="2">
        <f t="shared" si="25"/>
        <v>38733136.399999984</v>
      </c>
      <c r="Q78" s="2">
        <v>0</v>
      </c>
      <c r="R78" s="2">
        <v>0</v>
      </c>
      <c r="S78" s="2">
        <f t="shared" si="18"/>
        <v>0</v>
      </c>
      <c r="T78" s="2">
        <f t="shared" si="23"/>
        <v>2923572.47</v>
      </c>
      <c r="U78" s="171">
        <f t="shared" si="19"/>
        <v>3.5200000000000002E-2</v>
      </c>
      <c r="V78" s="5">
        <f t="shared" si="24"/>
        <v>8575.81</v>
      </c>
      <c r="W78" s="2">
        <f t="shared" si="27"/>
        <v>557434.7300000001</v>
      </c>
      <c r="X78" s="2">
        <f t="shared" si="20"/>
        <v>2366137.7400000002</v>
      </c>
    </row>
    <row r="79" spans="1:24">
      <c r="A79" s="163">
        <v>202511</v>
      </c>
      <c r="B79" s="163">
        <v>36400</v>
      </c>
      <c r="C79" s="2">
        <v>0</v>
      </c>
      <c r="D79" s="2">
        <v>0</v>
      </c>
      <c r="E79" s="2">
        <v>0</v>
      </c>
      <c r="F79" s="2">
        <v>0</v>
      </c>
      <c r="G79" s="2">
        <v>1727.7</v>
      </c>
      <c r="H79" s="2">
        <v>3607.1</v>
      </c>
      <c r="I79" s="2">
        <v>0</v>
      </c>
      <c r="J79" s="2">
        <f t="shared" si="16"/>
        <v>5334.8</v>
      </c>
      <c r="K79" s="2">
        <f t="shared" si="21"/>
        <v>44541816.689999983</v>
      </c>
      <c r="L79" s="171">
        <f t="shared" si="17"/>
        <v>3.5200000000000002E-2</v>
      </c>
      <c r="M79" s="5">
        <f t="shared" si="22"/>
        <v>130640.35</v>
      </c>
      <c r="N79" s="2">
        <f t="shared" si="26"/>
        <v>5933985.8399999999</v>
      </c>
      <c r="O79" s="2">
        <f t="shared" si="25"/>
        <v>38607830.849999979</v>
      </c>
      <c r="Q79" s="2">
        <v>0</v>
      </c>
      <c r="R79" s="2">
        <v>0</v>
      </c>
      <c r="S79" s="2">
        <f t="shared" si="18"/>
        <v>0</v>
      </c>
      <c r="T79" s="2">
        <f t="shared" si="23"/>
        <v>2923572.47</v>
      </c>
      <c r="U79" s="171">
        <f t="shared" si="19"/>
        <v>3.5200000000000002E-2</v>
      </c>
      <c r="V79" s="5">
        <f t="shared" si="24"/>
        <v>8575.81</v>
      </c>
      <c r="W79" s="2">
        <f t="shared" si="27"/>
        <v>566010.54000000015</v>
      </c>
      <c r="X79" s="2">
        <f t="shared" si="20"/>
        <v>2357561.9300000002</v>
      </c>
    </row>
    <row r="80" spans="1:24">
      <c r="A80" s="163">
        <v>202512</v>
      </c>
      <c r="B80" s="163">
        <v>36400</v>
      </c>
      <c r="C80" s="2">
        <v>0</v>
      </c>
      <c r="D80" s="2">
        <v>0</v>
      </c>
      <c r="E80" s="2">
        <v>0</v>
      </c>
      <c r="F80" s="2">
        <v>0</v>
      </c>
      <c r="G80" s="2">
        <v>0</v>
      </c>
      <c r="H80" s="2">
        <v>1336.3</v>
      </c>
      <c r="I80" s="2">
        <v>18157875.41</v>
      </c>
      <c r="J80" s="2">
        <f t="shared" si="16"/>
        <v>18159211.710000001</v>
      </c>
      <c r="K80" s="2">
        <f t="shared" si="21"/>
        <v>62701028.399999984</v>
      </c>
      <c r="L80" s="171">
        <f t="shared" si="17"/>
        <v>3.5200000000000002E-2</v>
      </c>
      <c r="M80" s="5">
        <f t="shared" si="22"/>
        <v>130656</v>
      </c>
      <c r="N80" s="2">
        <f t="shared" si="26"/>
        <v>6064641.8399999999</v>
      </c>
      <c r="O80" s="2">
        <f t="shared" si="25"/>
        <v>56636386.559999987</v>
      </c>
      <c r="Q80" s="2">
        <v>0</v>
      </c>
      <c r="R80" s="2">
        <v>0</v>
      </c>
      <c r="S80" s="2">
        <f t="shared" si="18"/>
        <v>0</v>
      </c>
      <c r="T80" s="2">
        <f t="shared" si="23"/>
        <v>2923572.47</v>
      </c>
      <c r="U80" s="171">
        <f t="shared" si="19"/>
        <v>3.5200000000000002E-2</v>
      </c>
      <c r="V80" s="5">
        <f t="shared" si="24"/>
        <v>8575.81</v>
      </c>
      <c r="W80" s="2">
        <f t="shared" si="27"/>
        <v>574586.35000000021</v>
      </c>
      <c r="X80" s="2">
        <f t="shared" si="20"/>
        <v>2348986.12</v>
      </c>
    </row>
    <row r="81" spans="1:24">
      <c r="A81" s="163">
        <v>202601</v>
      </c>
      <c r="B81" s="163">
        <v>36400</v>
      </c>
      <c r="C81" s="2">
        <v>0</v>
      </c>
      <c r="D81" s="2">
        <v>0</v>
      </c>
      <c r="E81" s="2">
        <v>0</v>
      </c>
      <c r="F81" s="2">
        <v>0</v>
      </c>
      <c r="G81" s="2">
        <v>47.3</v>
      </c>
      <c r="H81" s="2">
        <v>1664</v>
      </c>
      <c r="I81" s="2">
        <v>215578</v>
      </c>
      <c r="J81" s="2">
        <f t="shared" si="16"/>
        <v>217289.3</v>
      </c>
      <c r="K81" s="2">
        <f t="shared" si="21"/>
        <v>62918317.699999981</v>
      </c>
      <c r="L81" s="171">
        <f>3.52%</f>
        <v>3.5200000000000002E-2</v>
      </c>
      <c r="M81" s="5">
        <f t="shared" si="22"/>
        <v>183923.02</v>
      </c>
      <c r="N81" s="2">
        <f t="shared" si="26"/>
        <v>6248564.8599999994</v>
      </c>
      <c r="O81" s="2">
        <f t="shared" si="25"/>
        <v>56669752.839999981</v>
      </c>
      <c r="Q81" s="2">
        <v>0</v>
      </c>
      <c r="R81" s="2">
        <v>0</v>
      </c>
      <c r="S81" s="2">
        <f t="shared" si="18"/>
        <v>0</v>
      </c>
      <c r="T81" s="2">
        <f t="shared" si="23"/>
        <v>2923572.47</v>
      </c>
      <c r="U81" s="171">
        <f>3.52%</f>
        <v>3.5200000000000002E-2</v>
      </c>
      <c r="V81" s="5">
        <f t="shared" si="24"/>
        <v>8575.81</v>
      </c>
      <c r="W81" s="2">
        <f t="shared" si="27"/>
        <v>583162.16000000027</v>
      </c>
      <c r="X81" s="2">
        <f t="shared" si="20"/>
        <v>2340410.31</v>
      </c>
    </row>
    <row r="82" spans="1:24">
      <c r="A82" s="163">
        <v>202602</v>
      </c>
      <c r="B82" s="163">
        <v>36400</v>
      </c>
      <c r="C82" s="2">
        <v>0</v>
      </c>
      <c r="D82" s="2">
        <v>0</v>
      </c>
      <c r="E82" s="2">
        <v>0</v>
      </c>
      <c r="F82" s="2">
        <v>0</v>
      </c>
      <c r="G82" s="2">
        <v>-591.9</v>
      </c>
      <c r="H82" s="2">
        <v>2560</v>
      </c>
      <c r="I82" s="2">
        <v>13415.64</v>
      </c>
      <c r="J82" s="2">
        <f t="shared" si="16"/>
        <v>15383.74</v>
      </c>
      <c r="K82" s="2">
        <f t="shared" si="21"/>
        <v>62933701.439999983</v>
      </c>
      <c r="L82" s="171">
        <f>3.52%</f>
        <v>3.5200000000000002E-2</v>
      </c>
      <c r="M82" s="5">
        <f t="shared" si="22"/>
        <v>184560.4</v>
      </c>
      <c r="N82" s="2">
        <f t="shared" si="26"/>
        <v>6433125.2599999998</v>
      </c>
      <c r="O82" s="2">
        <f t="shared" si="25"/>
        <v>56500576.179999985</v>
      </c>
      <c r="Q82" s="2">
        <v>0</v>
      </c>
      <c r="R82" s="2">
        <v>0</v>
      </c>
      <c r="S82" s="2">
        <f t="shared" si="18"/>
        <v>0</v>
      </c>
      <c r="T82" s="2">
        <f t="shared" si="23"/>
        <v>2923572.47</v>
      </c>
      <c r="U82" s="171">
        <f>3.52%</f>
        <v>3.5200000000000002E-2</v>
      </c>
      <c r="V82" s="5">
        <f t="shared" si="24"/>
        <v>8575.81</v>
      </c>
      <c r="W82" s="2">
        <f t="shared" si="27"/>
        <v>591737.97000000032</v>
      </c>
      <c r="X82" s="2">
        <f t="shared" si="20"/>
        <v>2331834.5</v>
      </c>
    </row>
    <row r="83" spans="1:24">
      <c r="A83" s="163"/>
      <c r="B83" s="163"/>
      <c r="C83" s="2"/>
      <c r="D83" s="2"/>
      <c r="E83" s="2"/>
      <c r="F83" s="2"/>
      <c r="G83" s="2"/>
      <c r="H83" s="2"/>
      <c r="I83" s="2"/>
      <c r="J83" s="2"/>
      <c r="K83" s="2"/>
      <c r="L83" s="171"/>
      <c r="M83" s="5"/>
      <c r="N83" s="2"/>
      <c r="Q83" s="163"/>
      <c r="R83" s="2"/>
      <c r="S83" s="2"/>
      <c r="T83" s="2"/>
      <c r="U83" s="171"/>
      <c r="V83" s="5"/>
      <c r="W83" s="2"/>
    </row>
    <row r="84" spans="1:24">
      <c r="A84" s="172" t="s">
        <v>830</v>
      </c>
      <c r="B84" s="172"/>
      <c r="C84" s="2">
        <f>SUM(C4:C82)</f>
        <v>4341.1499999999996</v>
      </c>
      <c r="D84" s="2">
        <f t="shared" ref="D84:J84" si="28">SUM(D4:D82)</f>
        <v>12136663.91</v>
      </c>
      <c r="E84" s="2">
        <f t="shared" si="28"/>
        <v>7553853.1299999999</v>
      </c>
      <c r="F84" s="2">
        <f t="shared" si="28"/>
        <v>13456312.860000003</v>
      </c>
      <c r="G84" s="2">
        <f t="shared" si="28"/>
        <v>6724375.75</v>
      </c>
      <c r="H84" s="2">
        <f t="shared" si="28"/>
        <v>4671285.59</v>
      </c>
      <c r="I84" s="2">
        <f t="shared" si="28"/>
        <v>18386869.050000001</v>
      </c>
      <c r="J84" s="173">
        <f t="shared" si="28"/>
        <v>62933701.439999983</v>
      </c>
      <c r="M84" s="173"/>
      <c r="O84" s="173"/>
      <c r="P84" s="173"/>
      <c r="Q84" s="2">
        <f t="shared" ref="Q84:S84" si="29">SUM(Q4:Q82)</f>
        <v>0</v>
      </c>
      <c r="R84" s="2">
        <f>SUM(R4:R82)</f>
        <v>2923572.47</v>
      </c>
      <c r="S84" s="173">
        <f t="shared" si="29"/>
        <v>2923572.47</v>
      </c>
      <c r="V84" s="173"/>
      <c r="X84" s="173"/>
    </row>
    <row r="87" spans="1:24">
      <c r="A87" s="174" t="s">
        <v>831</v>
      </c>
      <c r="B87" s="174"/>
      <c r="C87" s="174"/>
      <c r="D87" s="174"/>
      <c r="E87" s="174"/>
      <c r="F87" s="174"/>
      <c r="G87" s="174"/>
      <c r="H87" s="174"/>
      <c r="I87" s="174"/>
      <c r="J87" s="174"/>
      <c r="K87" s="174"/>
      <c r="L87" s="174"/>
      <c r="M87" s="174"/>
      <c r="N87" s="174"/>
      <c r="O87" s="174"/>
      <c r="P87" s="169"/>
      <c r="Q87" s="174"/>
      <c r="R87" s="174"/>
      <c r="S87" s="174"/>
      <c r="T87" s="174"/>
      <c r="U87" s="174"/>
      <c r="V87" s="174"/>
      <c r="W87" s="174"/>
      <c r="X87" s="174"/>
    </row>
    <row r="88" spans="1:24">
      <c r="A88" s="163">
        <v>201803</v>
      </c>
      <c r="B88" s="163">
        <v>36500</v>
      </c>
      <c r="C88" s="2">
        <v>0</v>
      </c>
      <c r="D88" s="2">
        <v>0</v>
      </c>
      <c r="E88" s="2">
        <v>0</v>
      </c>
      <c r="F88" s="2">
        <v>0</v>
      </c>
      <c r="G88" s="2">
        <v>0</v>
      </c>
      <c r="H88" s="2">
        <v>0</v>
      </c>
      <c r="I88" s="2">
        <v>0</v>
      </c>
      <c r="J88" s="2">
        <f t="shared" ref="J88:J119" si="30">SUM(C88:I88)</f>
        <v>0</v>
      </c>
      <c r="K88" s="2">
        <f>J88</f>
        <v>0</v>
      </c>
      <c r="L88" s="171">
        <f>3.52%</f>
        <v>3.5200000000000002E-2</v>
      </c>
      <c r="M88" s="1">
        <v>0</v>
      </c>
      <c r="N88" s="2">
        <f>M88</f>
        <v>0</v>
      </c>
      <c r="O88" s="2">
        <f t="shared" ref="O88:O151" si="31">K88-N88</f>
        <v>0</v>
      </c>
      <c r="P88" s="169"/>
      <c r="Q88" s="175">
        <v>802438.52</v>
      </c>
      <c r="R88" s="2">
        <v>0</v>
      </c>
      <c r="S88" s="2">
        <f t="shared" ref="S88:S151" si="32">SUM(Q88:R88)</f>
        <v>802438.52</v>
      </c>
      <c r="T88" s="2">
        <f>S88</f>
        <v>802438.52</v>
      </c>
      <c r="U88" s="171">
        <f>3.52%</f>
        <v>3.5200000000000002E-2</v>
      </c>
      <c r="V88" s="5">
        <v>0</v>
      </c>
      <c r="W88" s="2">
        <f>V88</f>
        <v>0</v>
      </c>
      <c r="X88" s="2">
        <f t="shared" ref="X88:X151" si="33">T88-W88</f>
        <v>802438.52</v>
      </c>
    </row>
    <row r="89" spans="1:24">
      <c r="A89" s="163">
        <v>201804</v>
      </c>
      <c r="B89" s="163">
        <v>36500</v>
      </c>
      <c r="C89" s="2">
        <v>0</v>
      </c>
      <c r="D89" s="2">
        <v>0</v>
      </c>
      <c r="E89" s="2">
        <v>0</v>
      </c>
      <c r="F89" s="2">
        <v>0</v>
      </c>
      <c r="G89" s="2">
        <v>0</v>
      </c>
      <c r="H89" s="2">
        <v>0</v>
      </c>
      <c r="I89" s="2">
        <v>0</v>
      </c>
      <c r="J89" s="2">
        <f t="shared" si="30"/>
        <v>0</v>
      </c>
      <c r="K89" s="2">
        <f>K88+J89</f>
        <v>0</v>
      </c>
      <c r="L89" s="171">
        <f t="shared" ref="L89:L101" si="34">3.52%</f>
        <v>3.5200000000000002E-2</v>
      </c>
      <c r="M89" s="1">
        <f>ROUND(((L89*K88)/12),2)</f>
        <v>0</v>
      </c>
      <c r="N89" s="2">
        <f>M89+N88</f>
        <v>0</v>
      </c>
      <c r="O89" s="2">
        <f t="shared" si="31"/>
        <v>0</v>
      </c>
      <c r="P89" s="169"/>
      <c r="Q89" s="175">
        <v>159643.56</v>
      </c>
      <c r="R89" s="2">
        <v>0</v>
      </c>
      <c r="S89" s="2">
        <f t="shared" si="32"/>
        <v>159643.56</v>
      </c>
      <c r="T89" s="2">
        <f>T88+S89</f>
        <v>962082.08000000007</v>
      </c>
      <c r="U89" s="171">
        <f t="shared" ref="U89:U152" si="35">3.52%</f>
        <v>3.5200000000000002E-2</v>
      </c>
      <c r="V89" s="5">
        <f>ROUND(((U89*T88)/12),2)</f>
        <v>2353.8200000000002</v>
      </c>
      <c r="W89" s="2">
        <f>V89+W88</f>
        <v>2353.8200000000002</v>
      </c>
      <c r="X89" s="2">
        <f t="shared" si="33"/>
        <v>959728.26000000013</v>
      </c>
    </row>
    <row r="90" spans="1:24">
      <c r="A90" s="163">
        <v>201805</v>
      </c>
      <c r="B90" s="163">
        <v>36500</v>
      </c>
      <c r="C90" s="2">
        <v>0</v>
      </c>
      <c r="D90" s="2">
        <v>0</v>
      </c>
      <c r="E90" s="2">
        <v>0</v>
      </c>
      <c r="F90" s="2">
        <v>0</v>
      </c>
      <c r="G90" s="2">
        <v>0</v>
      </c>
      <c r="H90" s="2">
        <v>0</v>
      </c>
      <c r="I90" s="2">
        <v>0</v>
      </c>
      <c r="J90" s="2">
        <f t="shared" si="30"/>
        <v>0</v>
      </c>
      <c r="K90" s="2">
        <f t="shared" ref="K90:K153" si="36">K89+J90</f>
        <v>0</v>
      </c>
      <c r="L90" s="171">
        <f t="shared" si="34"/>
        <v>3.5200000000000002E-2</v>
      </c>
      <c r="M90" s="1">
        <f t="shared" ref="M90:M153" si="37">ROUND(((L90*K89)/12),2)</f>
        <v>0</v>
      </c>
      <c r="N90" s="2">
        <f t="shared" ref="N90:N153" si="38">M90+N89</f>
        <v>0</v>
      </c>
      <c r="O90" s="2">
        <f t="shared" si="31"/>
        <v>0</v>
      </c>
      <c r="P90" s="169"/>
      <c r="Q90" s="175">
        <v>301546.87</v>
      </c>
      <c r="R90" s="2">
        <v>0</v>
      </c>
      <c r="S90" s="2">
        <f t="shared" si="32"/>
        <v>301546.87</v>
      </c>
      <c r="T90" s="2">
        <f t="shared" ref="T90:T153" si="39">T89+S90</f>
        <v>1263628.9500000002</v>
      </c>
      <c r="U90" s="171">
        <f t="shared" si="35"/>
        <v>3.5200000000000002E-2</v>
      </c>
      <c r="V90" s="5">
        <f t="shared" ref="V90:V153" si="40">ROUND(((U90*T89)/12),2)</f>
        <v>2822.11</v>
      </c>
      <c r="W90" s="2">
        <f>V90+W89</f>
        <v>5175.93</v>
      </c>
      <c r="X90" s="2">
        <f t="shared" si="33"/>
        <v>1258453.0200000003</v>
      </c>
    </row>
    <row r="91" spans="1:24">
      <c r="A91" s="163">
        <v>201806</v>
      </c>
      <c r="B91" s="163">
        <v>36500</v>
      </c>
      <c r="C91" s="2">
        <v>0</v>
      </c>
      <c r="D91" s="2">
        <v>0</v>
      </c>
      <c r="E91" s="2">
        <v>0</v>
      </c>
      <c r="F91" s="2">
        <v>0</v>
      </c>
      <c r="G91" s="2">
        <v>0</v>
      </c>
      <c r="H91" s="2">
        <v>0</v>
      </c>
      <c r="I91" s="2">
        <v>0</v>
      </c>
      <c r="J91" s="2">
        <f t="shared" si="30"/>
        <v>0</v>
      </c>
      <c r="K91" s="2">
        <f t="shared" si="36"/>
        <v>0</v>
      </c>
      <c r="L91" s="171">
        <f t="shared" si="34"/>
        <v>3.5200000000000002E-2</v>
      </c>
      <c r="M91" s="1">
        <f t="shared" si="37"/>
        <v>0</v>
      </c>
      <c r="N91" s="2">
        <f t="shared" si="38"/>
        <v>0</v>
      </c>
      <c r="O91" s="2">
        <f t="shared" si="31"/>
        <v>0</v>
      </c>
      <c r="P91" s="169"/>
      <c r="Q91" s="175">
        <v>186398.46</v>
      </c>
      <c r="R91" s="2">
        <v>0</v>
      </c>
      <c r="S91" s="2">
        <f t="shared" si="32"/>
        <v>186398.46</v>
      </c>
      <c r="T91" s="2">
        <f t="shared" si="39"/>
        <v>1450027.4100000001</v>
      </c>
      <c r="U91" s="171">
        <f t="shared" si="35"/>
        <v>3.5200000000000002E-2</v>
      </c>
      <c r="V91" s="5">
        <f t="shared" si="40"/>
        <v>3706.64</v>
      </c>
      <c r="W91" s="2">
        <f t="shared" ref="W91:W154" si="41">V91+W90</f>
        <v>8882.57</v>
      </c>
      <c r="X91" s="2">
        <f t="shared" si="33"/>
        <v>1441144.84</v>
      </c>
    </row>
    <row r="92" spans="1:24">
      <c r="A92" s="163">
        <v>201807</v>
      </c>
      <c r="B92" s="163">
        <v>36500</v>
      </c>
      <c r="C92" s="2">
        <v>0</v>
      </c>
      <c r="D92" s="2">
        <v>0</v>
      </c>
      <c r="E92" s="2">
        <v>0</v>
      </c>
      <c r="F92" s="2">
        <v>0</v>
      </c>
      <c r="G92" s="2">
        <v>0</v>
      </c>
      <c r="H92" s="2">
        <v>0</v>
      </c>
      <c r="I92" s="2">
        <v>0</v>
      </c>
      <c r="J92" s="2">
        <f t="shared" si="30"/>
        <v>0</v>
      </c>
      <c r="K92" s="2">
        <f t="shared" si="36"/>
        <v>0</v>
      </c>
      <c r="L92" s="171">
        <f t="shared" si="34"/>
        <v>3.5200000000000002E-2</v>
      </c>
      <c r="M92" s="1">
        <f t="shared" si="37"/>
        <v>0</v>
      </c>
      <c r="N92" s="2">
        <f t="shared" si="38"/>
        <v>0</v>
      </c>
      <c r="O92" s="2">
        <f t="shared" si="31"/>
        <v>0</v>
      </c>
      <c r="P92" s="169"/>
      <c r="Q92" s="175">
        <v>254307.01</v>
      </c>
      <c r="R92" s="2">
        <v>0</v>
      </c>
      <c r="S92" s="2">
        <f t="shared" si="32"/>
        <v>254307.01</v>
      </c>
      <c r="T92" s="2">
        <f t="shared" si="39"/>
        <v>1704334.4200000002</v>
      </c>
      <c r="U92" s="171">
        <f t="shared" si="35"/>
        <v>3.5200000000000002E-2</v>
      </c>
      <c r="V92" s="5">
        <f t="shared" si="40"/>
        <v>4253.41</v>
      </c>
      <c r="W92" s="2">
        <f t="shared" si="41"/>
        <v>13135.98</v>
      </c>
      <c r="X92" s="2">
        <f t="shared" si="33"/>
        <v>1691198.4400000002</v>
      </c>
    </row>
    <row r="93" spans="1:24">
      <c r="A93" s="163">
        <v>201808</v>
      </c>
      <c r="B93" s="163">
        <v>36500</v>
      </c>
      <c r="C93" s="2">
        <v>0</v>
      </c>
      <c r="D93" s="2">
        <v>0</v>
      </c>
      <c r="E93" s="2">
        <v>0</v>
      </c>
      <c r="F93" s="2">
        <v>0</v>
      </c>
      <c r="G93" s="2">
        <v>0</v>
      </c>
      <c r="H93" s="2">
        <v>0</v>
      </c>
      <c r="I93" s="2">
        <v>0</v>
      </c>
      <c r="J93" s="2">
        <f t="shared" si="30"/>
        <v>0</v>
      </c>
      <c r="K93" s="2">
        <f t="shared" si="36"/>
        <v>0</v>
      </c>
      <c r="L93" s="171">
        <f t="shared" si="34"/>
        <v>3.5200000000000002E-2</v>
      </c>
      <c r="M93" s="1">
        <f t="shared" si="37"/>
        <v>0</v>
      </c>
      <c r="N93" s="2">
        <f t="shared" si="38"/>
        <v>0</v>
      </c>
      <c r="O93" s="2">
        <f t="shared" si="31"/>
        <v>0</v>
      </c>
      <c r="P93" s="169"/>
      <c r="Q93" s="175">
        <v>70881.39</v>
      </c>
      <c r="R93" s="2">
        <v>0</v>
      </c>
      <c r="S93" s="2">
        <f t="shared" si="32"/>
        <v>70881.39</v>
      </c>
      <c r="T93" s="2">
        <f t="shared" si="39"/>
        <v>1775215.81</v>
      </c>
      <c r="U93" s="171">
        <f t="shared" si="35"/>
        <v>3.5200000000000002E-2</v>
      </c>
      <c r="V93" s="5">
        <f t="shared" si="40"/>
        <v>4999.38</v>
      </c>
      <c r="W93" s="2">
        <f t="shared" si="41"/>
        <v>18135.36</v>
      </c>
      <c r="X93" s="2">
        <f t="shared" si="33"/>
        <v>1757080.45</v>
      </c>
    </row>
    <row r="94" spans="1:24">
      <c r="A94" s="163">
        <v>201809</v>
      </c>
      <c r="B94" s="163">
        <v>36500</v>
      </c>
      <c r="C94" s="2">
        <v>0</v>
      </c>
      <c r="D94" s="2">
        <v>0</v>
      </c>
      <c r="E94" s="2">
        <v>0</v>
      </c>
      <c r="F94" s="2">
        <v>0</v>
      </c>
      <c r="G94" s="2">
        <v>0</v>
      </c>
      <c r="H94" s="2">
        <v>0</v>
      </c>
      <c r="I94" s="2">
        <v>0</v>
      </c>
      <c r="J94" s="2">
        <f t="shared" si="30"/>
        <v>0</v>
      </c>
      <c r="K94" s="2">
        <f t="shared" si="36"/>
        <v>0</v>
      </c>
      <c r="L94" s="171">
        <f t="shared" si="34"/>
        <v>3.5200000000000002E-2</v>
      </c>
      <c r="M94" s="1">
        <f t="shared" si="37"/>
        <v>0</v>
      </c>
      <c r="N94" s="2">
        <f t="shared" si="38"/>
        <v>0</v>
      </c>
      <c r="O94" s="2">
        <f t="shared" si="31"/>
        <v>0</v>
      </c>
      <c r="P94" s="169"/>
      <c r="Q94" s="175">
        <v>169633.29</v>
      </c>
      <c r="R94" s="2">
        <v>0</v>
      </c>
      <c r="S94" s="2">
        <f t="shared" si="32"/>
        <v>169633.29</v>
      </c>
      <c r="T94" s="2">
        <f t="shared" si="39"/>
        <v>1944849.1</v>
      </c>
      <c r="U94" s="171">
        <f t="shared" si="35"/>
        <v>3.5200000000000002E-2</v>
      </c>
      <c r="V94" s="5">
        <f t="shared" si="40"/>
        <v>5207.3</v>
      </c>
      <c r="W94" s="2">
        <f t="shared" si="41"/>
        <v>23342.66</v>
      </c>
      <c r="X94" s="2">
        <f t="shared" si="33"/>
        <v>1921506.4400000002</v>
      </c>
    </row>
    <row r="95" spans="1:24">
      <c r="A95" s="163">
        <v>201810</v>
      </c>
      <c r="B95" s="163">
        <v>36500</v>
      </c>
      <c r="C95" s="2">
        <v>0</v>
      </c>
      <c r="D95" s="2">
        <v>0</v>
      </c>
      <c r="E95" s="2">
        <v>0</v>
      </c>
      <c r="F95" s="2">
        <v>0</v>
      </c>
      <c r="G95" s="2">
        <v>0</v>
      </c>
      <c r="H95" s="2">
        <v>0</v>
      </c>
      <c r="I95" s="2">
        <v>0</v>
      </c>
      <c r="J95" s="2">
        <f t="shared" si="30"/>
        <v>0</v>
      </c>
      <c r="K95" s="2">
        <f t="shared" si="36"/>
        <v>0</v>
      </c>
      <c r="L95" s="171">
        <f t="shared" si="34"/>
        <v>3.5200000000000002E-2</v>
      </c>
      <c r="M95" s="1">
        <f t="shared" si="37"/>
        <v>0</v>
      </c>
      <c r="N95" s="2">
        <f t="shared" si="38"/>
        <v>0</v>
      </c>
      <c r="O95" s="2">
        <f t="shared" si="31"/>
        <v>0</v>
      </c>
      <c r="P95" s="169"/>
      <c r="Q95" s="175">
        <v>236019.58</v>
      </c>
      <c r="R95" s="2">
        <v>0</v>
      </c>
      <c r="S95" s="2">
        <f t="shared" si="32"/>
        <v>236019.58</v>
      </c>
      <c r="T95" s="2">
        <f t="shared" si="39"/>
        <v>2180868.6800000002</v>
      </c>
      <c r="U95" s="171">
        <f t="shared" si="35"/>
        <v>3.5200000000000002E-2</v>
      </c>
      <c r="V95" s="5">
        <f t="shared" si="40"/>
        <v>5704.89</v>
      </c>
      <c r="W95" s="2">
        <f t="shared" si="41"/>
        <v>29047.55</v>
      </c>
      <c r="X95" s="2">
        <f t="shared" si="33"/>
        <v>2151821.1300000004</v>
      </c>
    </row>
    <row r="96" spans="1:24">
      <c r="A96" s="163">
        <v>201811</v>
      </c>
      <c r="B96" s="163">
        <v>36500</v>
      </c>
      <c r="C96" s="2">
        <v>0</v>
      </c>
      <c r="D96" s="2">
        <v>0</v>
      </c>
      <c r="E96" s="2">
        <v>0</v>
      </c>
      <c r="F96" s="2">
        <v>0</v>
      </c>
      <c r="G96" s="2">
        <v>0</v>
      </c>
      <c r="H96" s="2">
        <v>0</v>
      </c>
      <c r="I96" s="2">
        <v>0</v>
      </c>
      <c r="J96" s="2">
        <f t="shared" si="30"/>
        <v>0</v>
      </c>
      <c r="K96" s="2">
        <f t="shared" si="36"/>
        <v>0</v>
      </c>
      <c r="L96" s="171">
        <f t="shared" si="34"/>
        <v>3.5200000000000002E-2</v>
      </c>
      <c r="M96" s="1">
        <f t="shared" si="37"/>
        <v>0</v>
      </c>
      <c r="N96" s="2">
        <f t="shared" si="38"/>
        <v>0</v>
      </c>
      <c r="O96" s="2">
        <f t="shared" si="31"/>
        <v>0</v>
      </c>
      <c r="P96" s="169"/>
      <c r="Q96" s="175">
        <v>185030.5</v>
      </c>
      <c r="R96" s="2">
        <v>0</v>
      </c>
      <c r="S96" s="2">
        <f t="shared" si="32"/>
        <v>185030.5</v>
      </c>
      <c r="T96" s="2">
        <f t="shared" si="39"/>
        <v>2365899.1800000002</v>
      </c>
      <c r="U96" s="171">
        <f t="shared" si="35"/>
        <v>3.5200000000000002E-2</v>
      </c>
      <c r="V96" s="5">
        <f t="shared" si="40"/>
        <v>6397.21</v>
      </c>
      <c r="W96" s="2">
        <f t="shared" si="41"/>
        <v>35444.76</v>
      </c>
      <c r="X96" s="2">
        <f t="shared" si="33"/>
        <v>2330454.4200000004</v>
      </c>
    </row>
    <row r="97" spans="1:24">
      <c r="A97" s="163">
        <v>201812</v>
      </c>
      <c r="B97" s="163">
        <v>36500</v>
      </c>
      <c r="C97" s="2">
        <v>0</v>
      </c>
      <c r="D97" s="2">
        <v>0</v>
      </c>
      <c r="E97" s="2">
        <v>0</v>
      </c>
      <c r="F97" s="2">
        <v>0</v>
      </c>
      <c r="G97" s="2">
        <v>0</v>
      </c>
      <c r="H97" s="2">
        <v>0</v>
      </c>
      <c r="I97" s="2">
        <v>0</v>
      </c>
      <c r="J97" s="2">
        <f t="shared" si="30"/>
        <v>0</v>
      </c>
      <c r="K97" s="2">
        <f t="shared" si="36"/>
        <v>0</v>
      </c>
      <c r="L97" s="171">
        <f t="shared" si="34"/>
        <v>3.5200000000000002E-2</v>
      </c>
      <c r="M97" s="1">
        <f t="shared" si="37"/>
        <v>0</v>
      </c>
      <c r="N97" s="2">
        <f t="shared" si="38"/>
        <v>0</v>
      </c>
      <c r="O97" s="2">
        <f t="shared" si="31"/>
        <v>0</v>
      </c>
      <c r="P97" s="169"/>
      <c r="Q97" s="175">
        <v>660980.27</v>
      </c>
      <c r="R97" s="2">
        <v>0</v>
      </c>
      <c r="S97" s="2">
        <f t="shared" si="32"/>
        <v>660980.27</v>
      </c>
      <c r="T97" s="2">
        <f t="shared" si="39"/>
        <v>3026879.45</v>
      </c>
      <c r="U97" s="171">
        <f t="shared" si="35"/>
        <v>3.5200000000000002E-2</v>
      </c>
      <c r="V97" s="5">
        <f t="shared" si="40"/>
        <v>6939.97</v>
      </c>
      <c r="W97" s="2">
        <f t="shared" si="41"/>
        <v>42384.73</v>
      </c>
      <c r="X97" s="2">
        <f t="shared" si="33"/>
        <v>2984494.72</v>
      </c>
    </row>
    <row r="98" spans="1:24">
      <c r="A98" s="163">
        <v>201901</v>
      </c>
      <c r="B98" s="163">
        <v>36500</v>
      </c>
      <c r="C98" s="2">
        <v>0</v>
      </c>
      <c r="D98" s="2">
        <v>0</v>
      </c>
      <c r="E98" s="2">
        <v>0</v>
      </c>
      <c r="F98" s="2">
        <v>0</v>
      </c>
      <c r="G98" s="2">
        <v>0</v>
      </c>
      <c r="H98" s="2">
        <v>0</v>
      </c>
      <c r="I98" s="2">
        <v>0</v>
      </c>
      <c r="J98" s="2">
        <f t="shared" si="30"/>
        <v>0</v>
      </c>
      <c r="K98" s="2">
        <f t="shared" si="36"/>
        <v>0</v>
      </c>
      <c r="L98" s="171">
        <f t="shared" si="34"/>
        <v>3.5200000000000002E-2</v>
      </c>
      <c r="M98" s="1">
        <f t="shared" si="37"/>
        <v>0</v>
      </c>
      <c r="N98" s="2">
        <f t="shared" si="38"/>
        <v>0</v>
      </c>
      <c r="O98" s="2">
        <f t="shared" si="31"/>
        <v>0</v>
      </c>
      <c r="P98" s="169"/>
      <c r="Q98" s="175">
        <v>88905.3</v>
      </c>
      <c r="R98" s="2">
        <v>0</v>
      </c>
      <c r="S98" s="2">
        <f t="shared" si="32"/>
        <v>88905.3</v>
      </c>
      <c r="T98" s="2">
        <f t="shared" si="39"/>
        <v>3115784.75</v>
      </c>
      <c r="U98" s="171">
        <f t="shared" si="35"/>
        <v>3.5200000000000002E-2</v>
      </c>
      <c r="V98" s="5">
        <f t="shared" si="40"/>
        <v>8878.85</v>
      </c>
      <c r="W98" s="2">
        <f t="shared" si="41"/>
        <v>51263.58</v>
      </c>
      <c r="X98" s="2">
        <f t="shared" si="33"/>
        <v>3064521.17</v>
      </c>
    </row>
    <row r="99" spans="1:24">
      <c r="A99" s="163">
        <v>201902</v>
      </c>
      <c r="B99" s="163">
        <v>36500</v>
      </c>
      <c r="C99" s="2">
        <v>0</v>
      </c>
      <c r="D99" s="2">
        <v>0</v>
      </c>
      <c r="E99" s="2">
        <v>0</v>
      </c>
      <c r="F99" s="2">
        <v>0</v>
      </c>
      <c r="G99" s="2">
        <v>0</v>
      </c>
      <c r="H99" s="2">
        <v>0</v>
      </c>
      <c r="I99" s="2">
        <v>0</v>
      </c>
      <c r="J99" s="2">
        <f t="shared" si="30"/>
        <v>0</v>
      </c>
      <c r="K99" s="2">
        <f t="shared" si="36"/>
        <v>0</v>
      </c>
      <c r="L99" s="171">
        <f t="shared" si="34"/>
        <v>3.5200000000000002E-2</v>
      </c>
      <c r="M99" s="1">
        <f t="shared" si="37"/>
        <v>0</v>
      </c>
      <c r="N99" s="2">
        <f t="shared" si="38"/>
        <v>0</v>
      </c>
      <c r="O99" s="2">
        <f t="shared" si="31"/>
        <v>0</v>
      </c>
      <c r="P99" s="169"/>
      <c r="Q99" s="175">
        <v>80169.91</v>
      </c>
      <c r="R99" s="2">
        <v>0</v>
      </c>
      <c r="S99" s="2">
        <f t="shared" si="32"/>
        <v>80169.91</v>
      </c>
      <c r="T99" s="2">
        <f t="shared" si="39"/>
        <v>3195954.66</v>
      </c>
      <c r="U99" s="171">
        <f t="shared" si="35"/>
        <v>3.5200000000000002E-2</v>
      </c>
      <c r="V99" s="5">
        <f t="shared" si="40"/>
        <v>9139.64</v>
      </c>
      <c r="W99" s="2">
        <f t="shared" si="41"/>
        <v>60403.22</v>
      </c>
      <c r="X99" s="2">
        <f t="shared" si="33"/>
        <v>3135551.44</v>
      </c>
    </row>
    <row r="100" spans="1:24">
      <c r="A100" s="163">
        <v>201903</v>
      </c>
      <c r="B100" s="163">
        <v>36500</v>
      </c>
      <c r="C100" s="2">
        <v>0</v>
      </c>
      <c r="D100" s="2">
        <v>0</v>
      </c>
      <c r="E100" s="2">
        <v>0</v>
      </c>
      <c r="F100" s="2">
        <v>0</v>
      </c>
      <c r="G100" s="2">
        <v>0</v>
      </c>
      <c r="H100" s="2">
        <v>0</v>
      </c>
      <c r="I100" s="2">
        <v>0</v>
      </c>
      <c r="J100" s="2">
        <f t="shared" si="30"/>
        <v>0</v>
      </c>
      <c r="K100" s="2">
        <f t="shared" si="36"/>
        <v>0</v>
      </c>
      <c r="L100" s="171">
        <f t="shared" si="34"/>
        <v>3.5200000000000002E-2</v>
      </c>
      <c r="M100" s="1">
        <f t="shared" si="37"/>
        <v>0</v>
      </c>
      <c r="N100" s="2">
        <f t="shared" si="38"/>
        <v>0</v>
      </c>
      <c r="O100" s="2">
        <f t="shared" si="31"/>
        <v>0</v>
      </c>
      <c r="P100" s="169"/>
      <c r="Q100" s="175">
        <v>9143.0499999999993</v>
      </c>
      <c r="R100" s="2">
        <v>0</v>
      </c>
      <c r="S100" s="2">
        <f t="shared" si="32"/>
        <v>9143.0499999999993</v>
      </c>
      <c r="T100" s="2">
        <f t="shared" si="39"/>
        <v>3205097.71</v>
      </c>
      <c r="U100" s="171">
        <f t="shared" si="35"/>
        <v>3.5200000000000002E-2</v>
      </c>
      <c r="V100" s="5">
        <f t="shared" si="40"/>
        <v>9374.7999999999993</v>
      </c>
      <c r="W100" s="2">
        <f t="shared" si="41"/>
        <v>69778.02</v>
      </c>
      <c r="X100" s="2">
        <f t="shared" si="33"/>
        <v>3135319.69</v>
      </c>
    </row>
    <row r="101" spans="1:24">
      <c r="A101" s="163">
        <v>201904</v>
      </c>
      <c r="B101" s="163">
        <v>36500</v>
      </c>
      <c r="C101" s="2">
        <v>0</v>
      </c>
      <c r="D101" s="2">
        <v>0</v>
      </c>
      <c r="E101" s="2">
        <v>0</v>
      </c>
      <c r="F101" s="2">
        <v>0</v>
      </c>
      <c r="G101" s="2">
        <v>0</v>
      </c>
      <c r="H101" s="2">
        <v>0</v>
      </c>
      <c r="I101" s="2">
        <v>0</v>
      </c>
      <c r="J101" s="2">
        <f t="shared" si="30"/>
        <v>0</v>
      </c>
      <c r="K101" s="2">
        <f t="shared" si="36"/>
        <v>0</v>
      </c>
      <c r="L101" s="171">
        <f t="shared" si="34"/>
        <v>3.5200000000000002E-2</v>
      </c>
      <c r="M101" s="1">
        <f t="shared" si="37"/>
        <v>0</v>
      </c>
      <c r="N101" s="2">
        <f t="shared" si="38"/>
        <v>0</v>
      </c>
      <c r="O101" s="2">
        <f t="shared" si="31"/>
        <v>0</v>
      </c>
      <c r="P101" s="169"/>
      <c r="Q101" s="175">
        <v>3046.48</v>
      </c>
      <c r="R101" s="2">
        <v>0</v>
      </c>
      <c r="S101" s="2">
        <f t="shared" si="32"/>
        <v>3046.48</v>
      </c>
      <c r="T101" s="2">
        <f t="shared" si="39"/>
        <v>3208144.19</v>
      </c>
      <c r="U101" s="171">
        <f t="shared" si="35"/>
        <v>3.5200000000000002E-2</v>
      </c>
      <c r="V101" s="5">
        <f t="shared" si="40"/>
        <v>9401.6200000000008</v>
      </c>
      <c r="W101" s="2">
        <f t="shared" si="41"/>
        <v>79179.64</v>
      </c>
      <c r="X101" s="2">
        <f t="shared" si="33"/>
        <v>3128964.55</v>
      </c>
    </row>
    <row r="102" spans="1:24">
      <c r="A102" s="163">
        <v>201908</v>
      </c>
      <c r="B102" s="163">
        <v>36500</v>
      </c>
      <c r="C102" s="2">
        <v>5995105.7300000004</v>
      </c>
      <c r="D102" s="2">
        <v>0</v>
      </c>
      <c r="E102" s="2">
        <v>0</v>
      </c>
      <c r="F102" s="2">
        <v>0</v>
      </c>
      <c r="G102" s="2">
        <v>0</v>
      </c>
      <c r="H102" s="2">
        <v>0</v>
      </c>
      <c r="I102" s="2">
        <v>0</v>
      </c>
      <c r="J102" s="2">
        <f t="shared" si="30"/>
        <v>5995105.7300000004</v>
      </c>
      <c r="K102" s="2">
        <f t="shared" si="36"/>
        <v>5995105.7300000004</v>
      </c>
      <c r="L102" s="171">
        <f>3.52%</f>
        <v>3.5200000000000002E-2</v>
      </c>
      <c r="M102" s="1">
        <f t="shared" si="37"/>
        <v>0</v>
      </c>
      <c r="N102" s="2">
        <f t="shared" si="38"/>
        <v>0</v>
      </c>
      <c r="O102" s="2">
        <f t="shared" si="31"/>
        <v>5995105.7300000004</v>
      </c>
      <c r="Q102" s="2">
        <v>0</v>
      </c>
      <c r="R102" s="2">
        <v>0</v>
      </c>
      <c r="S102" s="2">
        <f t="shared" si="32"/>
        <v>0</v>
      </c>
      <c r="T102" s="2">
        <f t="shared" si="39"/>
        <v>3208144.19</v>
      </c>
      <c r="U102" s="171">
        <f t="shared" si="35"/>
        <v>3.5200000000000002E-2</v>
      </c>
      <c r="V102" s="5">
        <f t="shared" si="40"/>
        <v>9410.56</v>
      </c>
      <c r="W102" s="2">
        <f t="shared" si="41"/>
        <v>88590.2</v>
      </c>
      <c r="X102" s="2">
        <f t="shared" si="33"/>
        <v>3119553.9899999998</v>
      </c>
    </row>
    <row r="103" spans="1:24">
      <c r="A103" s="163">
        <v>201909</v>
      </c>
      <c r="B103" s="163">
        <v>36500</v>
      </c>
      <c r="C103" s="2">
        <v>0</v>
      </c>
      <c r="D103" s="2">
        <v>0</v>
      </c>
      <c r="E103" s="2">
        <v>0</v>
      </c>
      <c r="F103" s="2">
        <v>0</v>
      </c>
      <c r="G103" s="2">
        <v>0</v>
      </c>
      <c r="H103" s="2">
        <v>0</v>
      </c>
      <c r="I103" s="2">
        <v>0</v>
      </c>
      <c r="J103" s="2">
        <f t="shared" si="30"/>
        <v>0</v>
      </c>
      <c r="K103" s="2">
        <f t="shared" si="36"/>
        <v>5995105.7300000004</v>
      </c>
      <c r="L103" s="171">
        <f t="shared" ref="L103:L166" si="42">3.52%</f>
        <v>3.5200000000000002E-2</v>
      </c>
      <c r="M103" s="1">
        <f t="shared" si="37"/>
        <v>17585.64</v>
      </c>
      <c r="N103" s="2">
        <f t="shared" si="38"/>
        <v>17585.64</v>
      </c>
      <c r="O103" s="2">
        <f t="shared" si="31"/>
        <v>5977520.0900000008</v>
      </c>
      <c r="Q103" s="2">
        <v>0</v>
      </c>
      <c r="R103" s="2">
        <v>0</v>
      </c>
      <c r="S103" s="2">
        <f t="shared" si="32"/>
        <v>0</v>
      </c>
      <c r="T103" s="2">
        <f t="shared" si="39"/>
        <v>3208144.19</v>
      </c>
      <c r="U103" s="171">
        <f t="shared" si="35"/>
        <v>3.5200000000000002E-2</v>
      </c>
      <c r="V103" s="5">
        <f t="shared" si="40"/>
        <v>9410.56</v>
      </c>
      <c r="W103" s="2">
        <f t="shared" si="41"/>
        <v>98000.76</v>
      </c>
      <c r="X103" s="2">
        <f t="shared" si="33"/>
        <v>3110143.43</v>
      </c>
    </row>
    <row r="104" spans="1:24">
      <c r="A104" s="163">
        <v>201910</v>
      </c>
      <c r="B104" s="163">
        <v>36500</v>
      </c>
      <c r="C104" s="2">
        <v>0</v>
      </c>
      <c r="D104" s="2">
        <v>0</v>
      </c>
      <c r="E104" s="2">
        <v>0</v>
      </c>
      <c r="F104" s="2">
        <v>0</v>
      </c>
      <c r="G104" s="2">
        <v>0</v>
      </c>
      <c r="H104" s="2">
        <v>0</v>
      </c>
      <c r="I104" s="2">
        <v>0</v>
      </c>
      <c r="J104" s="2">
        <f t="shared" si="30"/>
        <v>0</v>
      </c>
      <c r="K104" s="2">
        <f t="shared" si="36"/>
        <v>5995105.7300000004</v>
      </c>
      <c r="L104" s="171">
        <f t="shared" si="42"/>
        <v>3.5200000000000002E-2</v>
      </c>
      <c r="M104" s="1">
        <f t="shared" si="37"/>
        <v>17585.64</v>
      </c>
      <c r="N104" s="2">
        <f t="shared" si="38"/>
        <v>35171.279999999999</v>
      </c>
      <c r="O104" s="2">
        <f t="shared" si="31"/>
        <v>5959934.4500000002</v>
      </c>
      <c r="Q104" s="2">
        <v>0</v>
      </c>
      <c r="R104" s="2">
        <v>0</v>
      </c>
      <c r="S104" s="2">
        <f t="shared" si="32"/>
        <v>0</v>
      </c>
      <c r="T104" s="2">
        <f t="shared" si="39"/>
        <v>3208144.19</v>
      </c>
      <c r="U104" s="171">
        <f t="shared" si="35"/>
        <v>3.5200000000000002E-2</v>
      </c>
      <c r="V104" s="5">
        <f t="shared" si="40"/>
        <v>9410.56</v>
      </c>
      <c r="W104" s="2">
        <f t="shared" si="41"/>
        <v>107411.31999999999</v>
      </c>
      <c r="X104" s="2">
        <f t="shared" si="33"/>
        <v>3100732.87</v>
      </c>
    </row>
    <row r="105" spans="1:24">
      <c r="A105" s="163">
        <v>201911</v>
      </c>
      <c r="B105" s="163">
        <v>36500</v>
      </c>
      <c r="C105" s="2">
        <v>0</v>
      </c>
      <c r="D105" s="2">
        <v>0</v>
      </c>
      <c r="E105" s="2">
        <v>0</v>
      </c>
      <c r="F105" s="2">
        <v>0</v>
      </c>
      <c r="G105" s="2">
        <v>0</v>
      </c>
      <c r="H105" s="2">
        <v>0</v>
      </c>
      <c r="I105" s="2">
        <v>0</v>
      </c>
      <c r="J105" s="2">
        <f t="shared" si="30"/>
        <v>0</v>
      </c>
      <c r="K105" s="2">
        <f t="shared" si="36"/>
        <v>5995105.7300000004</v>
      </c>
      <c r="L105" s="171">
        <f t="shared" si="42"/>
        <v>3.5200000000000002E-2</v>
      </c>
      <c r="M105" s="1">
        <f t="shared" si="37"/>
        <v>17585.64</v>
      </c>
      <c r="N105" s="2">
        <f t="shared" si="38"/>
        <v>52756.92</v>
      </c>
      <c r="O105" s="2">
        <f t="shared" si="31"/>
        <v>5942348.8100000005</v>
      </c>
      <c r="Q105" s="2">
        <v>0</v>
      </c>
      <c r="R105" s="2">
        <v>0</v>
      </c>
      <c r="S105" s="2">
        <f t="shared" si="32"/>
        <v>0</v>
      </c>
      <c r="T105" s="2">
        <f t="shared" si="39"/>
        <v>3208144.19</v>
      </c>
      <c r="U105" s="171">
        <f t="shared" si="35"/>
        <v>3.5200000000000002E-2</v>
      </c>
      <c r="V105" s="5">
        <f t="shared" si="40"/>
        <v>9410.56</v>
      </c>
      <c r="W105" s="2">
        <f t="shared" si="41"/>
        <v>116821.87999999999</v>
      </c>
      <c r="X105" s="2">
        <f t="shared" si="33"/>
        <v>3091322.31</v>
      </c>
    </row>
    <row r="106" spans="1:24">
      <c r="A106" s="163">
        <v>201912</v>
      </c>
      <c r="B106" s="163">
        <v>36500</v>
      </c>
      <c r="C106" s="2">
        <v>0</v>
      </c>
      <c r="D106" s="2">
        <v>0</v>
      </c>
      <c r="E106" s="2">
        <v>0</v>
      </c>
      <c r="F106" s="2">
        <v>0</v>
      </c>
      <c r="G106" s="2">
        <v>0</v>
      </c>
      <c r="H106" s="2">
        <v>0</v>
      </c>
      <c r="I106" s="2">
        <v>0</v>
      </c>
      <c r="J106" s="2">
        <f t="shared" si="30"/>
        <v>0</v>
      </c>
      <c r="K106" s="2">
        <f t="shared" si="36"/>
        <v>5995105.7300000004</v>
      </c>
      <c r="L106" s="171">
        <f t="shared" si="42"/>
        <v>3.5200000000000002E-2</v>
      </c>
      <c r="M106" s="1">
        <f t="shared" si="37"/>
        <v>17585.64</v>
      </c>
      <c r="N106" s="2">
        <f t="shared" si="38"/>
        <v>70342.559999999998</v>
      </c>
      <c r="O106" s="2">
        <f t="shared" si="31"/>
        <v>5924763.1700000009</v>
      </c>
      <c r="Q106" s="2">
        <v>0</v>
      </c>
      <c r="R106" s="2">
        <v>0</v>
      </c>
      <c r="S106" s="2">
        <f t="shared" si="32"/>
        <v>0</v>
      </c>
      <c r="T106" s="2">
        <f t="shared" si="39"/>
        <v>3208144.19</v>
      </c>
      <c r="U106" s="171">
        <f t="shared" si="35"/>
        <v>3.5200000000000002E-2</v>
      </c>
      <c r="V106" s="5">
        <f t="shared" si="40"/>
        <v>9410.56</v>
      </c>
      <c r="W106" s="2">
        <f t="shared" si="41"/>
        <v>126232.43999999999</v>
      </c>
      <c r="X106" s="2">
        <f t="shared" si="33"/>
        <v>3081911.75</v>
      </c>
    </row>
    <row r="107" spans="1:24">
      <c r="A107" s="163">
        <v>202001</v>
      </c>
      <c r="B107" s="163">
        <v>36500</v>
      </c>
      <c r="C107" s="2">
        <v>0</v>
      </c>
      <c r="D107" s="2">
        <v>0</v>
      </c>
      <c r="E107" s="2">
        <v>0</v>
      </c>
      <c r="F107" s="2">
        <v>0</v>
      </c>
      <c r="G107" s="2">
        <v>0</v>
      </c>
      <c r="H107" s="2">
        <v>0</v>
      </c>
      <c r="I107" s="2">
        <v>0</v>
      </c>
      <c r="J107" s="2">
        <f t="shared" si="30"/>
        <v>0</v>
      </c>
      <c r="K107" s="2">
        <f t="shared" si="36"/>
        <v>5995105.7300000004</v>
      </c>
      <c r="L107" s="171">
        <f t="shared" si="42"/>
        <v>3.5200000000000002E-2</v>
      </c>
      <c r="M107" s="1">
        <f t="shared" si="37"/>
        <v>17585.64</v>
      </c>
      <c r="N107" s="2">
        <f t="shared" si="38"/>
        <v>87928.2</v>
      </c>
      <c r="O107" s="2">
        <f t="shared" si="31"/>
        <v>5907177.5300000003</v>
      </c>
      <c r="Q107" s="2">
        <v>0</v>
      </c>
      <c r="R107" s="2">
        <v>0</v>
      </c>
      <c r="S107" s="2">
        <f t="shared" si="32"/>
        <v>0</v>
      </c>
      <c r="T107" s="2">
        <f t="shared" si="39"/>
        <v>3208144.19</v>
      </c>
      <c r="U107" s="171">
        <f t="shared" si="35"/>
        <v>3.5200000000000002E-2</v>
      </c>
      <c r="V107" s="5">
        <f t="shared" si="40"/>
        <v>9410.56</v>
      </c>
      <c r="W107" s="2">
        <f t="shared" si="41"/>
        <v>135643</v>
      </c>
      <c r="X107" s="2">
        <f t="shared" si="33"/>
        <v>3072501.19</v>
      </c>
    </row>
    <row r="108" spans="1:24">
      <c r="A108" s="163">
        <v>202002</v>
      </c>
      <c r="B108" s="163">
        <v>36500</v>
      </c>
      <c r="C108" s="2">
        <v>0</v>
      </c>
      <c r="D108" s="2">
        <v>0</v>
      </c>
      <c r="E108" s="2">
        <v>0</v>
      </c>
      <c r="F108" s="2">
        <v>0</v>
      </c>
      <c r="G108" s="2">
        <v>0</v>
      </c>
      <c r="H108" s="2">
        <v>0</v>
      </c>
      <c r="I108" s="2">
        <v>0</v>
      </c>
      <c r="J108" s="2">
        <f t="shared" si="30"/>
        <v>0</v>
      </c>
      <c r="K108" s="2">
        <f t="shared" si="36"/>
        <v>5995105.7300000004</v>
      </c>
      <c r="L108" s="171">
        <f t="shared" si="42"/>
        <v>3.5200000000000002E-2</v>
      </c>
      <c r="M108" s="1">
        <f t="shared" si="37"/>
        <v>17585.64</v>
      </c>
      <c r="N108" s="2">
        <f t="shared" si="38"/>
        <v>105513.84</v>
      </c>
      <c r="O108" s="2">
        <f t="shared" si="31"/>
        <v>5889591.8900000006</v>
      </c>
      <c r="Q108" s="2">
        <v>0</v>
      </c>
      <c r="R108" s="2">
        <v>0</v>
      </c>
      <c r="S108" s="2">
        <f t="shared" si="32"/>
        <v>0</v>
      </c>
      <c r="T108" s="2">
        <f t="shared" si="39"/>
        <v>3208144.19</v>
      </c>
      <c r="U108" s="171">
        <f t="shared" si="35"/>
        <v>3.5200000000000002E-2</v>
      </c>
      <c r="V108" s="5">
        <f t="shared" si="40"/>
        <v>9410.56</v>
      </c>
      <c r="W108" s="2">
        <f t="shared" si="41"/>
        <v>145053.56</v>
      </c>
      <c r="X108" s="2">
        <f t="shared" si="33"/>
        <v>3063090.63</v>
      </c>
    </row>
    <row r="109" spans="1:24">
      <c r="A109" s="163">
        <v>202003</v>
      </c>
      <c r="B109" s="163">
        <v>36500</v>
      </c>
      <c r="C109" s="2">
        <v>0</v>
      </c>
      <c r="D109" s="2">
        <v>0</v>
      </c>
      <c r="E109" s="2">
        <v>0</v>
      </c>
      <c r="F109" s="2">
        <v>0</v>
      </c>
      <c r="G109" s="2">
        <v>0</v>
      </c>
      <c r="H109" s="2">
        <v>0</v>
      </c>
      <c r="I109" s="2">
        <v>0</v>
      </c>
      <c r="J109" s="2">
        <f t="shared" si="30"/>
        <v>0</v>
      </c>
      <c r="K109" s="2">
        <f t="shared" si="36"/>
        <v>5995105.7300000004</v>
      </c>
      <c r="L109" s="171">
        <f t="shared" si="42"/>
        <v>3.5200000000000002E-2</v>
      </c>
      <c r="M109" s="1">
        <f t="shared" si="37"/>
        <v>17585.64</v>
      </c>
      <c r="N109" s="2">
        <f t="shared" si="38"/>
        <v>123099.48</v>
      </c>
      <c r="O109" s="2">
        <f t="shared" si="31"/>
        <v>5872006.25</v>
      </c>
      <c r="Q109" s="2">
        <v>0</v>
      </c>
      <c r="R109" s="2">
        <v>0</v>
      </c>
      <c r="S109" s="2">
        <f t="shared" si="32"/>
        <v>0</v>
      </c>
      <c r="T109" s="2">
        <f t="shared" si="39"/>
        <v>3208144.19</v>
      </c>
      <c r="U109" s="171">
        <f t="shared" si="35"/>
        <v>3.5200000000000002E-2</v>
      </c>
      <c r="V109" s="5">
        <f t="shared" si="40"/>
        <v>9410.56</v>
      </c>
      <c r="W109" s="2">
        <f t="shared" si="41"/>
        <v>154464.12</v>
      </c>
      <c r="X109" s="2">
        <f t="shared" si="33"/>
        <v>3053680.07</v>
      </c>
    </row>
    <row r="110" spans="1:24">
      <c r="A110" s="163">
        <v>202004</v>
      </c>
      <c r="B110" s="163">
        <v>36500</v>
      </c>
      <c r="C110" s="2">
        <v>0</v>
      </c>
      <c r="D110" s="2">
        <v>0</v>
      </c>
      <c r="E110" s="2">
        <v>0</v>
      </c>
      <c r="F110" s="2">
        <v>0</v>
      </c>
      <c r="G110" s="2">
        <v>0</v>
      </c>
      <c r="H110" s="2">
        <v>0</v>
      </c>
      <c r="I110" s="2">
        <v>0</v>
      </c>
      <c r="J110" s="2">
        <f t="shared" si="30"/>
        <v>0</v>
      </c>
      <c r="K110" s="2">
        <f t="shared" si="36"/>
        <v>5995105.7300000004</v>
      </c>
      <c r="L110" s="171">
        <f t="shared" si="42"/>
        <v>3.5200000000000002E-2</v>
      </c>
      <c r="M110" s="1">
        <f t="shared" si="37"/>
        <v>17585.64</v>
      </c>
      <c r="N110" s="2">
        <f t="shared" si="38"/>
        <v>140685.12</v>
      </c>
      <c r="O110" s="2">
        <f t="shared" si="31"/>
        <v>5854420.6100000003</v>
      </c>
      <c r="Q110" s="2">
        <v>0</v>
      </c>
      <c r="R110" s="2">
        <v>0</v>
      </c>
      <c r="S110" s="2">
        <f t="shared" si="32"/>
        <v>0</v>
      </c>
      <c r="T110" s="2">
        <f t="shared" si="39"/>
        <v>3208144.19</v>
      </c>
      <c r="U110" s="171">
        <f t="shared" si="35"/>
        <v>3.5200000000000002E-2</v>
      </c>
      <c r="V110" s="5">
        <f t="shared" si="40"/>
        <v>9410.56</v>
      </c>
      <c r="W110" s="2">
        <f t="shared" si="41"/>
        <v>163874.68</v>
      </c>
      <c r="X110" s="2">
        <f t="shared" si="33"/>
        <v>3044269.51</v>
      </c>
    </row>
    <row r="111" spans="1:24">
      <c r="A111" s="163">
        <v>202005</v>
      </c>
      <c r="B111" s="163">
        <v>36500</v>
      </c>
      <c r="C111" s="2">
        <v>0</v>
      </c>
      <c r="D111" s="2">
        <v>0</v>
      </c>
      <c r="E111" s="2">
        <v>0</v>
      </c>
      <c r="F111" s="2">
        <v>0</v>
      </c>
      <c r="G111" s="2">
        <v>0</v>
      </c>
      <c r="H111" s="2">
        <v>0</v>
      </c>
      <c r="I111" s="2">
        <v>0</v>
      </c>
      <c r="J111" s="2">
        <f t="shared" si="30"/>
        <v>0</v>
      </c>
      <c r="K111" s="2">
        <f t="shared" si="36"/>
        <v>5995105.7300000004</v>
      </c>
      <c r="L111" s="171">
        <f t="shared" si="42"/>
        <v>3.5200000000000002E-2</v>
      </c>
      <c r="M111" s="1">
        <f t="shared" si="37"/>
        <v>17585.64</v>
      </c>
      <c r="N111" s="2">
        <f t="shared" si="38"/>
        <v>158270.76</v>
      </c>
      <c r="O111" s="2">
        <f t="shared" si="31"/>
        <v>5836834.9700000007</v>
      </c>
      <c r="Q111" s="2">
        <v>0</v>
      </c>
      <c r="R111" s="2">
        <v>0</v>
      </c>
      <c r="S111" s="2">
        <f t="shared" si="32"/>
        <v>0</v>
      </c>
      <c r="T111" s="2">
        <f t="shared" si="39"/>
        <v>3208144.19</v>
      </c>
      <c r="U111" s="171">
        <f t="shared" si="35"/>
        <v>3.5200000000000002E-2</v>
      </c>
      <c r="V111" s="5">
        <f t="shared" si="40"/>
        <v>9410.56</v>
      </c>
      <c r="W111" s="2">
        <f t="shared" si="41"/>
        <v>173285.24</v>
      </c>
      <c r="X111" s="2">
        <f t="shared" si="33"/>
        <v>3034858.95</v>
      </c>
    </row>
    <row r="112" spans="1:24">
      <c r="A112" s="163">
        <v>202006</v>
      </c>
      <c r="B112" s="163">
        <v>36500</v>
      </c>
      <c r="C112" s="2">
        <v>0</v>
      </c>
      <c r="D112" s="2">
        <v>0</v>
      </c>
      <c r="E112" s="2">
        <v>0</v>
      </c>
      <c r="F112" s="2">
        <v>0</v>
      </c>
      <c r="G112" s="2">
        <v>0</v>
      </c>
      <c r="H112" s="2">
        <v>0</v>
      </c>
      <c r="I112" s="2">
        <v>0</v>
      </c>
      <c r="J112" s="2">
        <f t="shared" si="30"/>
        <v>0</v>
      </c>
      <c r="K112" s="2">
        <f t="shared" si="36"/>
        <v>5995105.7300000004</v>
      </c>
      <c r="L112" s="171">
        <f t="shared" si="42"/>
        <v>3.5200000000000002E-2</v>
      </c>
      <c r="M112" s="1">
        <f t="shared" si="37"/>
        <v>17585.64</v>
      </c>
      <c r="N112" s="2">
        <f t="shared" si="38"/>
        <v>175856.40000000002</v>
      </c>
      <c r="O112" s="2">
        <f t="shared" si="31"/>
        <v>5819249.3300000001</v>
      </c>
      <c r="Q112" s="2">
        <v>0</v>
      </c>
      <c r="R112" s="2">
        <v>0</v>
      </c>
      <c r="S112" s="2">
        <f t="shared" si="32"/>
        <v>0</v>
      </c>
      <c r="T112" s="2">
        <f t="shared" si="39"/>
        <v>3208144.19</v>
      </c>
      <c r="U112" s="171">
        <f t="shared" si="35"/>
        <v>3.5200000000000002E-2</v>
      </c>
      <c r="V112" s="5">
        <f t="shared" si="40"/>
        <v>9410.56</v>
      </c>
      <c r="W112" s="2">
        <f t="shared" si="41"/>
        <v>182695.8</v>
      </c>
      <c r="X112" s="2">
        <f t="shared" si="33"/>
        <v>3025448.39</v>
      </c>
    </row>
    <row r="113" spans="1:24">
      <c r="A113" s="163">
        <v>202007</v>
      </c>
      <c r="B113" s="163">
        <v>36500</v>
      </c>
      <c r="C113" s="2">
        <v>0</v>
      </c>
      <c r="D113" s="2">
        <v>0</v>
      </c>
      <c r="E113" s="2">
        <v>0</v>
      </c>
      <c r="F113" s="2">
        <v>0</v>
      </c>
      <c r="G113" s="2">
        <v>0</v>
      </c>
      <c r="H113" s="2">
        <v>0</v>
      </c>
      <c r="I113" s="2">
        <v>0</v>
      </c>
      <c r="J113" s="2">
        <f t="shared" si="30"/>
        <v>0</v>
      </c>
      <c r="K113" s="2">
        <f t="shared" si="36"/>
        <v>5995105.7300000004</v>
      </c>
      <c r="L113" s="171">
        <f t="shared" si="42"/>
        <v>3.5200000000000002E-2</v>
      </c>
      <c r="M113" s="1">
        <f t="shared" si="37"/>
        <v>17585.64</v>
      </c>
      <c r="N113" s="2">
        <f t="shared" si="38"/>
        <v>193442.04000000004</v>
      </c>
      <c r="O113" s="2">
        <f t="shared" si="31"/>
        <v>5801663.6900000004</v>
      </c>
      <c r="Q113" s="2">
        <v>0</v>
      </c>
      <c r="R113" s="2">
        <v>0</v>
      </c>
      <c r="S113" s="2">
        <f t="shared" si="32"/>
        <v>0</v>
      </c>
      <c r="T113" s="2">
        <f t="shared" si="39"/>
        <v>3208144.19</v>
      </c>
      <c r="U113" s="171">
        <f t="shared" si="35"/>
        <v>3.5200000000000002E-2</v>
      </c>
      <c r="V113" s="5">
        <f t="shared" si="40"/>
        <v>9410.56</v>
      </c>
      <c r="W113" s="2">
        <f t="shared" si="41"/>
        <v>192106.36</v>
      </c>
      <c r="X113" s="2">
        <f t="shared" si="33"/>
        <v>3016037.83</v>
      </c>
    </row>
    <row r="114" spans="1:24">
      <c r="A114" s="163">
        <v>202008</v>
      </c>
      <c r="B114" s="163">
        <v>36500</v>
      </c>
      <c r="C114" s="2">
        <v>0</v>
      </c>
      <c r="D114" s="2">
        <v>0</v>
      </c>
      <c r="E114" s="2">
        <v>0</v>
      </c>
      <c r="F114" s="2">
        <v>0</v>
      </c>
      <c r="G114" s="2">
        <v>0</v>
      </c>
      <c r="H114" s="2">
        <v>0</v>
      </c>
      <c r="I114" s="2">
        <v>0</v>
      </c>
      <c r="J114" s="2">
        <f t="shared" si="30"/>
        <v>0</v>
      </c>
      <c r="K114" s="2">
        <f t="shared" si="36"/>
        <v>5995105.7300000004</v>
      </c>
      <c r="L114" s="171">
        <f t="shared" si="42"/>
        <v>3.5200000000000002E-2</v>
      </c>
      <c r="M114" s="1">
        <f t="shared" si="37"/>
        <v>17585.64</v>
      </c>
      <c r="N114" s="2">
        <f t="shared" si="38"/>
        <v>211027.68000000005</v>
      </c>
      <c r="O114" s="2">
        <f t="shared" si="31"/>
        <v>5784078.0500000007</v>
      </c>
      <c r="Q114" s="2">
        <v>0</v>
      </c>
      <c r="R114" s="2">
        <v>0</v>
      </c>
      <c r="S114" s="2">
        <f t="shared" si="32"/>
        <v>0</v>
      </c>
      <c r="T114" s="2">
        <f t="shared" si="39"/>
        <v>3208144.19</v>
      </c>
      <c r="U114" s="171">
        <f t="shared" si="35"/>
        <v>3.5200000000000002E-2</v>
      </c>
      <c r="V114" s="5">
        <f t="shared" si="40"/>
        <v>9410.56</v>
      </c>
      <c r="W114" s="2">
        <f t="shared" si="41"/>
        <v>201516.91999999998</v>
      </c>
      <c r="X114" s="2">
        <f t="shared" si="33"/>
        <v>3006627.27</v>
      </c>
    </row>
    <row r="115" spans="1:24">
      <c r="A115" s="163">
        <v>202009</v>
      </c>
      <c r="B115" s="163">
        <v>36500</v>
      </c>
      <c r="C115" s="2">
        <v>0</v>
      </c>
      <c r="D115" s="2">
        <v>0</v>
      </c>
      <c r="E115" s="2">
        <v>0</v>
      </c>
      <c r="F115" s="2">
        <v>0</v>
      </c>
      <c r="G115" s="2">
        <v>0</v>
      </c>
      <c r="H115" s="2">
        <v>0</v>
      </c>
      <c r="I115" s="2">
        <v>0</v>
      </c>
      <c r="J115" s="2">
        <f t="shared" si="30"/>
        <v>0</v>
      </c>
      <c r="K115" s="2">
        <f t="shared" si="36"/>
        <v>5995105.7300000004</v>
      </c>
      <c r="L115" s="171">
        <f t="shared" si="42"/>
        <v>3.5200000000000002E-2</v>
      </c>
      <c r="M115" s="1">
        <f t="shared" si="37"/>
        <v>17585.64</v>
      </c>
      <c r="N115" s="2">
        <f t="shared" si="38"/>
        <v>228613.32000000007</v>
      </c>
      <c r="O115" s="2">
        <f t="shared" si="31"/>
        <v>5766492.4100000001</v>
      </c>
      <c r="Q115" s="2">
        <v>0</v>
      </c>
      <c r="R115" s="2">
        <v>0</v>
      </c>
      <c r="S115" s="2">
        <f t="shared" si="32"/>
        <v>0</v>
      </c>
      <c r="T115" s="2">
        <f t="shared" si="39"/>
        <v>3208144.19</v>
      </c>
      <c r="U115" s="171">
        <f t="shared" si="35"/>
        <v>3.5200000000000002E-2</v>
      </c>
      <c r="V115" s="5">
        <f t="shared" si="40"/>
        <v>9410.56</v>
      </c>
      <c r="W115" s="2">
        <f t="shared" si="41"/>
        <v>210927.47999999998</v>
      </c>
      <c r="X115" s="2">
        <f t="shared" si="33"/>
        <v>2997216.71</v>
      </c>
    </row>
    <row r="116" spans="1:24">
      <c r="A116" s="163">
        <v>202010</v>
      </c>
      <c r="B116" s="163">
        <v>36500</v>
      </c>
      <c r="C116" s="2">
        <v>0</v>
      </c>
      <c r="D116" s="2">
        <v>0</v>
      </c>
      <c r="E116" s="2">
        <v>0</v>
      </c>
      <c r="F116" s="2">
        <v>0</v>
      </c>
      <c r="G116" s="2">
        <v>0</v>
      </c>
      <c r="H116" s="2">
        <v>0</v>
      </c>
      <c r="I116" s="2">
        <v>0</v>
      </c>
      <c r="J116" s="2">
        <f t="shared" si="30"/>
        <v>0</v>
      </c>
      <c r="K116" s="2">
        <f t="shared" si="36"/>
        <v>5995105.7300000004</v>
      </c>
      <c r="L116" s="171">
        <f t="shared" si="42"/>
        <v>3.5200000000000002E-2</v>
      </c>
      <c r="M116" s="1">
        <f t="shared" si="37"/>
        <v>17585.64</v>
      </c>
      <c r="N116" s="2">
        <f t="shared" si="38"/>
        <v>246198.96000000008</v>
      </c>
      <c r="O116" s="2">
        <f t="shared" si="31"/>
        <v>5748906.7700000005</v>
      </c>
      <c r="Q116" s="2">
        <v>0</v>
      </c>
      <c r="R116" s="2">
        <v>0</v>
      </c>
      <c r="S116" s="2">
        <f t="shared" si="32"/>
        <v>0</v>
      </c>
      <c r="T116" s="2">
        <f t="shared" si="39"/>
        <v>3208144.19</v>
      </c>
      <c r="U116" s="171">
        <f t="shared" si="35"/>
        <v>3.5200000000000002E-2</v>
      </c>
      <c r="V116" s="5">
        <f t="shared" si="40"/>
        <v>9410.56</v>
      </c>
      <c r="W116" s="2">
        <f t="shared" si="41"/>
        <v>220338.03999999998</v>
      </c>
      <c r="X116" s="2">
        <f t="shared" si="33"/>
        <v>2987806.15</v>
      </c>
    </row>
    <row r="117" spans="1:24">
      <c r="A117" s="163">
        <v>202011</v>
      </c>
      <c r="B117" s="163">
        <v>36500</v>
      </c>
      <c r="C117" s="2">
        <v>0</v>
      </c>
      <c r="D117" s="2">
        <v>0</v>
      </c>
      <c r="E117" s="2">
        <v>0</v>
      </c>
      <c r="F117" s="2">
        <v>0</v>
      </c>
      <c r="G117" s="2">
        <v>0</v>
      </c>
      <c r="H117" s="2">
        <v>0</v>
      </c>
      <c r="I117" s="2">
        <v>0</v>
      </c>
      <c r="J117" s="2">
        <f t="shared" si="30"/>
        <v>0</v>
      </c>
      <c r="K117" s="2">
        <f t="shared" si="36"/>
        <v>5995105.7300000004</v>
      </c>
      <c r="L117" s="171">
        <f t="shared" si="42"/>
        <v>3.5200000000000002E-2</v>
      </c>
      <c r="M117" s="1">
        <f t="shared" si="37"/>
        <v>17585.64</v>
      </c>
      <c r="N117" s="2">
        <f t="shared" si="38"/>
        <v>263784.60000000009</v>
      </c>
      <c r="O117" s="2">
        <f t="shared" si="31"/>
        <v>5731321.1300000008</v>
      </c>
      <c r="Q117" s="2">
        <v>0</v>
      </c>
      <c r="R117" s="2">
        <v>0</v>
      </c>
      <c r="S117" s="2">
        <f t="shared" si="32"/>
        <v>0</v>
      </c>
      <c r="T117" s="2">
        <f t="shared" si="39"/>
        <v>3208144.19</v>
      </c>
      <c r="U117" s="171">
        <f t="shared" si="35"/>
        <v>3.5200000000000002E-2</v>
      </c>
      <c r="V117" s="5">
        <f t="shared" si="40"/>
        <v>9410.56</v>
      </c>
      <c r="W117" s="2">
        <f t="shared" si="41"/>
        <v>229748.59999999998</v>
      </c>
      <c r="X117" s="2">
        <f t="shared" si="33"/>
        <v>2978395.59</v>
      </c>
    </row>
    <row r="118" spans="1:24">
      <c r="A118" s="163">
        <v>202012</v>
      </c>
      <c r="B118" s="163">
        <v>36500</v>
      </c>
      <c r="C118" s="2">
        <v>0</v>
      </c>
      <c r="D118" s="2">
        <v>0</v>
      </c>
      <c r="E118" s="2">
        <v>0</v>
      </c>
      <c r="F118" s="2">
        <v>0</v>
      </c>
      <c r="G118" s="2">
        <v>0</v>
      </c>
      <c r="H118" s="2">
        <v>0</v>
      </c>
      <c r="I118" s="2">
        <v>0</v>
      </c>
      <c r="J118" s="2">
        <f t="shared" si="30"/>
        <v>0</v>
      </c>
      <c r="K118" s="2">
        <f t="shared" si="36"/>
        <v>5995105.7300000004</v>
      </c>
      <c r="L118" s="171">
        <f t="shared" si="42"/>
        <v>3.5200000000000002E-2</v>
      </c>
      <c r="M118" s="1">
        <f t="shared" si="37"/>
        <v>17585.64</v>
      </c>
      <c r="N118" s="2">
        <f t="shared" si="38"/>
        <v>281370.24000000011</v>
      </c>
      <c r="O118" s="2">
        <f t="shared" si="31"/>
        <v>5713735.4900000002</v>
      </c>
      <c r="Q118" s="2">
        <v>0</v>
      </c>
      <c r="R118" s="2">
        <v>0</v>
      </c>
      <c r="S118" s="2">
        <f t="shared" si="32"/>
        <v>0</v>
      </c>
      <c r="T118" s="2">
        <f t="shared" si="39"/>
        <v>3208144.19</v>
      </c>
      <c r="U118" s="171">
        <f t="shared" si="35"/>
        <v>3.5200000000000002E-2</v>
      </c>
      <c r="V118" s="5">
        <f t="shared" si="40"/>
        <v>9410.56</v>
      </c>
      <c r="W118" s="2">
        <f t="shared" si="41"/>
        <v>239159.15999999997</v>
      </c>
      <c r="X118" s="2">
        <f t="shared" si="33"/>
        <v>2968985.03</v>
      </c>
    </row>
    <row r="119" spans="1:24">
      <c r="A119" s="163">
        <v>202101</v>
      </c>
      <c r="B119" s="163">
        <v>36500</v>
      </c>
      <c r="C119" s="2">
        <v>0</v>
      </c>
      <c r="D119" s="2">
        <v>0</v>
      </c>
      <c r="E119" s="2">
        <v>0</v>
      </c>
      <c r="F119" s="2">
        <v>0</v>
      </c>
      <c r="G119" s="2">
        <v>0</v>
      </c>
      <c r="H119" s="2">
        <v>0</v>
      </c>
      <c r="I119" s="2">
        <v>0</v>
      </c>
      <c r="J119" s="2">
        <f t="shared" si="30"/>
        <v>0</v>
      </c>
      <c r="K119" s="2">
        <f t="shared" si="36"/>
        <v>5995105.7300000004</v>
      </c>
      <c r="L119" s="171">
        <f t="shared" si="42"/>
        <v>3.5200000000000002E-2</v>
      </c>
      <c r="M119" s="1">
        <f t="shared" si="37"/>
        <v>17585.64</v>
      </c>
      <c r="N119" s="2">
        <f t="shared" si="38"/>
        <v>298955.88000000012</v>
      </c>
      <c r="O119" s="2">
        <f t="shared" si="31"/>
        <v>5696149.8500000006</v>
      </c>
      <c r="Q119" s="2">
        <v>0</v>
      </c>
      <c r="R119" s="5">
        <v>3659014.18</v>
      </c>
      <c r="S119" s="2">
        <f t="shared" si="32"/>
        <v>3659014.18</v>
      </c>
      <c r="T119" s="2">
        <f t="shared" si="39"/>
        <v>6867158.3700000001</v>
      </c>
      <c r="U119" s="171">
        <f t="shared" si="35"/>
        <v>3.5200000000000002E-2</v>
      </c>
      <c r="V119" s="5">
        <f t="shared" si="40"/>
        <v>9410.56</v>
      </c>
      <c r="W119" s="2">
        <f t="shared" si="41"/>
        <v>248569.71999999997</v>
      </c>
      <c r="X119" s="2">
        <f t="shared" si="33"/>
        <v>6618588.6500000004</v>
      </c>
    </row>
    <row r="120" spans="1:24">
      <c r="A120" s="163">
        <v>202102</v>
      </c>
      <c r="B120" s="163">
        <v>36500</v>
      </c>
      <c r="C120" s="2">
        <v>0</v>
      </c>
      <c r="D120" s="2">
        <v>0</v>
      </c>
      <c r="E120" s="2">
        <v>0</v>
      </c>
      <c r="F120" s="2">
        <v>0</v>
      </c>
      <c r="G120" s="2">
        <v>0</v>
      </c>
      <c r="H120" s="2">
        <v>0</v>
      </c>
      <c r="I120" s="2">
        <v>0</v>
      </c>
      <c r="J120" s="2">
        <f t="shared" ref="J120:J151" si="43">SUM(C120:I120)</f>
        <v>0</v>
      </c>
      <c r="K120" s="2">
        <f t="shared" si="36"/>
        <v>5995105.7300000004</v>
      </c>
      <c r="L120" s="171">
        <f t="shared" si="42"/>
        <v>3.5200000000000002E-2</v>
      </c>
      <c r="M120" s="1">
        <f t="shared" si="37"/>
        <v>17585.64</v>
      </c>
      <c r="N120" s="2">
        <f t="shared" si="38"/>
        <v>316541.52000000014</v>
      </c>
      <c r="O120" s="2">
        <f t="shared" si="31"/>
        <v>5678564.21</v>
      </c>
      <c r="Q120" s="2">
        <v>0</v>
      </c>
      <c r="R120" s="5">
        <v>167271.51</v>
      </c>
      <c r="S120" s="2">
        <f t="shared" si="32"/>
        <v>167271.51</v>
      </c>
      <c r="T120" s="2">
        <f t="shared" si="39"/>
        <v>7034429.8799999999</v>
      </c>
      <c r="U120" s="171">
        <f t="shared" si="35"/>
        <v>3.5200000000000002E-2</v>
      </c>
      <c r="V120" s="5">
        <f t="shared" si="40"/>
        <v>20143.66</v>
      </c>
      <c r="W120" s="2">
        <f t="shared" si="41"/>
        <v>268713.37999999995</v>
      </c>
      <c r="X120" s="2">
        <f t="shared" si="33"/>
        <v>6765716.5</v>
      </c>
    </row>
    <row r="121" spans="1:24">
      <c r="A121" s="163">
        <v>202103</v>
      </c>
      <c r="B121" s="163">
        <v>36500</v>
      </c>
      <c r="C121" s="2">
        <v>0</v>
      </c>
      <c r="D121" s="2">
        <v>0</v>
      </c>
      <c r="E121" s="2">
        <v>0</v>
      </c>
      <c r="F121" s="2">
        <v>0</v>
      </c>
      <c r="G121" s="2">
        <v>0</v>
      </c>
      <c r="H121" s="2">
        <v>0</v>
      </c>
      <c r="I121" s="2">
        <v>0</v>
      </c>
      <c r="J121" s="2">
        <f t="shared" si="43"/>
        <v>0</v>
      </c>
      <c r="K121" s="2">
        <f t="shared" si="36"/>
        <v>5995105.7300000004</v>
      </c>
      <c r="L121" s="171">
        <f t="shared" si="42"/>
        <v>3.5200000000000002E-2</v>
      </c>
      <c r="M121" s="1">
        <f t="shared" si="37"/>
        <v>17585.64</v>
      </c>
      <c r="N121" s="2">
        <f t="shared" si="38"/>
        <v>334127.16000000015</v>
      </c>
      <c r="O121" s="2">
        <f t="shared" si="31"/>
        <v>5660978.5700000003</v>
      </c>
      <c r="Q121" s="2">
        <v>0</v>
      </c>
      <c r="R121" s="5">
        <v>217725.19</v>
      </c>
      <c r="S121" s="2">
        <f t="shared" si="32"/>
        <v>217725.19</v>
      </c>
      <c r="T121" s="2">
        <f t="shared" si="39"/>
        <v>7252155.0700000003</v>
      </c>
      <c r="U121" s="171">
        <f t="shared" si="35"/>
        <v>3.5200000000000002E-2</v>
      </c>
      <c r="V121" s="5">
        <f t="shared" si="40"/>
        <v>20634.330000000002</v>
      </c>
      <c r="W121" s="2">
        <f t="shared" si="41"/>
        <v>289347.70999999996</v>
      </c>
      <c r="X121" s="2">
        <f t="shared" si="33"/>
        <v>6962807.3600000003</v>
      </c>
    </row>
    <row r="122" spans="1:24">
      <c r="A122" s="163">
        <v>202104</v>
      </c>
      <c r="B122" s="163">
        <v>36500</v>
      </c>
      <c r="C122" s="2">
        <v>0</v>
      </c>
      <c r="D122" s="2">
        <v>0</v>
      </c>
      <c r="E122" s="2">
        <v>0</v>
      </c>
      <c r="F122" s="2">
        <v>0</v>
      </c>
      <c r="G122" s="2">
        <v>0</v>
      </c>
      <c r="H122" s="2">
        <v>0</v>
      </c>
      <c r="I122" s="2">
        <v>0</v>
      </c>
      <c r="J122" s="2">
        <f t="shared" si="43"/>
        <v>0</v>
      </c>
      <c r="K122" s="2">
        <f t="shared" si="36"/>
        <v>5995105.7300000004</v>
      </c>
      <c r="L122" s="171">
        <f t="shared" si="42"/>
        <v>3.5200000000000002E-2</v>
      </c>
      <c r="M122" s="1">
        <f t="shared" si="37"/>
        <v>17585.64</v>
      </c>
      <c r="N122" s="2">
        <f t="shared" si="38"/>
        <v>351712.80000000016</v>
      </c>
      <c r="O122" s="2">
        <f t="shared" si="31"/>
        <v>5643392.9300000006</v>
      </c>
      <c r="Q122" s="2">
        <v>0</v>
      </c>
      <c r="R122" s="5">
        <v>136193.22</v>
      </c>
      <c r="S122" s="2">
        <f t="shared" si="32"/>
        <v>136193.22</v>
      </c>
      <c r="T122" s="2">
        <f t="shared" si="39"/>
        <v>7388348.29</v>
      </c>
      <c r="U122" s="171">
        <f t="shared" si="35"/>
        <v>3.5200000000000002E-2</v>
      </c>
      <c r="V122" s="5">
        <f t="shared" si="40"/>
        <v>21272.99</v>
      </c>
      <c r="W122" s="2">
        <f t="shared" si="41"/>
        <v>310620.69999999995</v>
      </c>
      <c r="X122" s="2">
        <f t="shared" si="33"/>
        <v>7077727.5899999999</v>
      </c>
    </row>
    <row r="123" spans="1:24">
      <c r="A123" s="163">
        <v>202105</v>
      </c>
      <c r="B123" s="163">
        <v>36500</v>
      </c>
      <c r="C123" s="2">
        <v>0</v>
      </c>
      <c r="D123" s="2">
        <v>0</v>
      </c>
      <c r="E123" s="2">
        <v>0</v>
      </c>
      <c r="F123" s="2">
        <v>0</v>
      </c>
      <c r="G123" s="2">
        <v>0</v>
      </c>
      <c r="H123" s="2">
        <v>0</v>
      </c>
      <c r="I123" s="2">
        <v>0</v>
      </c>
      <c r="J123" s="2">
        <f t="shared" si="43"/>
        <v>0</v>
      </c>
      <c r="K123" s="2">
        <f t="shared" si="36"/>
        <v>5995105.7300000004</v>
      </c>
      <c r="L123" s="171">
        <f t="shared" si="42"/>
        <v>3.5200000000000002E-2</v>
      </c>
      <c r="M123" s="1">
        <f t="shared" si="37"/>
        <v>17585.64</v>
      </c>
      <c r="N123" s="2">
        <f t="shared" si="38"/>
        <v>369298.44000000018</v>
      </c>
      <c r="O123" s="2">
        <f t="shared" si="31"/>
        <v>5625807.29</v>
      </c>
      <c r="Q123" s="2">
        <v>0</v>
      </c>
      <c r="R123" s="5">
        <v>208198.75</v>
      </c>
      <c r="S123" s="2">
        <f t="shared" si="32"/>
        <v>208198.75</v>
      </c>
      <c r="T123" s="2">
        <f t="shared" si="39"/>
        <v>7596547.04</v>
      </c>
      <c r="U123" s="171">
        <f t="shared" si="35"/>
        <v>3.5200000000000002E-2</v>
      </c>
      <c r="V123" s="5">
        <f t="shared" si="40"/>
        <v>21672.49</v>
      </c>
      <c r="W123" s="2">
        <f t="shared" si="41"/>
        <v>332293.18999999994</v>
      </c>
      <c r="X123" s="2">
        <f t="shared" si="33"/>
        <v>7264253.8499999996</v>
      </c>
    </row>
    <row r="124" spans="1:24">
      <c r="A124" s="163">
        <v>202106</v>
      </c>
      <c r="B124" s="163">
        <v>36500</v>
      </c>
      <c r="C124" s="2">
        <v>0</v>
      </c>
      <c r="D124" s="2">
        <v>0</v>
      </c>
      <c r="E124" s="2">
        <v>0</v>
      </c>
      <c r="F124" s="2">
        <v>0</v>
      </c>
      <c r="G124" s="2">
        <v>0</v>
      </c>
      <c r="H124" s="2">
        <v>0</v>
      </c>
      <c r="I124" s="2">
        <v>0</v>
      </c>
      <c r="J124" s="2">
        <f t="shared" si="43"/>
        <v>0</v>
      </c>
      <c r="K124" s="2">
        <f t="shared" si="36"/>
        <v>5995105.7300000004</v>
      </c>
      <c r="L124" s="171">
        <f t="shared" si="42"/>
        <v>3.5200000000000002E-2</v>
      </c>
      <c r="M124" s="1">
        <f t="shared" si="37"/>
        <v>17585.64</v>
      </c>
      <c r="N124" s="2">
        <f t="shared" si="38"/>
        <v>386884.08000000019</v>
      </c>
      <c r="O124" s="2">
        <f t="shared" si="31"/>
        <v>5608221.6500000004</v>
      </c>
      <c r="Q124" s="2">
        <v>0</v>
      </c>
      <c r="R124" s="5">
        <v>167565.87</v>
      </c>
      <c r="S124" s="2">
        <f t="shared" si="32"/>
        <v>167565.87</v>
      </c>
      <c r="T124" s="2">
        <f t="shared" si="39"/>
        <v>7764112.9100000001</v>
      </c>
      <c r="U124" s="171">
        <f t="shared" si="35"/>
        <v>3.5200000000000002E-2</v>
      </c>
      <c r="V124" s="5">
        <f t="shared" si="40"/>
        <v>22283.200000000001</v>
      </c>
      <c r="W124" s="2">
        <f t="shared" si="41"/>
        <v>354576.38999999996</v>
      </c>
      <c r="X124" s="2">
        <f t="shared" si="33"/>
        <v>7409536.5200000005</v>
      </c>
    </row>
    <row r="125" spans="1:24">
      <c r="A125" s="163">
        <v>202107</v>
      </c>
      <c r="B125" s="163">
        <v>36500</v>
      </c>
      <c r="C125" s="2">
        <v>0</v>
      </c>
      <c r="D125" s="2">
        <v>0</v>
      </c>
      <c r="E125" s="2">
        <v>0</v>
      </c>
      <c r="F125" s="2">
        <v>0</v>
      </c>
      <c r="G125" s="2">
        <v>0</v>
      </c>
      <c r="H125" s="2">
        <v>0</v>
      </c>
      <c r="I125" s="2">
        <v>0</v>
      </c>
      <c r="J125" s="2">
        <f t="shared" si="43"/>
        <v>0</v>
      </c>
      <c r="K125" s="2">
        <f t="shared" si="36"/>
        <v>5995105.7300000004</v>
      </c>
      <c r="L125" s="171">
        <f t="shared" si="42"/>
        <v>3.5200000000000002E-2</v>
      </c>
      <c r="M125" s="1">
        <f t="shared" si="37"/>
        <v>17585.64</v>
      </c>
      <c r="N125" s="2">
        <f t="shared" si="38"/>
        <v>404469.7200000002</v>
      </c>
      <c r="O125" s="2">
        <f t="shared" si="31"/>
        <v>5590636.0099999998</v>
      </c>
      <c r="Q125" s="2">
        <v>0</v>
      </c>
      <c r="R125" s="5">
        <v>215132.13</v>
      </c>
      <c r="S125" s="2">
        <f t="shared" si="32"/>
        <v>215132.13</v>
      </c>
      <c r="T125" s="2">
        <f t="shared" si="39"/>
        <v>7979245.04</v>
      </c>
      <c r="U125" s="171">
        <f t="shared" si="35"/>
        <v>3.5200000000000002E-2</v>
      </c>
      <c r="V125" s="5">
        <f t="shared" si="40"/>
        <v>22774.73</v>
      </c>
      <c r="W125" s="2">
        <f t="shared" si="41"/>
        <v>377351.11999999994</v>
      </c>
      <c r="X125" s="2">
        <f t="shared" si="33"/>
        <v>7601893.9199999999</v>
      </c>
    </row>
    <row r="126" spans="1:24">
      <c r="A126" s="163">
        <v>202108</v>
      </c>
      <c r="B126" s="163">
        <v>36500</v>
      </c>
      <c r="C126" s="2">
        <v>0</v>
      </c>
      <c r="D126" s="2">
        <v>0</v>
      </c>
      <c r="E126" s="2">
        <v>0</v>
      </c>
      <c r="F126" s="2">
        <v>0</v>
      </c>
      <c r="G126" s="2">
        <v>0</v>
      </c>
      <c r="H126" s="2">
        <v>0</v>
      </c>
      <c r="I126" s="2">
        <v>0</v>
      </c>
      <c r="J126" s="2">
        <f t="shared" si="43"/>
        <v>0</v>
      </c>
      <c r="K126" s="2">
        <f t="shared" si="36"/>
        <v>5995105.7300000004</v>
      </c>
      <c r="L126" s="171">
        <f t="shared" si="42"/>
        <v>3.5200000000000002E-2</v>
      </c>
      <c r="M126" s="1">
        <f t="shared" si="37"/>
        <v>17585.64</v>
      </c>
      <c r="N126" s="2">
        <f t="shared" si="38"/>
        <v>422055.36000000022</v>
      </c>
      <c r="O126" s="2">
        <f t="shared" si="31"/>
        <v>5573050.3700000001</v>
      </c>
      <c r="Q126" s="2">
        <v>0</v>
      </c>
      <c r="R126" s="5">
        <v>199483.89</v>
      </c>
      <c r="S126" s="2">
        <f t="shared" si="32"/>
        <v>199483.89</v>
      </c>
      <c r="T126" s="2">
        <f t="shared" si="39"/>
        <v>8178728.9299999997</v>
      </c>
      <c r="U126" s="171">
        <f t="shared" si="35"/>
        <v>3.5200000000000002E-2</v>
      </c>
      <c r="V126" s="5">
        <f t="shared" si="40"/>
        <v>23405.79</v>
      </c>
      <c r="W126" s="2">
        <f t="shared" si="41"/>
        <v>400756.90999999992</v>
      </c>
      <c r="X126" s="2">
        <f t="shared" si="33"/>
        <v>7777972.0199999996</v>
      </c>
    </row>
    <row r="127" spans="1:24">
      <c r="A127" s="163">
        <v>202109</v>
      </c>
      <c r="B127" s="163">
        <v>36500</v>
      </c>
      <c r="C127" s="2">
        <v>0</v>
      </c>
      <c r="D127" s="2">
        <v>0</v>
      </c>
      <c r="E127" s="2">
        <v>0</v>
      </c>
      <c r="F127" s="2">
        <v>0</v>
      </c>
      <c r="G127" s="2">
        <v>0</v>
      </c>
      <c r="H127" s="2">
        <v>0</v>
      </c>
      <c r="I127" s="2">
        <v>0</v>
      </c>
      <c r="J127" s="2">
        <f t="shared" si="43"/>
        <v>0</v>
      </c>
      <c r="K127" s="2">
        <f t="shared" si="36"/>
        <v>5995105.7300000004</v>
      </c>
      <c r="L127" s="171">
        <f t="shared" si="42"/>
        <v>3.5200000000000002E-2</v>
      </c>
      <c r="M127" s="1">
        <f t="shared" si="37"/>
        <v>17585.64</v>
      </c>
      <c r="N127" s="2">
        <f t="shared" si="38"/>
        <v>439641.00000000023</v>
      </c>
      <c r="O127" s="2">
        <f t="shared" si="31"/>
        <v>5555464.7300000004</v>
      </c>
      <c r="Q127" s="2">
        <v>0</v>
      </c>
      <c r="R127" s="5">
        <v>313146.84999999998</v>
      </c>
      <c r="S127" s="2">
        <f t="shared" si="32"/>
        <v>313146.84999999998</v>
      </c>
      <c r="T127" s="2">
        <f t="shared" si="39"/>
        <v>8491875.7799999993</v>
      </c>
      <c r="U127" s="171">
        <f t="shared" si="35"/>
        <v>3.5200000000000002E-2</v>
      </c>
      <c r="V127" s="5">
        <f t="shared" si="40"/>
        <v>23990.94</v>
      </c>
      <c r="W127" s="2">
        <f t="shared" si="41"/>
        <v>424747.84999999992</v>
      </c>
      <c r="X127" s="2">
        <f t="shared" si="33"/>
        <v>8067127.9299999997</v>
      </c>
    </row>
    <row r="128" spans="1:24">
      <c r="A128" s="163">
        <v>202110</v>
      </c>
      <c r="B128" s="163">
        <v>36500</v>
      </c>
      <c r="C128" s="2">
        <v>0</v>
      </c>
      <c r="D128" s="2">
        <v>0</v>
      </c>
      <c r="E128" s="2">
        <v>0</v>
      </c>
      <c r="F128" s="2">
        <v>0</v>
      </c>
      <c r="G128" s="2">
        <v>0</v>
      </c>
      <c r="H128" s="2">
        <v>0</v>
      </c>
      <c r="I128" s="2">
        <v>0</v>
      </c>
      <c r="J128" s="2">
        <f t="shared" si="43"/>
        <v>0</v>
      </c>
      <c r="K128" s="2">
        <f t="shared" si="36"/>
        <v>5995105.7300000004</v>
      </c>
      <c r="L128" s="171">
        <f t="shared" si="42"/>
        <v>3.5200000000000002E-2</v>
      </c>
      <c r="M128" s="1">
        <f t="shared" si="37"/>
        <v>17585.64</v>
      </c>
      <c r="N128" s="2">
        <f t="shared" si="38"/>
        <v>457226.64000000025</v>
      </c>
      <c r="O128" s="2">
        <f t="shared" si="31"/>
        <v>5537879.0899999999</v>
      </c>
      <c r="Q128" s="2">
        <v>0</v>
      </c>
      <c r="R128" s="5">
        <v>148655.5</v>
      </c>
      <c r="S128" s="2">
        <f t="shared" si="32"/>
        <v>148655.5</v>
      </c>
      <c r="T128" s="2">
        <f t="shared" si="39"/>
        <v>8640531.2799999993</v>
      </c>
      <c r="U128" s="171">
        <f t="shared" si="35"/>
        <v>3.5200000000000002E-2</v>
      </c>
      <c r="V128" s="5">
        <f t="shared" si="40"/>
        <v>24909.5</v>
      </c>
      <c r="W128" s="2">
        <f t="shared" si="41"/>
        <v>449657.34999999992</v>
      </c>
      <c r="X128" s="2">
        <f t="shared" si="33"/>
        <v>8190873.9299999997</v>
      </c>
    </row>
    <row r="129" spans="1:24">
      <c r="A129" s="163">
        <v>202111</v>
      </c>
      <c r="B129" s="163">
        <v>36500</v>
      </c>
      <c r="C129" s="2">
        <v>0</v>
      </c>
      <c r="D129" s="2">
        <v>0</v>
      </c>
      <c r="E129" s="2">
        <v>0</v>
      </c>
      <c r="F129" s="2">
        <v>0</v>
      </c>
      <c r="G129" s="2">
        <v>0</v>
      </c>
      <c r="H129" s="2">
        <v>0</v>
      </c>
      <c r="I129" s="2">
        <v>0</v>
      </c>
      <c r="J129" s="2">
        <f t="shared" si="43"/>
        <v>0</v>
      </c>
      <c r="K129" s="2">
        <f t="shared" si="36"/>
        <v>5995105.7300000004</v>
      </c>
      <c r="L129" s="171">
        <f t="shared" si="42"/>
        <v>3.5200000000000002E-2</v>
      </c>
      <c r="M129" s="1">
        <f t="shared" si="37"/>
        <v>17585.64</v>
      </c>
      <c r="N129" s="2">
        <f t="shared" si="38"/>
        <v>474812.28000000026</v>
      </c>
      <c r="O129" s="2">
        <f t="shared" si="31"/>
        <v>5520293.4500000002</v>
      </c>
      <c r="Q129" s="2">
        <v>0</v>
      </c>
      <c r="R129" s="5">
        <v>286410.01</v>
      </c>
      <c r="S129" s="2">
        <f t="shared" si="32"/>
        <v>286410.01</v>
      </c>
      <c r="T129" s="2">
        <f t="shared" si="39"/>
        <v>8926941.2899999991</v>
      </c>
      <c r="U129" s="171">
        <f t="shared" si="35"/>
        <v>3.5200000000000002E-2</v>
      </c>
      <c r="V129" s="5">
        <f t="shared" si="40"/>
        <v>25345.56</v>
      </c>
      <c r="W129" s="2">
        <f t="shared" si="41"/>
        <v>475002.90999999992</v>
      </c>
      <c r="X129" s="2">
        <f t="shared" si="33"/>
        <v>8451938.379999999</v>
      </c>
    </row>
    <row r="130" spans="1:24">
      <c r="A130" s="163">
        <v>202112</v>
      </c>
      <c r="B130" s="163">
        <v>36500</v>
      </c>
      <c r="C130" s="2">
        <v>0</v>
      </c>
      <c r="D130" s="2">
        <v>0</v>
      </c>
      <c r="E130" s="2">
        <v>0</v>
      </c>
      <c r="F130" s="2">
        <v>0</v>
      </c>
      <c r="G130" s="2">
        <v>0</v>
      </c>
      <c r="H130" s="2">
        <v>0</v>
      </c>
      <c r="I130" s="2">
        <v>0</v>
      </c>
      <c r="J130" s="2">
        <f t="shared" si="43"/>
        <v>0</v>
      </c>
      <c r="K130" s="2">
        <f t="shared" si="36"/>
        <v>5995105.7300000004</v>
      </c>
      <c r="L130" s="171">
        <f t="shared" si="42"/>
        <v>3.5200000000000002E-2</v>
      </c>
      <c r="M130" s="1">
        <f t="shared" si="37"/>
        <v>17585.64</v>
      </c>
      <c r="N130" s="2">
        <f t="shared" si="38"/>
        <v>492397.92000000027</v>
      </c>
      <c r="O130" s="2">
        <f t="shared" si="31"/>
        <v>5502707.8100000005</v>
      </c>
      <c r="Q130" s="2">
        <v>0</v>
      </c>
      <c r="R130" s="5">
        <v>146342.59</v>
      </c>
      <c r="S130" s="2">
        <f t="shared" si="32"/>
        <v>146342.59</v>
      </c>
      <c r="T130" s="2">
        <f t="shared" si="39"/>
        <v>9073283.879999999</v>
      </c>
      <c r="U130" s="171">
        <f t="shared" si="35"/>
        <v>3.5200000000000002E-2</v>
      </c>
      <c r="V130" s="5">
        <f t="shared" si="40"/>
        <v>26185.69</v>
      </c>
      <c r="W130" s="2">
        <f t="shared" si="41"/>
        <v>501188.59999999992</v>
      </c>
      <c r="X130" s="2">
        <f t="shared" si="33"/>
        <v>8572095.2799999993</v>
      </c>
    </row>
    <row r="131" spans="1:24">
      <c r="A131" s="163">
        <v>202201</v>
      </c>
      <c r="B131" s="163">
        <v>36500</v>
      </c>
      <c r="C131" s="2">
        <v>0</v>
      </c>
      <c r="D131" s="2">
        <v>0</v>
      </c>
      <c r="E131" s="2">
        <v>0</v>
      </c>
      <c r="F131" s="2">
        <v>0</v>
      </c>
      <c r="G131" s="2">
        <v>0</v>
      </c>
      <c r="H131" s="2">
        <v>0</v>
      </c>
      <c r="I131" s="2">
        <v>0</v>
      </c>
      <c r="J131" s="2">
        <f t="shared" si="43"/>
        <v>0</v>
      </c>
      <c r="K131" s="2">
        <f t="shared" si="36"/>
        <v>5995105.7300000004</v>
      </c>
      <c r="L131" s="171">
        <f t="shared" si="42"/>
        <v>3.5200000000000002E-2</v>
      </c>
      <c r="M131" s="1">
        <f t="shared" si="37"/>
        <v>17585.64</v>
      </c>
      <c r="N131" s="2">
        <f t="shared" si="38"/>
        <v>509983.56000000029</v>
      </c>
      <c r="O131" s="2">
        <f t="shared" si="31"/>
        <v>5485122.1699999999</v>
      </c>
      <c r="Q131" s="2">
        <v>0</v>
      </c>
      <c r="R131" s="5">
        <v>158691.79999999999</v>
      </c>
      <c r="S131" s="2">
        <f t="shared" si="32"/>
        <v>158691.79999999999</v>
      </c>
      <c r="T131" s="2">
        <f t="shared" si="39"/>
        <v>9231975.6799999997</v>
      </c>
      <c r="U131" s="171">
        <f t="shared" si="35"/>
        <v>3.5200000000000002E-2</v>
      </c>
      <c r="V131" s="5">
        <f t="shared" si="40"/>
        <v>26614.97</v>
      </c>
      <c r="W131" s="2">
        <f t="shared" si="41"/>
        <v>527803.56999999995</v>
      </c>
      <c r="X131" s="2">
        <f t="shared" si="33"/>
        <v>8704172.1099999994</v>
      </c>
    </row>
    <row r="132" spans="1:24">
      <c r="A132" s="163">
        <v>202202</v>
      </c>
      <c r="B132" s="163">
        <v>36500</v>
      </c>
      <c r="C132" s="2">
        <v>0</v>
      </c>
      <c r="D132" s="2">
        <v>0</v>
      </c>
      <c r="E132" s="2">
        <v>0</v>
      </c>
      <c r="F132" s="2">
        <v>0</v>
      </c>
      <c r="G132" s="2">
        <v>0</v>
      </c>
      <c r="H132" s="2">
        <v>0</v>
      </c>
      <c r="I132" s="2">
        <v>0</v>
      </c>
      <c r="J132" s="2">
        <f t="shared" si="43"/>
        <v>0</v>
      </c>
      <c r="K132" s="2">
        <f t="shared" si="36"/>
        <v>5995105.7300000004</v>
      </c>
      <c r="L132" s="171">
        <f t="shared" si="42"/>
        <v>3.5200000000000002E-2</v>
      </c>
      <c r="M132" s="1">
        <f t="shared" si="37"/>
        <v>17585.64</v>
      </c>
      <c r="N132" s="2">
        <f t="shared" si="38"/>
        <v>527569.2000000003</v>
      </c>
      <c r="O132" s="2">
        <f t="shared" si="31"/>
        <v>5467536.5300000003</v>
      </c>
      <c r="Q132" s="2">
        <v>0</v>
      </c>
      <c r="R132" s="5">
        <v>172685.86000000002</v>
      </c>
      <c r="S132" s="2">
        <f t="shared" si="32"/>
        <v>172685.86000000002</v>
      </c>
      <c r="T132" s="2">
        <f t="shared" si="39"/>
        <v>9404661.5399999991</v>
      </c>
      <c r="U132" s="171">
        <f t="shared" si="35"/>
        <v>3.5200000000000002E-2</v>
      </c>
      <c r="V132" s="5">
        <f t="shared" si="40"/>
        <v>27080.46</v>
      </c>
      <c r="W132" s="2">
        <f t="shared" si="41"/>
        <v>554884.02999999991</v>
      </c>
      <c r="X132" s="2">
        <f t="shared" si="33"/>
        <v>8849777.5099999998</v>
      </c>
    </row>
    <row r="133" spans="1:24">
      <c r="A133" s="163">
        <v>202203</v>
      </c>
      <c r="B133" s="163">
        <v>36500</v>
      </c>
      <c r="C133" s="2">
        <v>0</v>
      </c>
      <c r="D133" s="2">
        <v>0</v>
      </c>
      <c r="E133" s="2">
        <v>0</v>
      </c>
      <c r="F133" s="2">
        <v>0</v>
      </c>
      <c r="G133" s="2">
        <v>0</v>
      </c>
      <c r="H133" s="2">
        <v>0</v>
      </c>
      <c r="I133" s="2">
        <v>0</v>
      </c>
      <c r="J133" s="2">
        <f t="shared" si="43"/>
        <v>0</v>
      </c>
      <c r="K133" s="2">
        <f t="shared" si="36"/>
        <v>5995105.7300000004</v>
      </c>
      <c r="L133" s="171">
        <f t="shared" si="42"/>
        <v>3.5200000000000002E-2</v>
      </c>
      <c r="M133" s="1">
        <f t="shared" si="37"/>
        <v>17585.64</v>
      </c>
      <c r="N133" s="2">
        <f t="shared" si="38"/>
        <v>545154.84000000032</v>
      </c>
      <c r="O133" s="2">
        <f t="shared" si="31"/>
        <v>5449950.8900000006</v>
      </c>
      <c r="Q133" s="2">
        <v>0</v>
      </c>
      <c r="R133" s="5">
        <v>265334.96000000002</v>
      </c>
      <c r="S133" s="2">
        <f t="shared" si="32"/>
        <v>265334.96000000002</v>
      </c>
      <c r="T133" s="2">
        <f t="shared" si="39"/>
        <v>9669996.5</v>
      </c>
      <c r="U133" s="171">
        <f t="shared" si="35"/>
        <v>3.5200000000000002E-2</v>
      </c>
      <c r="V133" s="5">
        <f t="shared" si="40"/>
        <v>27587.01</v>
      </c>
      <c r="W133" s="2">
        <f t="shared" si="41"/>
        <v>582471.03999999992</v>
      </c>
      <c r="X133" s="2">
        <f t="shared" si="33"/>
        <v>9087525.4600000009</v>
      </c>
    </row>
    <row r="134" spans="1:24">
      <c r="A134" s="163">
        <v>202204</v>
      </c>
      <c r="B134" s="163">
        <v>36500</v>
      </c>
      <c r="C134" s="2">
        <v>0</v>
      </c>
      <c r="D134" s="2">
        <v>0</v>
      </c>
      <c r="E134" s="2">
        <v>0</v>
      </c>
      <c r="F134" s="2">
        <v>0</v>
      </c>
      <c r="G134" s="2">
        <v>0</v>
      </c>
      <c r="H134" s="2">
        <v>0</v>
      </c>
      <c r="I134" s="2">
        <v>0</v>
      </c>
      <c r="J134" s="2">
        <f t="shared" si="43"/>
        <v>0</v>
      </c>
      <c r="K134" s="2">
        <f t="shared" si="36"/>
        <v>5995105.7300000004</v>
      </c>
      <c r="L134" s="171">
        <f t="shared" si="42"/>
        <v>3.5200000000000002E-2</v>
      </c>
      <c r="M134" s="1">
        <f t="shared" si="37"/>
        <v>17585.64</v>
      </c>
      <c r="N134" s="2">
        <f t="shared" si="38"/>
        <v>562740.48000000033</v>
      </c>
      <c r="O134" s="2">
        <f t="shared" si="31"/>
        <v>5432365.25</v>
      </c>
      <c r="Q134" s="2">
        <v>0</v>
      </c>
      <c r="R134" s="5">
        <v>288026.25</v>
      </c>
      <c r="S134" s="2">
        <f t="shared" si="32"/>
        <v>288026.25</v>
      </c>
      <c r="T134" s="2">
        <f t="shared" si="39"/>
        <v>9958022.75</v>
      </c>
      <c r="U134" s="171">
        <f t="shared" si="35"/>
        <v>3.5200000000000002E-2</v>
      </c>
      <c r="V134" s="5">
        <f t="shared" si="40"/>
        <v>28365.32</v>
      </c>
      <c r="W134" s="2">
        <f t="shared" si="41"/>
        <v>610836.35999999987</v>
      </c>
      <c r="X134" s="2">
        <f t="shared" si="33"/>
        <v>9347186.3900000006</v>
      </c>
    </row>
    <row r="135" spans="1:24">
      <c r="A135" s="163">
        <v>202205</v>
      </c>
      <c r="B135" s="163">
        <v>36500</v>
      </c>
      <c r="C135" s="2">
        <v>0</v>
      </c>
      <c r="D135" s="2">
        <v>0</v>
      </c>
      <c r="E135" s="2">
        <v>0</v>
      </c>
      <c r="F135" s="2">
        <v>0</v>
      </c>
      <c r="G135" s="2">
        <v>0</v>
      </c>
      <c r="H135" s="2">
        <v>0</v>
      </c>
      <c r="I135" s="2">
        <v>0</v>
      </c>
      <c r="J135" s="2">
        <f t="shared" si="43"/>
        <v>0</v>
      </c>
      <c r="K135" s="2">
        <f t="shared" si="36"/>
        <v>5995105.7300000004</v>
      </c>
      <c r="L135" s="171">
        <f t="shared" si="42"/>
        <v>3.5200000000000002E-2</v>
      </c>
      <c r="M135" s="1">
        <f t="shared" si="37"/>
        <v>17585.64</v>
      </c>
      <c r="N135" s="2">
        <f t="shared" si="38"/>
        <v>580326.12000000034</v>
      </c>
      <c r="O135" s="2">
        <f t="shared" si="31"/>
        <v>5414779.6100000003</v>
      </c>
      <c r="Q135" s="2">
        <v>0</v>
      </c>
      <c r="R135" s="5">
        <v>279667.71000000002</v>
      </c>
      <c r="S135" s="2">
        <f t="shared" si="32"/>
        <v>279667.71000000002</v>
      </c>
      <c r="T135" s="2">
        <f t="shared" si="39"/>
        <v>10237690.460000001</v>
      </c>
      <c r="U135" s="171">
        <f t="shared" si="35"/>
        <v>3.5200000000000002E-2</v>
      </c>
      <c r="V135" s="5">
        <f t="shared" si="40"/>
        <v>29210.2</v>
      </c>
      <c r="W135" s="2">
        <f t="shared" si="41"/>
        <v>640046.55999999982</v>
      </c>
      <c r="X135" s="2">
        <f t="shared" si="33"/>
        <v>9597643.9000000004</v>
      </c>
    </row>
    <row r="136" spans="1:24">
      <c r="A136" s="163">
        <v>202206</v>
      </c>
      <c r="B136" s="163">
        <v>36500</v>
      </c>
      <c r="C136" s="2">
        <v>0</v>
      </c>
      <c r="D136" s="2">
        <v>0</v>
      </c>
      <c r="E136" s="2">
        <v>0</v>
      </c>
      <c r="F136" s="2">
        <v>0</v>
      </c>
      <c r="G136" s="2">
        <v>0</v>
      </c>
      <c r="H136" s="2">
        <v>0</v>
      </c>
      <c r="I136" s="2">
        <v>0</v>
      </c>
      <c r="J136" s="2">
        <f t="shared" si="43"/>
        <v>0</v>
      </c>
      <c r="K136" s="2">
        <f t="shared" si="36"/>
        <v>5995105.7300000004</v>
      </c>
      <c r="L136" s="171">
        <f t="shared" si="42"/>
        <v>3.5200000000000002E-2</v>
      </c>
      <c r="M136" s="1">
        <f t="shared" si="37"/>
        <v>17585.64</v>
      </c>
      <c r="N136" s="2">
        <f t="shared" si="38"/>
        <v>597911.76000000036</v>
      </c>
      <c r="O136" s="2">
        <f t="shared" si="31"/>
        <v>5397193.9699999997</v>
      </c>
      <c r="Q136" s="2">
        <v>0</v>
      </c>
      <c r="R136" s="5">
        <v>386216.68</v>
      </c>
      <c r="S136" s="2">
        <f t="shared" si="32"/>
        <v>386216.68</v>
      </c>
      <c r="T136" s="2">
        <f t="shared" si="39"/>
        <v>10623907.140000001</v>
      </c>
      <c r="U136" s="171">
        <f t="shared" si="35"/>
        <v>3.5200000000000002E-2</v>
      </c>
      <c r="V136" s="5">
        <f t="shared" si="40"/>
        <v>30030.560000000001</v>
      </c>
      <c r="W136" s="2">
        <f t="shared" si="41"/>
        <v>670077.11999999988</v>
      </c>
      <c r="X136" s="2">
        <f t="shared" si="33"/>
        <v>9953830.0200000014</v>
      </c>
    </row>
    <row r="137" spans="1:24">
      <c r="A137" s="163">
        <v>202207</v>
      </c>
      <c r="B137" s="163">
        <v>36500</v>
      </c>
      <c r="C137" s="2">
        <v>0</v>
      </c>
      <c r="D137" s="2">
        <v>0</v>
      </c>
      <c r="E137" s="2">
        <v>0</v>
      </c>
      <c r="F137" s="2">
        <v>0</v>
      </c>
      <c r="G137" s="2">
        <v>0</v>
      </c>
      <c r="H137" s="2">
        <v>0</v>
      </c>
      <c r="I137" s="2">
        <v>0</v>
      </c>
      <c r="J137" s="2">
        <f t="shared" si="43"/>
        <v>0</v>
      </c>
      <c r="K137" s="2">
        <f t="shared" si="36"/>
        <v>5995105.7300000004</v>
      </c>
      <c r="L137" s="171">
        <f t="shared" si="42"/>
        <v>3.5200000000000002E-2</v>
      </c>
      <c r="M137" s="1">
        <f t="shared" si="37"/>
        <v>17585.64</v>
      </c>
      <c r="N137" s="2">
        <f t="shared" si="38"/>
        <v>615497.40000000037</v>
      </c>
      <c r="O137" s="2">
        <f t="shared" si="31"/>
        <v>5379608.3300000001</v>
      </c>
      <c r="Q137" s="2">
        <v>0</v>
      </c>
      <c r="R137" s="5">
        <v>199592.11</v>
      </c>
      <c r="S137" s="2">
        <f t="shared" si="32"/>
        <v>199592.11</v>
      </c>
      <c r="T137" s="2">
        <f t="shared" si="39"/>
        <v>10823499.25</v>
      </c>
      <c r="U137" s="171">
        <f t="shared" si="35"/>
        <v>3.5200000000000002E-2</v>
      </c>
      <c r="V137" s="5">
        <f t="shared" si="40"/>
        <v>31163.46</v>
      </c>
      <c r="W137" s="2">
        <f t="shared" si="41"/>
        <v>701240.57999999984</v>
      </c>
      <c r="X137" s="2">
        <f t="shared" si="33"/>
        <v>10122258.67</v>
      </c>
    </row>
    <row r="138" spans="1:24">
      <c r="A138" s="163">
        <v>202208</v>
      </c>
      <c r="B138" s="163">
        <v>36500</v>
      </c>
      <c r="C138" s="2">
        <v>0</v>
      </c>
      <c r="D138" s="2">
        <v>0</v>
      </c>
      <c r="E138" s="2">
        <v>0</v>
      </c>
      <c r="F138" s="2">
        <v>0</v>
      </c>
      <c r="G138" s="2">
        <v>0</v>
      </c>
      <c r="H138" s="2">
        <v>0</v>
      </c>
      <c r="I138" s="2">
        <v>0</v>
      </c>
      <c r="J138" s="2">
        <f t="shared" si="43"/>
        <v>0</v>
      </c>
      <c r="K138" s="2">
        <f t="shared" si="36"/>
        <v>5995105.7300000004</v>
      </c>
      <c r="L138" s="171">
        <f t="shared" si="42"/>
        <v>3.5200000000000002E-2</v>
      </c>
      <c r="M138" s="1">
        <f t="shared" si="37"/>
        <v>17585.64</v>
      </c>
      <c r="N138" s="2">
        <f t="shared" si="38"/>
        <v>633083.04000000039</v>
      </c>
      <c r="O138" s="2">
        <f t="shared" si="31"/>
        <v>5362022.6900000004</v>
      </c>
      <c r="Q138" s="2">
        <v>0</v>
      </c>
      <c r="R138" s="5">
        <v>189315.13</v>
      </c>
      <c r="S138" s="2">
        <f t="shared" si="32"/>
        <v>189315.13</v>
      </c>
      <c r="T138" s="2">
        <f t="shared" si="39"/>
        <v>11012814.380000001</v>
      </c>
      <c r="U138" s="171">
        <f t="shared" si="35"/>
        <v>3.5200000000000002E-2</v>
      </c>
      <c r="V138" s="5">
        <f t="shared" si="40"/>
        <v>31748.93</v>
      </c>
      <c r="W138" s="2">
        <f t="shared" si="41"/>
        <v>732989.50999999989</v>
      </c>
      <c r="X138" s="2">
        <f t="shared" si="33"/>
        <v>10279824.870000001</v>
      </c>
    </row>
    <row r="139" spans="1:24">
      <c r="A139" s="163">
        <v>202209</v>
      </c>
      <c r="B139" s="163">
        <v>36500</v>
      </c>
      <c r="C139" s="2">
        <v>0</v>
      </c>
      <c r="D139" s="2">
        <v>0</v>
      </c>
      <c r="E139" s="2">
        <v>0</v>
      </c>
      <c r="F139" s="2">
        <v>0</v>
      </c>
      <c r="G139" s="2">
        <v>0</v>
      </c>
      <c r="H139" s="2">
        <v>0</v>
      </c>
      <c r="I139" s="2">
        <v>0</v>
      </c>
      <c r="J139" s="2">
        <f t="shared" si="43"/>
        <v>0</v>
      </c>
      <c r="K139" s="2">
        <f t="shared" si="36"/>
        <v>5995105.7300000004</v>
      </c>
      <c r="L139" s="171">
        <f t="shared" si="42"/>
        <v>3.5200000000000002E-2</v>
      </c>
      <c r="M139" s="1">
        <f t="shared" si="37"/>
        <v>17585.64</v>
      </c>
      <c r="N139" s="2">
        <f t="shared" si="38"/>
        <v>650668.6800000004</v>
      </c>
      <c r="O139" s="2">
        <f t="shared" si="31"/>
        <v>5344437.05</v>
      </c>
      <c r="Q139" s="2">
        <v>0</v>
      </c>
      <c r="R139" s="5">
        <v>201230.11</v>
      </c>
      <c r="S139" s="2">
        <f t="shared" si="32"/>
        <v>201230.11</v>
      </c>
      <c r="T139" s="2">
        <f t="shared" si="39"/>
        <v>11214044.49</v>
      </c>
      <c r="U139" s="171">
        <f t="shared" si="35"/>
        <v>3.5200000000000002E-2</v>
      </c>
      <c r="V139" s="5">
        <f t="shared" si="40"/>
        <v>32304.26</v>
      </c>
      <c r="W139" s="2">
        <f t="shared" si="41"/>
        <v>765293.7699999999</v>
      </c>
      <c r="X139" s="2">
        <f t="shared" si="33"/>
        <v>10448750.720000001</v>
      </c>
    </row>
    <row r="140" spans="1:24">
      <c r="A140" s="163">
        <v>202210</v>
      </c>
      <c r="B140" s="163">
        <v>36500</v>
      </c>
      <c r="C140" s="2">
        <v>0</v>
      </c>
      <c r="D140" s="2">
        <v>0</v>
      </c>
      <c r="E140" s="2">
        <v>0</v>
      </c>
      <c r="F140" s="2">
        <v>0</v>
      </c>
      <c r="G140" s="2">
        <v>0</v>
      </c>
      <c r="H140" s="2">
        <v>0</v>
      </c>
      <c r="I140" s="2">
        <v>0</v>
      </c>
      <c r="J140" s="2">
        <f t="shared" si="43"/>
        <v>0</v>
      </c>
      <c r="K140" s="2">
        <f t="shared" si="36"/>
        <v>5995105.7300000004</v>
      </c>
      <c r="L140" s="171">
        <f t="shared" si="42"/>
        <v>3.5200000000000002E-2</v>
      </c>
      <c r="M140" s="1">
        <f t="shared" si="37"/>
        <v>17585.64</v>
      </c>
      <c r="N140" s="2">
        <f t="shared" si="38"/>
        <v>668254.32000000041</v>
      </c>
      <c r="O140" s="2">
        <f t="shared" si="31"/>
        <v>5326851.41</v>
      </c>
      <c r="Q140" s="2">
        <v>0</v>
      </c>
      <c r="R140" s="5">
        <v>234815.04</v>
      </c>
      <c r="S140" s="2">
        <f t="shared" si="32"/>
        <v>234815.04</v>
      </c>
      <c r="T140" s="2">
        <f t="shared" si="39"/>
        <v>11448859.529999999</v>
      </c>
      <c r="U140" s="171">
        <f t="shared" si="35"/>
        <v>3.5200000000000002E-2</v>
      </c>
      <c r="V140" s="5">
        <f t="shared" si="40"/>
        <v>32894.53</v>
      </c>
      <c r="W140" s="2">
        <f t="shared" si="41"/>
        <v>798188.29999999993</v>
      </c>
      <c r="X140" s="2">
        <f t="shared" si="33"/>
        <v>10650671.229999999</v>
      </c>
    </row>
    <row r="141" spans="1:24">
      <c r="A141" s="163">
        <v>202211</v>
      </c>
      <c r="B141" s="163">
        <v>36500</v>
      </c>
      <c r="C141" s="2">
        <v>0</v>
      </c>
      <c r="D141" s="2">
        <v>0</v>
      </c>
      <c r="E141" s="2">
        <v>0</v>
      </c>
      <c r="F141" s="2">
        <v>0</v>
      </c>
      <c r="G141" s="2">
        <v>0</v>
      </c>
      <c r="H141" s="2">
        <v>0</v>
      </c>
      <c r="I141" s="2">
        <v>0</v>
      </c>
      <c r="J141" s="2">
        <f t="shared" si="43"/>
        <v>0</v>
      </c>
      <c r="K141" s="2">
        <f t="shared" si="36"/>
        <v>5995105.7300000004</v>
      </c>
      <c r="L141" s="171">
        <f t="shared" si="42"/>
        <v>3.5200000000000002E-2</v>
      </c>
      <c r="M141" s="1">
        <f t="shared" si="37"/>
        <v>17585.64</v>
      </c>
      <c r="N141" s="2">
        <f t="shared" si="38"/>
        <v>685839.96000000043</v>
      </c>
      <c r="O141" s="2">
        <f t="shared" si="31"/>
        <v>5309265.7699999996</v>
      </c>
      <c r="Q141" s="2">
        <v>0</v>
      </c>
      <c r="R141" s="5">
        <v>243316.73</v>
      </c>
      <c r="S141" s="2">
        <f t="shared" si="32"/>
        <v>243316.73</v>
      </c>
      <c r="T141" s="2">
        <f t="shared" si="39"/>
        <v>11692176.26</v>
      </c>
      <c r="U141" s="171">
        <f t="shared" si="35"/>
        <v>3.5200000000000002E-2</v>
      </c>
      <c r="V141" s="5">
        <f t="shared" si="40"/>
        <v>33583.32</v>
      </c>
      <c r="W141" s="2">
        <f t="shared" si="41"/>
        <v>831771.61999999988</v>
      </c>
      <c r="X141" s="2">
        <f t="shared" si="33"/>
        <v>10860404.640000001</v>
      </c>
    </row>
    <row r="142" spans="1:24">
      <c r="A142" s="163">
        <v>202212</v>
      </c>
      <c r="B142" s="163">
        <v>36500</v>
      </c>
      <c r="C142" s="2">
        <v>0</v>
      </c>
      <c r="D142" s="2">
        <v>0</v>
      </c>
      <c r="E142" s="2">
        <v>0</v>
      </c>
      <c r="F142" s="2">
        <v>0</v>
      </c>
      <c r="G142" s="2">
        <v>0</v>
      </c>
      <c r="H142" s="2">
        <v>0</v>
      </c>
      <c r="I142" s="2">
        <v>0</v>
      </c>
      <c r="J142" s="2">
        <f t="shared" si="43"/>
        <v>0</v>
      </c>
      <c r="K142" s="2">
        <f t="shared" si="36"/>
        <v>5995105.7300000004</v>
      </c>
      <c r="L142" s="171">
        <f t="shared" si="42"/>
        <v>3.5200000000000002E-2</v>
      </c>
      <c r="M142" s="1">
        <f t="shared" si="37"/>
        <v>17585.64</v>
      </c>
      <c r="N142" s="2">
        <f t="shared" si="38"/>
        <v>703425.60000000044</v>
      </c>
      <c r="O142" s="2">
        <f t="shared" si="31"/>
        <v>5291680.13</v>
      </c>
      <c r="Q142" s="2">
        <v>0</v>
      </c>
      <c r="R142" s="5">
        <v>132709.62</v>
      </c>
      <c r="S142" s="2">
        <f t="shared" si="32"/>
        <v>132709.62</v>
      </c>
      <c r="T142" s="2">
        <f t="shared" si="39"/>
        <v>11824885.879999999</v>
      </c>
      <c r="U142" s="171">
        <f t="shared" si="35"/>
        <v>3.5200000000000002E-2</v>
      </c>
      <c r="V142" s="5">
        <f t="shared" si="40"/>
        <v>34297.050000000003</v>
      </c>
      <c r="W142" s="2">
        <f t="shared" si="41"/>
        <v>866068.66999999993</v>
      </c>
      <c r="X142" s="2">
        <f t="shared" si="33"/>
        <v>10958817.209999999</v>
      </c>
    </row>
    <row r="143" spans="1:24">
      <c r="A143" s="163">
        <v>202301</v>
      </c>
      <c r="B143" s="163">
        <v>36500</v>
      </c>
      <c r="C143" s="2">
        <v>0</v>
      </c>
      <c r="D143" s="2">
        <v>0</v>
      </c>
      <c r="E143" s="2">
        <v>0</v>
      </c>
      <c r="F143" s="2">
        <v>0</v>
      </c>
      <c r="G143" s="2">
        <v>0</v>
      </c>
      <c r="H143" s="2">
        <v>0</v>
      </c>
      <c r="I143" s="2">
        <v>0</v>
      </c>
      <c r="J143" s="2">
        <f t="shared" si="43"/>
        <v>0</v>
      </c>
      <c r="K143" s="2">
        <f t="shared" si="36"/>
        <v>5995105.7300000004</v>
      </c>
      <c r="L143" s="171">
        <f t="shared" si="42"/>
        <v>3.5200000000000002E-2</v>
      </c>
      <c r="M143" s="1">
        <f t="shared" si="37"/>
        <v>17585.64</v>
      </c>
      <c r="N143" s="2">
        <f t="shared" si="38"/>
        <v>721011.24000000046</v>
      </c>
      <c r="O143" s="2">
        <f t="shared" si="31"/>
        <v>5274094.49</v>
      </c>
      <c r="Q143" s="2">
        <v>0</v>
      </c>
      <c r="R143" s="5">
        <v>313996.43</v>
      </c>
      <c r="S143" s="2">
        <f t="shared" si="32"/>
        <v>313996.43</v>
      </c>
      <c r="T143" s="2">
        <f t="shared" si="39"/>
        <v>12138882.309999999</v>
      </c>
      <c r="U143" s="171">
        <f t="shared" si="35"/>
        <v>3.5200000000000002E-2</v>
      </c>
      <c r="V143" s="5">
        <f t="shared" si="40"/>
        <v>34686.33</v>
      </c>
      <c r="W143" s="2">
        <f t="shared" si="41"/>
        <v>900754.99999999988</v>
      </c>
      <c r="X143" s="2">
        <f t="shared" si="33"/>
        <v>11238127.309999999</v>
      </c>
    </row>
    <row r="144" spans="1:24">
      <c r="A144" s="163">
        <v>202302</v>
      </c>
      <c r="B144" s="163">
        <v>36500</v>
      </c>
      <c r="C144" s="2">
        <v>0</v>
      </c>
      <c r="D144" s="2">
        <v>0</v>
      </c>
      <c r="E144" s="2">
        <v>0</v>
      </c>
      <c r="F144" s="2">
        <v>0</v>
      </c>
      <c r="G144" s="2">
        <v>0</v>
      </c>
      <c r="H144" s="2">
        <v>0</v>
      </c>
      <c r="I144" s="2">
        <v>0</v>
      </c>
      <c r="J144" s="2">
        <f t="shared" si="43"/>
        <v>0</v>
      </c>
      <c r="K144" s="2">
        <f t="shared" si="36"/>
        <v>5995105.7300000004</v>
      </c>
      <c r="L144" s="171">
        <f t="shared" si="42"/>
        <v>3.5200000000000002E-2</v>
      </c>
      <c r="M144" s="1">
        <f t="shared" si="37"/>
        <v>17585.64</v>
      </c>
      <c r="N144" s="2">
        <f t="shared" si="38"/>
        <v>738596.88000000047</v>
      </c>
      <c r="O144" s="2">
        <f t="shared" si="31"/>
        <v>5256508.8499999996</v>
      </c>
      <c r="Q144" s="2">
        <v>0</v>
      </c>
      <c r="R144" s="5">
        <v>226271.46</v>
      </c>
      <c r="S144" s="2">
        <f t="shared" si="32"/>
        <v>226271.46</v>
      </c>
      <c r="T144" s="2">
        <f t="shared" si="39"/>
        <v>12365153.77</v>
      </c>
      <c r="U144" s="171">
        <f t="shared" si="35"/>
        <v>3.5200000000000002E-2</v>
      </c>
      <c r="V144" s="5">
        <f t="shared" si="40"/>
        <v>35607.39</v>
      </c>
      <c r="W144" s="2">
        <f t="shared" si="41"/>
        <v>936362.3899999999</v>
      </c>
      <c r="X144" s="2">
        <f t="shared" si="33"/>
        <v>11428791.379999999</v>
      </c>
    </row>
    <row r="145" spans="1:24">
      <c r="A145" s="163">
        <v>202303</v>
      </c>
      <c r="B145" s="163">
        <v>36500</v>
      </c>
      <c r="C145" s="2">
        <v>0</v>
      </c>
      <c r="D145" s="2">
        <v>0</v>
      </c>
      <c r="E145" s="2">
        <v>0</v>
      </c>
      <c r="F145" s="2">
        <v>0</v>
      </c>
      <c r="G145" s="2">
        <v>0</v>
      </c>
      <c r="H145" s="2">
        <v>0</v>
      </c>
      <c r="I145" s="2">
        <v>0</v>
      </c>
      <c r="J145" s="2">
        <f t="shared" si="43"/>
        <v>0</v>
      </c>
      <c r="K145" s="2">
        <f t="shared" si="36"/>
        <v>5995105.7300000004</v>
      </c>
      <c r="L145" s="171">
        <f t="shared" si="42"/>
        <v>3.5200000000000002E-2</v>
      </c>
      <c r="M145" s="1">
        <f t="shared" si="37"/>
        <v>17585.64</v>
      </c>
      <c r="N145" s="2">
        <f t="shared" si="38"/>
        <v>756182.52000000048</v>
      </c>
      <c r="O145" s="2">
        <f t="shared" si="31"/>
        <v>5238923.21</v>
      </c>
      <c r="Q145" s="2">
        <v>0</v>
      </c>
      <c r="R145" s="5">
        <v>343246.03</v>
      </c>
      <c r="S145" s="2">
        <f t="shared" si="32"/>
        <v>343246.03</v>
      </c>
      <c r="T145" s="2">
        <f t="shared" si="39"/>
        <v>12708399.799999999</v>
      </c>
      <c r="U145" s="171">
        <f t="shared" si="35"/>
        <v>3.5200000000000002E-2</v>
      </c>
      <c r="V145" s="5">
        <f t="shared" si="40"/>
        <v>36271.120000000003</v>
      </c>
      <c r="W145" s="2">
        <f t="shared" si="41"/>
        <v>972633.50999999989</v>
      </c>
      <c r="X145" s="2">
        <f t="shared" si="33"/>
        <v>11735766.289999999</v>
      </c>
    </row>
    <row r="146" spans="1:24">
      <c r="A146" s="163">
        <v>202304</v>
      </c>
      <c r="B146" s="163">
        <v>36500</v>
      </c>
      <c r="C146" s="2">
        <v>0</v>
      </c>
      <c r="D146" s="2">
        <v>0</v>
      </c>
      <c r="E146" s="2">
        <v>0</v>
      </c>
      <c r="F146" s="2">
        <v>0</v>
      </c>
      <c r="G146" s="2">
        <v>0</v>
      </c>
      <c r="H146" s="2">
        <v>0</v>
      </c>
      <c r="I146" s="2">
        <v>0</v>
      </c>
      <c r="J146" s="2">
        <f t="shared" si="43"/>
        <v>0</v>
      </c>
      <c r="K146" s="2">
        <f t="shared" si="36"/>
        <v>5995105.7300000004</v>
      </c>
      <c r="L146" s="171">
        <f t="shared" si="42"/>
        <v>3.5200000000000002E-2</v>
      </c>
      <c r="M146" s="1">
        <f t="shared" si="37"/>
        <v>17585.64</v>
      </c>
      <c r="N146" s="2">
        <f t="shared" si="38"/>
        <v>773768.1600000005</v>
      </c>
      <c r="O146" s="2">
        <f t="shared" si="31"/>
        <v>5221337.57</v>
      </c>
      <c r="Q146" s="2">
        <v>0</v>
      </c>
      <c r="R146" s="5">
        <v>453265.93</v>
      </c>
      <c r="S146" s="2">
        <f t="shared" si="32"/>
        <v>453265.93</v>
      </c>
      <c r="T146" s="2">
        <f t="shared" si="39"/>
        <v>13161665.729999999</v>
      </c>
      <c r="U146" s="171">
        <f t="shared" si="35"/>
        <v>3.5200000000000002E-2</v>
      </c>
      <c r="V146" s="5">
        <f t="shared" si="40"/>
        <v>37277.97</v>
      </c>
      <c r="W146" s="2">
        <f t="shared" si="41"/>
        <v>1009911.4799999999</v>
      </c>
      <c r="X146" s="2">
        <f t="shared" si="33"/>
        <v>12151754.249999998</v>
      </c>
    </row>
    <row r="147" spans="1:24">
      <c r="A147" s="163">
        <v>202305</v>
      </c>
      <c r="B147" s="163">
        <v>36500</v>
      </c>
      <c r="C147" s="2">
        <v>0</v>
      </c>
      <c r="D147" s="2">
        <v>0</v>
      </c>
      <c r="E147" s="2">
        <v>0</v>
      </c>
      <c r="F147" s="2">
        <v>0</v>
      </c>
      <c r="G147" s="2">
        <v>0</v>
      </c>
      <c r="H147" s="2">
        <v>0</v>
      </c>
      <c r="I147" s="2">
        <v>0</v>
      </c>
      <c r="J147" s="2">
        <f t="shared" si="43"/>
        <v>0</v>
      </c>
      <c r="K147" s="2">
        <f t="shared" si="36"/>
        <v>5995105.7300000004</v>
      </c>
      <c r="L147" s="171">
        <f t="shared" si="42"/>
        <v>3.5200000000000002E-2</v>
      </c>
      <c r="M147" s="1">
        <f t="shared" si="37"/>
        <v>17585.64</v>
      </c>
      <c r="N147" s="2">
        <f t="shared" si="38"/>
        <v>791353.80000000051</v>
      </c>
      <c r="O147" s="2">
        <f t="shared" si="31"/>
        <v>5203751.93</v>
      </c>
      <c r="Q147" s="2">
        <v>0</v>
      </c>
      <c r="R147" s="5">
        <v>300879.88</v>
      </c>
      <c r="S147" s="2">
        <f t="shared" si="32"/>
        <v>300879.88</v>
      </c>
      <c r="T147" s="2">
        <f t="shared" si="39"/>
        <v>13462545.609999999</v>
      </c>
      <c r="U147" s="171">
        <f t="shared" si="35"/>
        <v>3.5200000000000002E-2</v>
      </c>
      <c r="V147" s="5">
        <f t="shared" si="40"/>
        <v>38607.550000000003</v>
      </c>
      <c r="W147" s="2">
        <f t="shared" si="41"/>
        <v>1048519.0299999999</v>
      </c>
      <c r="X147" s="2">
        <f t="shared" si="33"/>
        <v>12414026.58</v>
      </c>
    </row>
    <row r="148" spans="1:24">
      <c r="A148" s="163">
        <v>202306</v>
      </c>
      <c r="B148" s="163">
        <v>36500</v>
      </c>
      <c r="C148" s="2">
        <v>0</v>
      </c>
      <c r="D148" s="2">
        <v>0</v>
      </c>
      <c r="E148" s="2">
        <v>0</v>
      </c>
      <c r="F148" s="2">
        <v>0</v>
      </c>
      <c r="G148" s="2">
        <v>0</v>
      </c>
      <c r="H148" s="2">
        <v>0</v>
      </c>
      <c r="I148" s="2">
        <v>0</v>
      </c>
      <c r="J148" s="2">
        <f t="shared" si="43"/>
        <v>0</v>
      </c>
      <c r="K148" s="2">
        <f t="shared" si="36"/>
        <v>5995105.7300000004</v>
      </c>
      <c r="L148" s="171">
        <f t="shared" si="42"/>
        <v>3.5200000000000002E-2</v>
      </c>
      <c r="M148" s="1">
        <f t="shared" si="37"/>
        <v>17585.64</v>
      </c>
      <c r="N148" s="2">
        <f t="shared" si="38"/>
        <v>808939.44000000053</v>
      </c>
      <c r="O148" s="2">
        <f t="shared" si="31"/>
        <v>5186166.29</v>
      </c>
      <c r="Q148" s="2">
        <v>0</v>
      </c>
      <c r="R148" s="5">
        <v>266585.61</v>
      </c>
      <c r="S148" s="2">
        <f t="shared" si="32"/>
        <v>266585.61</v>
      </c>
      <c r="T148" s="2">
        <f t="shared" si="39"/>
        <v>13729131.219999999</v>
      </c>
      <c r="U148" s="171">
        <f t="shared" si="35"/>
        <v>3.5200000000000002E-2</v>
      </c>
      <c r="V148" s="5">
        <f t="shared" si="40"/>
        <v>39490.129999999997</v>
      </c>
      <c r="W148" s="2">
        <f t="shared" si="41"/>
        <v>1088009.1599999999</v>
      </c>
      <c r="X148" s="2">
        <f t="shared" si="33"/>
        <v>12641122.059999999</v>
      </c>
    </row>
    <row r="149" spans="1:24">
      <c r="A149" s="163">
        <v>202307</v>
      </c>
      <c r="B149" s="163">
        <v>36500</v>
      </c>
      <c r="C149" s="2">
        <v>0</v>
      </c>
      <c r="D149" s="2">
        <v>0</v>
      </c>
      <c r="E149" s="2">
        <v>0</v>
      </c>
      <c r="F149" s="2">
        <v>0</v>
      </c>
      <c r="G149" s="2">
        <v>0</v>
      </c>
      <c r="H149" s="2">
        <v>0</v>
      </c>
      <c r="I149" s="2">
        <v>0</v>
      </c>
      <c r="J149" s="2">
        <f t="shared" si="43"/>
        <v>0</v>
      </c>
      <c r="K149" s="2">
        <f t="shared" si="36"/>
        <v>5995105.7300000004</v>
      </c>
      <c r="L149" s="171">
        <f t="shared" si="42"/>
        <v>3.5200000000000002E-2</v>
      </c>
      <c r="M149" s="1">
        <f t="shared" si="37"/>
        <v>17585.64</v>
      </c>
      <c r="N149" s="2">
        <f t="shared" si="38"/>
        <v>826525.08000000054</v>
      </c>
      <c r="O149" s="2">
        <f t="shared" si="31"/>
        <v>5168580.6500000004</v>
      </c>
      <c r="Q149" s="2">
        <v>0</v>
      </c>
      <c r="R149" s="5">
        <v>71720.78</v>
      </c>
      <c r="S149" s="2">
        <f t="shared" si="32"/>
        <v>71720.78</v>
      </c>
      <c r="T149" s="2">
        <f t="shared" si="39"/>
        <v>13800851.999999998</v>
      </c>
      <c r="U149" s="171">
        <f t="shared" si="35"/>
        <v>3.5200000000000002E-2</v>
      </c>
      <c r="V149" s="5">
        <f t="shared" si="40"/>
        <v>40272.120000000003</v>
      </c>
      <c r="W149" s="2">
        <f t="shared" si="41"/>
        <v>1128281.28</v>
      </c>
      <c r="X149" s="2">
        <f t="shared" si="33"/>
        <v>12672570.719999999</v>
      </c>
    </row>
    <row r="150" spans="1:24">
      <c r="A150" s="163">
        <v>202308</v>
      </c>
      <c r="B150" s="163">
        <v>36500</v>
      </c>
      <c r="C150" s="2">
        <v>0</v>
      </c>
      <c r="D150" s="2">
        <v>0</v>
      </c>
      <c r="E150" s="2">
        <v>0</v>
      </c>
      <c r="F150" s="2">
        <v>0</v>
      </c>
      <c r="G150" s="2">
        <v>0</v>
      </c>
      <c r="H150" s="2">
        <v>0</v>
      </c>
      <c r="I150" s="2">
        <v>0</v>
      </c>
      <c r="J150" s="2">
        <f t="shared" si="43"/>
        <v>0</v>
      </c>
      <c r="K150" s="2">
        <f t="shared" si="36"/>
        <v>5995105.7300000004</v>
      </c>
      <c r="L150" s="171">
        <f t="shared" si="42"/>
        <v>3.5200000000000002E-2</v>
      </c>
      <c r="M150" s="1">
        <f t="shared" si="37"/>
        <v>17585.64</v>
      </c>
      <c r="N150" s="2">
        <f t="shared" si="38"/>
        <v>844110.72000000055</v>
      </c>
      <c r="O150" s="2">
        <f t="shared" si="31"/>
        <v>5150995.01</v>
      </c>
      <c r="Q150" s="2">
        <v>0</v>
      </c>
      <c r="R150" s="5">
        <v>92529.02</v>
      </c>
      <c r="S150" s="2">
        <f t="shared" si="32"/>
        <v>92529.02</v>
      </c>
      <c r="T150" s="2">
        <f t="shared" si="39"/>
        <v>13893381.019999998</v>
      </c>
      <c r="U150" s="171">
        <f t="shared" si="35"/>
        <v>3.5200000000000002E-2</v>
      </c>
      <c r="V150" s="5">
        <f t="shared" si="40"/>
        <v>40482.5</v>
      </c>
      <c r="W150" s="2">
        <f t="shared" si="41"/>
        <v>1168763.78</v>
      </c>
      <c r="X150" s="2">
        <f t="shared" si="33"/>
        <v>12724617.239999998</v>
      </c>
    </row>
    <row r="151" spans="1:24">
      <c r="A151" s="163">
        <v>202309</v>
      </c>
      <c r="B151" s="163">
        <v>36500</v>
      </c>
      <c r="C151" s="2">
        <v>0</v>
      </c>
      <c r="D151" s="2">
        <v>0</v>
      </c>
      <c r="E151" s="2">
        <v>0</v>
      </c>
      <c r="F151" s="2">
        <v>0</v>
      </c>
      <c r="G151" s="2">
        <v>0</v>
      </c>
      <c r="H151" s="2">
        <v>0</v>
      </c>
      <c r="I151" s="2">
        <v>0</v>
      </c>
      <c r="J151" s="2">
        <f t="shared" si="43"/>
        <v>0</v>
      </c>
      <c r="K151" s="2">
        <f t="shared" si="36"/>
        <v>5995105.7300000004</v>
      </c>
      <c r="L151" s="171">
        <f t="shared" si="42"/>
        <v>3.5200000000000002E-2</v>
      </c>
      <c r="M151" s="1">
        <f t="shared" si="37"/>
        <v>17585.64</v>
      </c>
      <c r="N151" s="2">
        <f t="shared" si="38"/>
        <v>861696.36000000057</v>
      </c>
      <c r="O151" s="2">
        <f t="shared" si="31"/>
        <v>5133409.37</v>
      </c>
      <c r="Q151" s="2">
        <v>0</v>
      </c>
      <c r="R151" s="5">
        <v>207786.62</v>
      </c>
      <c r="S151" s="2">
        <f t="shared" si="32"/>
        <v>207786.62</v>
      </c>
      <c r="T151" s="2">
        <f t="shared" si="39"/>
        <v>14101167.639999997</v>
      </c>
      <c r="U151" s="171">
        <f t="shared" si="35"/>
        <v>3.5200000000000002E-2</v>
      </c>
      <c r="V151" s="5">
        <f t="shared" si="40"/>
        <v>40753.919999999998</v>
      </c>
      <c r="W151" s="2">
        <f t="shared" si="41"/>
        <v>1209517.7</v>
      </c>
      <c r="X151" s="2">
        <f t="shared" si="33"/>
        <v>12891649.939999998</v>
      </c>
    </row>
    <row r="152" spans="1:24">
      <c r="A152" s="163">
        <v>202310</v>
      </c>
      <c r="B152" s="163">
        <v>36500</v>
      </c>
      <c r="C152" s="2">
        <v>0</v>
      </c>
      <c r="D152" s="2">
        <v>0</v>
      </c>
      <c r="E152" s="2">
        <v>0</v>
      </c>
      <c r="F152" s="2">
        <v>0</v>
      </c>
      <c r="G152" s="2">
        <v>0</v>
      </c>
      <c r="H152" s="2">
        <v>0</v>
      </c>
      <c r="I152" s="2">
        <v>0</v>
      </c>
      <c r="J152" s="2">
        <f t="shared" ref="J152:J180" si="44">SUM(C152:I152)</f>
        <v>0</v>
      </c>
      <c r="K152" s="2">
        <f t="shared" si="36"/>
        <v>5995105.7300000004</v>
      </c>
      <c r="L152" s="171">
        <f t="shared" si="42"/>
        <v>3.5200000000000002E-2</v>
      </c>
      <c r="M152" s="1">
        <f t="shared" si="37"/>
        <v>17585.64</v>
      </c>
      <c r="N152" s="2">
        <f t="shared" si="38"/>
        <v>879282.00000000058</v>
      </c>
      <c r="O152" s="2">
        <f t="shared" ref="O152:O180" si="45">K152-N152</f>
        <v>5115823.7299999995</v>
      </c>
      <c r="Q152" s="2">
        <v>0</v>
      </c>
      <c r="R152" s="5">
        <v>494727.62</v>
      </c>
      <c r="S152" s="2">
        <f t="shared" ref="S152:S180" si="46">SUM(Q152:R152)</f>
        <v>494727.62</v>
      </c>
      <c r="T152" s="2">
        <f t="shared" si="39"/>
        <v>14595895.259999996</v>
      </c>
      <c r="U152" s="171">
        <f t="shared" si="35"/>
        <v>3.5200000000000002E-2</v>
      </c>
      <c r="V152" s="5">
        <f t="shared" si="40"/>
        <v>41363.43</v>
      </c>
      <c r="W152" s="2">
        <f t="shared" si="41"/>
        <v>1250881.1299999999</v>
      </c>
      <c r="X152" s="2">
        <f t="shared" ref="X152:X180" si="47">T152-W152</f>
        <v>13345014.129999995</v>
      </c>
    </row>
    <row r="153" spans="1:24">
      <c r="A153" s="163">
        <v>202311</v>
      </c>
      <c r="B153" s="163">
        <v>36500</v>
      </c>
      <c r="C153" s="2">
        <v>0</v>
      </c>
      <c r="D153" s="2">
        <v>0</v>
      </c>
      <c r="E153" s="2">
        <v>0</v>
      </c>
      <c r="F153" s="2">
        <v>0</v>
      </c>
      <c r="G153" s="2">
        <v>0</v>
      </c>
      <c r="H153" s="2">
        <v>0</v>
      </c>
      <c r="I153" s="2">
        <v>0</v>
      </c>
      <c r="J153" s="2">
        <f t="shared" si="44"/>
        <v>0</v>
      </c>
      <c r="K153" s="2">
        <f t="shared" si="36"/>
        <v>5995105.7300000004</v>
      </c>
      <c r="L153" s="171">
        <f t="shared" si="42"/>
        <v>3.5200000000000002E-2</v>
      </c>
      <c r="M153" s="1">
        <f t="shared" si="37"/>
        <v>17585.64</v>
      </c>
      <c r="N153" s="2">
        <f t="shared" si="38"/>
        <v>896867.6400000006</v>
      </c>
      <c r="O153" s="2">
        <f t="shared" si="45"/>
        <v>5098238.09</v>
      </c>
      <c r="Q153" s="2">
        <v>0</v>
      </c>
      <c r="R153" s="5">
        <v>56781.38</v>
      </c>
      <c r="S153" s="2">
        <f t="shared" si="46"/>
        <v>56781.38</v>
      </c>
      <c r="T153" s="2">
        <f t="shared" si="39"/>
        <v>14652676.639999997</v>
      </c>
      <c r="U153" s="171">
        <f t="shared" ref="U153:U180" si="48">3.52%</f>
        <v>3.5200000000000002E-2</v>
      </c>
      <c r="V153" s="5">
        <f t="shared" si="40"/>
        <v>42814.63</v>
      </c>
      <c r="W153" s="2">
        <f t="shared" si="41"/>
        <v>1293695.7599999998</v>
      </c>
      <c r="X153" s="2">
        <f t="shared" si="47"/>
        <v>13358980.879999997</v>
      </c>
    </row>
    <row r="154" spans="1:24">
      <c r="A154" s="163">
        <v>202312</v>
      </c>
      <c r="B154" s="163">
        <v>36500</v>
      </c>
      <c r="C154" s="2">
        <v>0</v>
      </c>
      <c r="D154" s="2">
        <v>0</v>
      </c>
      <c r="E154" s="2">
        <v>0</v>
      </c>
      <c r="F154" s="2">
        <v>0</v>
      </c>
      <c r="G154" s="2">
        <v>0</v>
      </c>
      <c r="H154" s="2">
        <v>0</v>
      </c>
      <c r="I154" s="2">
        <v>0</v>
      </c>
      <c r="J154" s="2">
        <f t="shared" si="44"/>
        <v>0</v>
      </c>
      <c r="K154" s="2">
        <f t="shared" ref="K154:K180" si="49">K153+J154</f>
        <v>5995105.7300000004</v>
      </c>
      <c r="L154" s="171">
        <f t="shared" si="42"/>
        <v>3.5200000000000002E-2</v>
      </c>
      <c r="M154" s="1">
        <f t="shared" ref="M154:M180" si="50">ROUND(((L154*K153)/12),2)</f>
        <v>17585.64</v>
      </c>
      <c r="N154" s="2">
        <f t="shared" ref="N154:N180" si="51">M154+N153</f>
        <v>914453.28000000061</v>
      </c>
      <c r="O154" s="2">
        <f t="shared" si="45"/>
        <v>5080652.45</v>
      </c>
      <c r="Q154" s="2">
        <v>0</v>
      </c>
      <c r="R154" s="5">
        <v>4220.9799999999996</v>
      </c>
      <c r="S154" s="2">
        <f t="shared" si="46"/>
        <v>4220.9799999999996</v>
      </c>
      <c r="T154" s="2">
        <f t="shared" ref="T154:T180" si="52">T153+S154</f>
        <v>14656897.619999997</v>
      </c>
      <c r="U154" s="171">
        <f t="shared" si="48"/>
        <v>3.5200000000000002E-2</v>
      </c>
      <c r="V154" s="5">
        <f t="shared" ref="V154:V180" si="53">ROUND(((U154*T153)/12),2)</f>
        <v>42981.18</v>
      </c>
      <c r="W154" s="2">
        <f t="shared" si="41"/>
        <v>1336676.9399999997</v>
      </c>
      <c r="X154" s="2">
        <f t="shared" si="47"/>
        <v>13320220.679999998</v>
      </c>
    </row>
    <row r="155" spans="1:24">
      <c r="A155" s="163">
        <v>202401</v>
      </c>
      <c r="B155" s="163">
        <v>36500</v>
      </c>
      <c r="C155" s="2">
        <v>0</v>
      </c>
      <c r="D155" s="2">
        <v>0</v>
      </c>
      <c r="E155" s="2">
        <v>0</v>
      </c>
      <c r="F155" s="2">
        <v>0</v>
      </c>
      <c r="G155" s="2">
        <v>0</v>
      </c>
      <c r="H155" s="2">
        <v>0</v>
      </c>
      <c r="I155" s="2">
        <v>0</v>
      </c>
      <c r="J155" s="2">
        <f t="shared" si="44"/>
        <v>0</v>
      </c>
      <c r="K155" s="2">
        <f t="shared" si="49"/>
        <v>5995105.7300000004</v>
      </c>
      <c r="L155" s="171">
        <f t="shared" si="42"/>
        <v>3.5200000000000002E-2</v>
      </c>
      <c r="M155" s="1">
        <f t="shared" si="50"/>
        <v>17585.64</v>
      </c>
      <c r="N155" s="2">
        <f t="shared" si="51"/>
        <v>932038.92000000062</v>
      </c>
      <c r="O155" s="2">
        <f t="shared" si="45"/>
        <v>5063066.8099999996</v>
      </c>
      <c r="Q155" s="2">
        <v>0</v>
      </c>
      <c r="R155" s="5">
        <v>34659.07</v>
      </c>
      <c r="S155" s="2">
        <f t="shared" si="46"/>
        <v>34659.07</v>
      </c>
      <c r="T155" s="2">
        <f t="shared" si="52"/>
        <v>14691556.689999998</v>
      </c>
      <c r="U155" s="171">
        <f t="shared" si="48"/>
        <v>3.5200000000000002E-2</v>
      </c>
      <c r="V155" s="5">
        <f t="shared" si="53"/>
        <v>42993.57</v>
      </c>
      <c r="W155" s="2">
        <f t="shared" ref="W155:W180" si="54">V155+W154</f>
        <v>1379670.5099999998</v>
      </c>
      <c r="X155" s="2">
        <f t="shared" si="47"/>
        <v>13311886.179999998</v>
      </c>
    </row>
    <row r="156" spans="1:24">
      <c r="A156" s="163">
        <v>202402</v>
      </c>
      <c r="B156" s="163">
        <v>36500</v>
      </c>
      <c r="C156" s="2">
        <v>0</v>
      </c>
      <c r="D156" s="2">
        <v>0</v>
      </c>
      <c r="E156" s="2">
        <v>0</v>
      </c>
      <c r="F156" s="2">
        <v>0</v>
      </c>
      <c r="G156" s="2">
        <v>0</v>
      </c>
      <c r="H156" s="2">
        <v>0</v>
      </c>
      <c r="I156" s="2">
        <v>0</v>
      </c>
      <c r="J156" s="2">
        <f t="shared" si="44"/>
        <v>0</v>
      </c>
      <c r="K156" s="2">
        <f t="shared" si="49"/>
        <v>5995105.7300000004</v>
      </c>
      <c r="L156" s="171">
        <f t="shared" si="42"/>
        <v>3.5200000000000002E-2</v>
      </c>
      <c r="M156" s="1">
        <f t="shared" si="50"/>
        <v>17585.64</v>
      </c>
      <c r="N156" s="2">
        <f t="shared" si="51"/>
        <v>949624.56000000064</v>
      </c>
      <c r="O156" s="2">
        <f t="shared" si="45"/>
        <v>5045481.17</v>
      </c>
      <c r="Q156" s="2">
        <v>0</v>
      </c>
      <c r="R156" s="5">
        <v>72498.39</v>
      </c>
      <c r="S156" s="2">
        <f t="shared" si="46"/>
        <v>72498.39</v>
      </c>
      <c r="T156" s="2">
        <f t="shared" si="52"/>
        <v>14764055.079999998</v>
      </c>
      <c r="U156" s="171">
        <f t="shared" si="48"/>
        <v>3.5200000000000002E-2</v>
      </c>
      <c r="V156" s="5">
        <f t="shared" si="53"/>
        <v>43095.23</v>
      </c>
      <c r="W156" s="2">
        <f t="shared" si="54"/>
        <v>1422765.7399999998</v>
      </c>
      <c r="X156" s="2">
        <f t="shared" si="47"/>
        <v>13341289.339999998</v>
      </c>
    </row>
    <row r="157" spans="1:24">
      <c r="A157" s="163">
        <v>202403</v>
      </c>
      <c r="B157" s="163">
        <v>36500</v>
      </c>
      <c r="C157" s="2">
        <v>0</v>
      </c>
      <c r="D157" s="2">
        <v>0</v>
      </c>
      <c r="E157" s="2">
        <v>0</v>
      </c>
      <c r="F157" s="2">
        <v>0</v>
      </c>
      <c r="G157" s="2">
        <v>0</v>
      </c>
      <c r="H157" s="2">
        <v>0</v>
      </c>
      <c r="I157" s="2">
        <v>0</v>
      </c>
      <c r="J157" s="2">
        <f t="shared" si="44"/>
        <v>0</v>
      </c>
      <c r="K157" s="2">
        <f t="shared" si="49"/>
        <v>5995105.7300000004</v>
      </c>
      <c r="L157" s="171">
        <f t="shared" si="42"/>
        <v>3.5200000000000002E-2</v>
      </c>
      <c r="M157" s="1">
        <f t="shared" si="50"/>
        <v>17585.64</v>
      </c>
      <c r="N157" s="2">
        <f t="shared" si="51"/>
        <v>967210.20000000065</v>
      </c>
      <c r="O157" s="2">
        <f t="shared" si="45"/>
        <v>5027895.5299999993</v>
      </c>
      <c r="Q157" s="2">
        <v>0</v>
      </c>
      <c r="R157" s="5">
        <v>127034.67</v>
      </c>
      <c r="S157" s="2">
        <f t="shared" si="46"/>
        <v>127034.67</v>
      </c>
      <c r="T157" s="2">
        <f t="shared" si="52"/>
        <v>14891089.749999998</v>
      </c>
      <c r="U157" s="171">
        <f t="shared" si="48"/>
        <v>3.5200000000000002E-2</v>
      </c>
      <c r="V157" s="5">
        <f t="shared" si="53"/>
        <v>43307.89</v>
      </c>
      <c r="W157" s="2">
        <f t="shared" si="54"/>
        <v>1466073.6299999997</v>
      </c>
      <c r="X157" s="2">
        <f t="shared" si="47"/>
        <v>13425016.119999999</v>
      </c>
    </row>
    <row r="158" spans="1:24">
      <c r="A158" s="163">
        <v>202404</v>
      </c>
      <c r="B158" s="163">
        <v>36500</v>
      </c>
      <c r="C158" s="2">
        <v>0</v>
      </c>
      <c r="D158" s="2">
        <v>0</v>
      </c>
      <c r="E158" s="2">
        <v>0</v>
      </c>
      <c r="F158" s="2">
        <v>0</v>
      </c>
      <c r="G158" s="2">
        <v>0</v>
      </c>
      <c r="H158" s="2">
        <v>0</v>
      </c>
      <c r="I158" s="2">
        <v>0</v>
      </c>
      <c r="J158" s="2">
        <f t="shared" si="44"/>
        <v>0</v>
      </c>
      <c r="K158" s="2">
        <f t="shared" si="49"/>
        <v>5995105.7300000004</v>
      </c>
      <c r="L158" s="171">
        <f t="shared" si="42"/>
        <v>3.5200000000000002E-2</v>
      </c>
      <c r="M158" s="1">
        <f t="shared" si="50"/>
        <v>17585.64</v>
      </c>
      <c r="N158" s="2">
        <f t="shared" si="51"/>
        <v>984795.84000000067</v>
      </c>
      <c r="O158" s="2">
        <f t="shared" si="45"/>
        <v>5010309.8899999997</v>
      </c>
      <c r="Q158" s="2">
        <v>0</v>
      </c>
      <c r="R158" s="5">
        <v>108767.9</v>
      </c>
      <c r="S158" s="2">
        <f t="shared" si="46"/>
        <v>108767.9</v>
      </c>
      <c r="T158" s="2">
        <f t="shared" si="52"/>
        <v>14999857.649999999</v>
      </c>
      <c r="U158" s="171">
        <f t="shared" si="48"/>
        <v>3.5200000000000002E-2</v>
      </c>
      <c r="V158" s="5">
        <f t="shared" si="53"/>
        <v>43680.53</v>
      </c>
      <c r="W158" s="2">
        <f t="shared" si="54"/>
        <v>1509754.1599999997</v>
      </c>
      <c r="X158" s="2">
        <f t="shared" si="47"/>
        <v>13490103.489999998</v>
      </c>
    </row>
    <row r="159" spans="1:24">
      <c r="A159" s="163">
        <v>202405</v>
      </c>
      <c r="B159" s="163">
        <v>36500</v>
      </c>
      <c r="C159" s="2">
        <v>0</v>
      </c>
      <c r="D159" s="2">
        <v>0</v>
      </c>
      <c r="E159" s="2">
        <v>0</v>
      </c>
      <c r="F159" s="2">
        <v>0</v>
      </c>
      <c r="G159" s="2">
        <v>0</v>
      </c>
      <c r="H159" s="2">
        <v>0</v>
      </c>
      <c r="I159" s="2">
        <v>0</v>
      </c>
      <c r="J159" s="2">
        <f t="shared" si="44"/>
        <v>0</v>
      </c>
      <c r="K159" s="2">
        <f t="shared" si="49"/>
        <v>5995105.7300000004</v>
      </c>
      <c r="L159" s="171">
        <f t="shared" si="42"/>
        <v>3.5200000000000002E-2</v>
      </c>
      <c r="M159" s="1">
        <f t="shared" si="50"/>
        <v>17585.64</v>
      </c>
      <c r="N159" s="2">
        <f t="shared" si="51"/>
        <v>1002381.4800000007</v>
      </c>
      <c r="O159" s="2">
        <f t="shared" si="45"/>
        <v>4992724.25</v>
      </c>
      <c r="Q159" s="2">
        <v>0</v>
      </c>
      <c r="R159" s="5">
        <v>62435.74</v>
      </c>
      <c r="S159" s="2">
        <f t="shared" si="46"/>
        <v>62435.74</v>
      </c>
      <c r="T159" s="2">
        <f t="shared" si="52"/>
        <v>15062293.389999999</v>
      </c>
      <c r="U159" s="171">
        <f t="shared" si="48"/>
        <v>3.5200000000000002E-2</v>
      </c>
      <c r="V159" s="5">
        <f t="shared" si="53"/>
        <v>43999.58</v>
      </c>
      <c r="W159" s="2">
        <f t="shared" si="54"/>
        <v>1553753.7399999998</v>
      </c>
      <c r="X159" s="2">
        <f t="shared" si="47"/>
        <v>13508539.649999999</v>
      </c>
    </row>
    <row r="160" spans="1:24">
      <c r="A160" s="163">
        <v>202406</v>
      </c>
      <c r="B160" s="163">
        <v>36500</v>
      </c>
      <c r="C160" s="2">
        <v>0</v>
      </c>
      <c r="D160" s="2">
        <v>0</v>
      </c>
      <c r="E160" s="2">
        <v>0</v>
      </c>
      <c r="F160" s="2">
        <v>0</v>
      </c>
      <c r="G160" s="2">
        <v>0</v>
      </c>
      <c r="H160" s="2">
        <v>0</v>
      </c>
      <c r="I160" s="2">
        <v>0</v>
      </c>
      <c r="J160" s="2">
        <f t="shared" si="44"/>
        <v>0</v>
      </c>
      <c r="K160" s="2">
        <f t="shared" si="49"/>
        <v>5995105.7300000004</v>
      </c>
      <c r="L160" s="171">
        <f t="shared" si="42"/>
        <v>3.5200000000000002E-2</v>
      </c>
      <c r="M160" s="1">
        <f t="shared" si="50"/>
        <v>17585.64</v>
      </c>
      <c r="N160" s="2">
        <f t="shared" si="51"/>
        <v>1019967.1200000007</v>
      </c>
      <c r="O160" s="2">
        <f t="shared" si="45"/>
        <v>4975138.6099999994</v>
      </c>
      <c r="Q160" s="2">
        <v>0</v>
      </c>
      <c r="R160" s="5">
        <v>-13493.51</v>
      </c>
      <c r="S160" s="2">
        <f t="shared" si="46"/>
        <v>-13493.51</v>
      </c>
      <c r="T160" s="2">
        <f t="shared" si="52"/>
        <v>15048799.879999999</v>
      </c>
      <c r="U160" s="171">
        <f t="shared" si="48"/>
        <v>3.5200000000000002E-2</v>
      </c>
      <c r="V160" s="5">
        <f t="shared" si="53"/>
        <v>44182.73</v>
      </c>
      <c r="W160" s="2">
        <f t="shared" si="54"/>
        <v>1597936.4699999997</v>
      </c>
      <c r="X160" s="2">
        <f t="shared" si="47"/>
        <v>13450863.41</v>
      </c>
    </row>
    <row r="161" spans="1:24">
      <c r="A161" s="163">
        <v>202407</v>
      </c>
      <c r="B161" s="163">
        <v>36500</v>
      </c>
      <c r="C161" s="2">
        <v>0</v>
      </c>
      <c r="D161" s="2">
        <v>0</v>
      </c>
      <c r="E161" s="2">
        <v>0</v>
      </c>
      <c r="F161" s="2">
        <v>0</v>
      </c>
      <c r="G161" s="2">
        <v>0</v>
      </c>
      <c r="H161" s="2">
        <v>0</v>
      </c>
      <c r="I161" s="2">
        <v>0</v>
      </c>
      <c r="J161" s="2">
        <f t="shared" si="44"/>
        <v>0</v>
      </c>
      <c r="K161" s="2">
        <f t="shared" si="49"/>
        <v>5995105.7300000004</v>
      </c>
      <c r="L161" s="171">
        <f t="shared" si="42"/>
        <v>3.5200000000000002E-2</v>
      </c>
      <c r="M161" s="1">
        <f t="shared" si="50"/>
        <v>17585.64</v>
      </c>
      <c r="N161" s="2">
        <f t="shared" si="51"/>
        <v>1037552.7600000007</v>
      </c>
      <c r="O161" s="2">
        <f t="shared" si="45"/>
        <v>4957552.97</v>
      </c>
      <c r="Q161" s="2">
        <v>0</v>
      </c>
      <c r="R161" s="5">
        <v>46568.77</v>
      </c>
      <c r="S161" s="2">
        <f t="shared" si="46"/>
        <v>46568.77</v>
      </c>
      <c r="T161" s="2">
        <f t="shared" si="52"/>
        <v>15095368.649999999</v>
      </c>
      <c r="U161" s="171">
        <f t="shared" si="48"/>
        <v>3.5200000000000002E-2</v>
      </c>
      <c r="V161" s="5">
        <f t="shared" si="53"/>
        <v>44143.15</v>
      </c>
      <c r="W161" s="2">
        <f t="shared" si="54"/>
        <v>1642079.6199999996</v>
      </c>
      <c r="X161" s="2">
        <f t="shared" si="47"/>
        <v>13453289.029999999</v>
      </c>
    </row>
    <row r="162" spans="1:24">
      <c r="A162" s="163">
        <v>202408</v>
      </c>
      <c r="B162" s="163">
        <v>36500</v>
      </c>
      <c r="C162" s="2">
        <v>0</v>
      </c>
      <c r="D162" s="2">
        <v>0</v>
      </c>
      <c r="E162" s="2">
        <v>0</v>
      </c>
      <c r="F162" s="2">
        <v>0</v>
      </c>
      <c r="G162" s="2">
        <v>0</v>
      </c>
      <c r="H162" s="2">
        <v>0</v>
      </c>
      <c r="I162" s="2">
        <v>0</v>
      </c>
      <c r="J162" s="2">
        <f t="shared" si="44"/>
        <v>0</v>
      </c>
      <c r="K162" s="2">
        <f t="shared" si="49"/>
        <v>5995105.7300000004</v>
      </c>
      <c r="L162" s="171">
        <f t="shared" si="42"/>
        <v>3.5200000000000002E-2</v>
      </c>
      <c r="M162" s="1">
        <f t="shared" si="50"/>
        <v>17585.64</v>
      </c>
      <c r="N162" s="2">
        <f t="shared" si="51"/>
        <v>1055138.4000000006</v>
      </c>
      <c r="O162" s="2">
        <f t="shared" si="45"/>
        <v>4939967.33</v>
      </c>
      <c r="Q162" s="2">
        <v>0</v>
      </c>
      <c r="R162" s="5">
        <v>167052.23000000001</v>
      </c>
      <c r="S162" s="2">
        <f t="shared" si="46"/>
        <v>167052.23000000001</v>
      </c>
      <c r="T162" s="2">
        <f t="shared" si="52"/>
        <v>15262420.879999999</v>
      </c>
      <c r="U162" s="171">
        <f t="shared" si="48"/>
        <v>3.5200000000000002E-2</v>
      </c>
      <c r="V162" s="5">
        <f t="shared" si="53"/>
        <v>44279.75</v>
      </c>
      <c r="W162" s="2">
        <f t="shared" si="54"/>
        <v>1686359.3699999996</v>
      </c>
      <c r="X162" s="2">
        <f t="shared" si="47"/>
        <v>13576061.51</v>
      </c>
    </row>
    <row r="163" spans="1:24">
      <c r="A163" s="163">
        <v>202409</v>
      </c>
      <c r="B163" s="163">
        <v>36500</v>
      </c>
      <c r="C163" s="2">
        <v>0</v>
      </c>
      <c r="D163" s="2">
        <v>0</v>
      </c>
      <c r="E163" s="2">
        <v>0</v>
      </c>
      <c r="F163" s="2">
        <v>0</v>
      </c>
      <c r="G163" s="2">
        <v>0</v>
      </c>
      <c r="H163" s="2">
        <v>0</v>
      </c>
      <c r="I163" s="2">
        <v>0</v>
      </c>
      <c r="J163" s="2">
        <f t="shared" si="44"/>
        <v>0</v>
      </c>
      <c r="K163" s="2">
        <f t="shared" si="49"/>
        <v>5995105.7300000004</v>
      </c>
      <c r="L163" s="171">
        <f t="shared" si="42"/>
        <v>3.5200000000000002E-2</v>
      </c>
      <c r="M163" s="1">
        <f t="shared" si="50"/>
        <v>17585.64</v>
      </c>
      <c r="N163" s="2">
        <f t="shared" si="51"/>
        <v>1072724.0400000005</v>
      </c>
      <c r="O163" s="2">
        <f t="shared" si="45"/>
        <v>4922381.6899999995</v>
      </c>
      <c r="Q163" s="2">
        <v>0</v>
      </c>
      <c r="R163" s="5">
        <v>395240.08</v>
      </c>
      <c r="S163" s="2">
        <f t="shared" si="46"/>
        <v>395240.08</v>
      </c>
      <c r="T163" s="2">
        <f t="shared" si="52"/>
        <v>15657660.959999999</v>
      </c>
      <c r="U163" s="171">
        <f t="shared" si="48"/>
        <v>3.5200000000000002E-2</v>
      </c>
      <c r="V163" s="5">
        <f t="shared" si="53"/>
        <v>44769.77</v>
      </c>
      <c r="W163" s="2">
        <f t="shared" si="54"/>
        <v>1731129.1399999997</v>
      </c>
      <c r="X163" s="2">
        <f t="shared" si="47"/>
        <v>13926531.82</v>
      </c>
    </row>
    <row r="164" spans="1:24">
      <c r="A164" s="163">
        <v>202410</v>
      </c>
      <c r="B164" s="163">
        <v>36500</v>
      </c>
      <c r="C164" s="2">
        <v>0</v>
      </c>
      <c r="D164" s="2">
        <v>0</v>
      </c>
      <c r="E164" s="2">
        <v>0</v>
      </c>
      <c r="F164" s="2">
        <v>0</v>
      </c>
      <c r="G164" s="2">
        <v>0</v>
      </c>
      <c r="H164" s="2">
        <v>0</v>
      </c>
      <c r="I164" s="2">
        <v>0</v>
      </c>
      <c r="J164" s="2">
        <f t="shared" si="44"/>
        <v>0</v>
      </c>
      <c r="K164" s="2">
        <f t="shared" si="49"/>
        <v>5995105.7300000004</v>
      </c>
      <c r="L164" s="171">
        <f t="shared" si="42"/>
        <v>3.5200000000000002E-2</v>
      </c>
      <c r="M164" s="1">
        <f t="shared" si="50"/>
        <v>17585.64</v>
      </c>
      <c r="N164" s="2">
        <f t="shared" si="51"/>
        <v>1090309.6800000004</v>
      </c>
      <c r="O164" s="2">
        <f t="shared" si="45"/>
        <v>4904796.05</v>
      </c>
      <c r="Q164" s="2">
        <v>0</v>
      </c>
      <c r="R164" s="5">
        <v>96781.89</v>
      </c>
      <c r="S164" s="2">
        <f t="shared" si="46"/>
        <v>96781.89</v>
      </c>
      <c r="T164" s="2">
        <f t="shared" si="52"/>
        <v>15754442.85</v>
      </c>
      <c r="U164" s="171">
        <f t="shared" si="48"/>
        <v>3.5200000000000002E-2</v>
      </c>
      <c r="V164" s="5">
        <f t="shared" si="53"/>
        <v>45929.14</v>
      </c>
      <c r="W164" s="2">
        <f t="shared" si="54"/>
        <v>1777058.2799999996</v>
      </c>
      <c r="X164" s="2">
        <f t="shared" si="47"/>
        <v>13977384.57</v>
      </c>
    </row>
    <row r="165" spans="1:24">
      <c r="A165" s="163">
        <v>202411</v>
      </c>
      <c r="B165" s="163">
        <v>36500</v>
      </c>
      <c r="C165" s="2">
        <v>0</v>
      </c>
      <c r="D165" s="2">
        <v>0</v>
      </c>
      <c r="E165" s="2">
        <v>0</v>
      </c>
      <c r="F165" s="2">
        <v>0</v>
      </c>
      <c r="G165" s="2">
        <v>0</v>
      </c>
      <c r="H165" s="2">
        <v>0</v>
      </c>
      <c r="I165" s="2">
        <v>0</v>
      </c>
      <c r="J165" s="2">
        <f t="shared" si="44"/>
        <v>0</v>
      </c>
      <c r="K165" s="2">
        <f t="shared" si="49"/>
        <v>5995105.7300000004</v>
      </c>
      <c r="L165" s="171">
        <f t="shared" si="42"/>
        <v>3.5200000000000002E-2</v>
      </c>
      <c r="M165" s="1">
        <f t="shared" si="50"/>
        <v>17585.64</v>
      </c>
      <c r="N165" s="2">
        <f t="shared" si="51"/>
        <v>1107895.3200000003</v>
      </c>
      <c r="O165" s="2">
        <f t="shared" si="45"/>
        <v>4887210.41</v>
      </c>
      <c r="Q165" s="2">
        <v>0</v>
      </c>
      <c r="R165" s="5">
        <v>114760.52</v>
      </c>
      <c r="S165" s="2">
        <f t="shared" si="46"/>
        <v>114760.52</v>
      </c>
      <c r="T165" s="2">
        <f t="shared" si="52"/>
        <v>15869203.369999999</v>
      </c>
      <c r="U165" s="171">
        <f t="shared" si="48"/>
        <v>3.5200000000000002E-2</v>
      </c>
      <c r="V165" s="5">
        <f t="shared" si="53"/>
        <v>46213.03</v>
      </c>
      <c r="W165" s="2">
        <f t="shared" si="54"/>
        <v>1823271.3099999996</v>
      </c>
      <c r="X165" s="2">
        <f t="shared" si="47"/>
        <v>14045932.059999999</v>
      </c>
    </row>
    <row r="166" spans="1:24">
      <c r="A166" s="163">
        <v>202412</v>
      </c>
      <c r="B166" s="163">
        <v>36500</v>
      </c>
      <c r="C166" s="2">
        <v>0</v>
      </c>
      <c r="D166" s="2">
        <v>0</v>
      </c>
      <c r="E166" s="2">
        <v>0</v>
      </c>
      <c r="F166" s="2">
        <v>0</v>
      </c>
      <c r="G166" s="2">
        <v>0</v>
      </c>
      <c r="H166" s="2">
        <v>0</v>
      </c>
      <c r="I166" s="2">
        <v>0</v>
      </c>
      <c r="J166" s="2">
        <f t="shared" si="44"/>
        <v>0</v>
      </c>
      <c r="K166" s="2">
        <f t="shared" si="49"/>
        <v>5995105.7300000004</v>
      </c>
      <c r="L166" s="171">
        <f t="shared" si="42"/>
        <v>3.5200000000000002E-2</v>
      </c>
      <c r="M166" s="1">
        <f t="shared" si="50"/>
        <v>17585.64</v>
      </c>
      <c r="N166" s="2">
        <f t="shared" si="51"/>
        <v>1125480.9600000002</v>
      </c>
      <c r="O166" s="2">
        <f t="shared" si="45"/>
        <v>4869624.7700000005</v>
      </c>
      <c r="Q166" s="2">
        <v>0</v>
      </c>
      <c r="R166" s="5">
        <v>228872.85</v>
      </c>
      <c r="S166" s="2">
        <f t="shared" si="46"/>
        <v>228872.85</v>
      </c>
      <c r="T166" s="2">
        <f t="shared" si="52"/>
        <v>16098076.219999999</v>
      </c>
      <c r="U166" s="171">
        <f t="shared" si="48"/>
        <v>3.5200000000000002E-2</v>
      </c>
      <c r="V166" s="5">
        <f t="shared" si="53"/>
        <v>46549.66</v>
      </c>
      <c r="W166" s="2">
        <f t="shared" si="54"/>
        <v>1869820.9699999995</v>
      </c>
      <c r="X166" s="2">
        <f t="shared" si="47"/>
        <v>14228255.25</v>
      </c>
    </row>
    <row r="167" spans="1:24">
      <c r="A167" s="163">
        <v>202501</v>
      </c>
      <c r="B167" s="163">
        <v>36500</v>
      </c>
      <c r="C167" s="2">
        <v>0</v>
      </c>
      <c r="D167" s="2">
        <v>0</v>
      </c>
      <c r="E167" s="2">
        <v>0</v>
      </c>
      <c r="F167" s="2">
        <v>0</v>
      </c>
      <c r="G167" s="2">
        <v>0</v>
      </c>
      <c r="H167" s="2">
        <v>0</v>
      </c>
      <c r="I167" s="2">
        <v>0</v>
      </c>
      <c r="J167" s="2">
        <f t="shared" si="44"/>
        <v>0</v>
      </c>
      <c r="K167" s="2">
        <f t="shared" si="49"/>
        <v>5995105.7300000004</v>
      </c>
      <c r="L167" s="171">
        <f t="shared" ref="L167:L180" si="55">3.52%</f>
        <v>3.5200000000000002E-2</v>
      </c>
      <c r="M167" s="1">
        <f t="shared" si="50"/>
        <v>17585.64</v>
      </c>
      <c r="N167" s="2">
        <f t="shared" si="51"/>
        <v>1143066.6000000001</v>
      </c>
      <c r="O167" s="2">
        <f t="shared" si="45"/>
        <v>4852039.1300000008</v>
      </c>
      <c r="Q167" s="2">
        <v>0</v>
      </c>
      <c r="R167" s="5">
        <v>165573.39000000001</v>
      </c>
      <c r="S167" s="2">
        <f t="shared" si="46"/>
        <v>165573.39000000001</v>
      </c>
      <c r="T167" s="2">
        <f t="shared" si="52"/>
        <v>16263649.609999999</v>
      </c>
      <c r="U167" s="171">
        <f t="shared" si="48"/>
        <v>3.5200000000000002E-2</v>
      </c>
      <c r="V167" s="5">
        <f t="shared" si="53"/>
        <v>47221.02</v>
      </c>
      <c r="W167" s="2">
        <f t="shared" si="54"/>
        <v>1917041.9899999995</v>
      </c>
      <c r="X167" s="2">
        <f t="shared" si="47"/>
        <v>14346607.619999999</v>
      </c>
    </row>
    <row r="168" spans="1:24">
      <c r="A168" s="163">
        <v>202502</v>
      </c>
      <c r="B168" s="163">
        <v>36500</v>
      </c>
      <c r="C168" s="2">
        <v>0</v>
      </c>
      <c r="D168" s="2">
        <v>0</v>
      </c>
      <c r="E168" s="2">
        <v>0</v>
      </c>
      <c r="F168" s="2">
        <v>0</v>
      </c>
      <c r="G168" s="2">
        <v>0</v>
      </c>
      <c r="H168" s="2">
        <v>0</v>
      </c>
      <c r="I168" s="2">
        <v>0</v>
      </c>
      <c r="J168" s="2">
        <f t="shared" si="44"/>
        <v>0</v>
      </c>
      <c r="K168" s="2">
        <f t="shared" si="49"/>
        <v>5995105.7300000004</v>
      </c>
      <c r="L168" s="171">
        <f t="shared" si="55"/>
        <v>3.5200000000000002E-2</v>
      </c>
      <c r="M168" s="1">
        <f t="shared" si="50"/>
        <v>17585.64</v>
      </c>
      <c r="N168" s="2">
        <f t="shared" si="51"/>
        <v>1160652.24</v>
      </c>
      <c r="O168" s="2">
        <f t="shared" si="45"/>
        <v>4834453.49</v>
      </c>
      <c r="Q168" s="2">
        <v>0</v>
      </c>
      <c r="R168" s="5">
        <v>160476.81</v>
      </c>
      <c r="S168" s="2">
        <f t="shared" si="46"/>
        <v>160476.81</v>
      </c>
      <c r="T168" s="2">
        <f t="shared" si="52"/>
        <v>16424126.42</v>
      </c>
      <c r="U168" s="171">
        <f t="shared" si="48"/>
        <v>3.5200000000000002E-2</v>
      </c>
      <c r="V168" s="5">
        <f t="shared" si="53"/>
        <v>47706.71</v>
      </c>
      <c r="W168" s="2">
        <f t="shared" si="54"/>
        <v>1964748.6999999995</v>
      </c>
      <c r="X168" s="2">
        <f t="shared" si="47"/>
        <v>14459377.720000001</v>
      </c>
    </row>
    <row r="169" spans="1:24">
      <c r="A169" s="163">
        <v>202503</v>
      </c>
      <c r="B169" s="163">
        <v>36500</v>
      </c>
      <c r="C169" s="2">
        <v>0</v>
      </c>
      <c r="D169" s="2">
        <v>0</v>
      </c>
      <c r="E169" s="2">
        <v>0</v>
      </c>
      <c r="F169" s="2">
        <v>0</v>
      </c>
      <c r="G169" s="2">
        <v>0</v>
      </c>
      <c r="H169" s="2">
        <v>0</v>
      </c>
      <c r="I169" s="2">
        <v>0</v>
      </c>
      <c r="J169" s="2">
        <f t="shared" si="44"/>
        <v>0</v>
      </c>
      <c r="K169" s="2">
        <f t="shared" si="49"/>
        <v>5995105.7300000004</v>
      </c>
      <c r="L169" s="171">
        <f t="shared" si="55"/>
        <v>3.5200000000000002E-2</v>
      </c>
      <c r="M169" s="1">
        <f t="shared" si="50"/>
        <v>17585.64</v>
      </c>
      <c r="N169" s="2">
        <f t="shared" si="51"/>
        <v>1178237.8799999999</v>
      </c>
      <c r="O169" s="2">
        <f t="shared" si="45"/>
        <v>4816867.8500000006</v>
      </c>
      <c r="Q169" s="2">
        <v>0</v>
      </c>
      <c r="R169" s="5">
        <v>127839.59</v>
      </c>
      <c r="S169" s="2">
        <f t="shared" si="46"/>
        <v>127839.59</v>
      </c>
      <c r="T169" s="2">
        <f t="shared" si="52"/>
        <v>16551966.01</v>
      </c>
      <c r="U169" s="171">
        <f t="shared" si="48"/>
        <v>3.5200000000000002E-2</v>
      </c>
      <c r="V169" s="5">
        <f t="shared" si="53"/>
        <v>48177.440000000002</v>
      </c>
      <c r="W169" s="2">
        <f t="shared" si="54"/>
        <v>2012926.1399999994</v>
      </c>
      <c r="X169" s="2">
        <f t="shared" si="47"/>
        <v>14539039.870000001</v>
      </c>
    </row>
    <row r="170" spans="1:24">
      <c r="A170" s="163">
        <v>202504</v>
      </c>
      <c r="B170" s="163">
        <v>36500</v>
      </c>
      <c r="C170" s="2">
        <v>0</v>
      </c>
      <c r="D170" s="2">
        <v>0</v>
      </c>
      <c r="E170" s="2">
        <v>0</v>
      </c>
      <c r="F170" s="2">
        <v>0</v>
      </c>
      <c r="G170" s="2">
        <v>0</v>
      </c>
      <c r="H170" s="2">
        <v>0</v>
      </c>
      <c r="I170" s="2">
        <v>0</v>
      </c>
      <c r="J170" s="2">
        <f t="shared" si="44"/>
        <v>0</v>
      </c>
      <c r="K170" s="2">
        <f t="shared" si="49"/>
        <v>5995105.7300000004</v>
      </c>
      <c r="L170" s="171">
        <f t="shared" si="55"/>
        <v>3.5200000000000002E-2</v>
      </c>
      <c r="M170" s="1">
        <f t="shared" si="50"/>
        <v>17585.64</v>
      </c>
      <c r="N170" s="2">
        <f t="shared" si="51"/>
        <v>1195823.5199999998</v>
      </c>
      <c r="O170" s="2">
        <f t="shared" si="45"/>
        <v>4799282.2100000009</v>
      </c>
      <c r="Q170" s="2">
        <v>0</v>
      </c>
      <c r="R170" s="5">
        <v>100477.83</v>
      </c>
      <c r="S170" s="2">
        <f t="shared" si="46"/>
        <v>100477.83</v>
      </c>
      <c r="T170" s="2">
        <f t="shared" si="52"/>
        <v>16652443.84</v>
      </c>
      <c r="U170" s="171">
        <f t="shared" si="48"/>
        <v>3.5200000000000002E-2</v>
      </c>
      <c r="V170" s="5">
        <f t="shared" si="53"/>
        <v>48552.43</v>
      </c>
      <c r="W170" s="2">
        <f t="shared" si="54"/>
        <v>2061478.5699999994</v>
      </c>
      <c r="X170" s="2">
        <f t="shared" si="47"/>
        <v>14590965.27</v>
      </c>
    </row>
    <row r="171" spans="1:24">
      <c r="A171" s="163">
        <v>202505</v>
      </c>
      <c r="B171" s="163">
        <v>36500</v>
      </c>
      <c r="C171" s="2">
        <v>0</v>
      </c>
      <c r="D171" s="2">
        <v>0</v>
      </c>
      <c r="E171" s="2">
        <v>0</v>
      </c>
      <c r="F171" s="2">
        <v>0</v>
      </c>
      <c r="G171" s="2">
        <v>0</v>
      </c>
      <c r="H171" s="2">
        <v>0</v>
      </c>
      <c r="I171" s="2">
        <v>0</v>
      </c>
      <c r="J171" s="2">
        <f t="shared" si="44"/>
        <v>0</v>
      </c>
      <c r="K171" s="2">
        <f t="shared" si="49"/>
        <v>5995105.7300000004</v>
      </c>
      <c r="L171" s="171">
        <f t="shared" si="55"/>
        <v>3.5200000000000002E-2</v>
      </c>
      <c r="M171" s="1">
        <f t="shared" si="50"/>
        <v>17585.64</v>
      </c>
      <c r="N171" s="2">
        <f t="shared" si="51"/>
        <v>1213409.1599999997</v>
      </c>
      <c r="O171" s="2">
        <f t="shared" si="45"/>
        <v>4781696.57</v>
      </c>
      <c r="Q171" s="2">
        <v>0</v>
      </c>
      <c r="R171" s="5">
        <v>72698.75</v>
      </c>
      <c r="S171" s="2">
        <f t="shared" si="46"/>
        <v>72698.75</v>
      </c>
      <c r="T171" s="2">
        <f t="shared" si="52"/>
        <v>16725142.59</v>
      </c>
      <c r="U171" s="171">
        <f t="shared" si="48"/>
        <v>3.5200000000000002E-2</v>
      </c>
      <c r="V171" s="5">
        <f t="shared" si="53"/>
        <v>48847.17</v>
      </c>
      <c r="W171" s="2">
        <f t="shared" si="54"/>
        <v>2110325.7399999993</v>
      </c>
      <c r="X171" s="2">
        <f t="shared" si="47"/>
        <v>14614816.850000001</v>
      </c>
    </row>
    <row r="172" spans="1:24">
      <c r="A172" s="163">
        <v>202506</v>
      </c>
      <c r="B172" s="163">
        <v>36500</v>
      </c>
      <c r="C172" s="2">
        <v>0</v>
      </c>
      <c r="D172" s="2">
        <v>0</v>
      </c>
      <c r="E172" s="2">
        <v>0</v>
      </c>
      <c r="F172" s="2">
        <v>0</v>
      </c>
      <c r="G172" s="2">
        <v>0</v>
      </c>
      <c r="H172" s="2">
        <v>0</v>
      </c>
      <c r="I172" s="2">
        <v>0</v>
      </c>
      <c r="J172" s="2">
        <f t="shared" si="44"/>
        <v>0</v>
      </c>
      <c r="K172" s="2">
        <f t="shared" si="49"/>
        <v>5995105.7300000004</v>
      </c>
      <c r="L172" s="171">
        <f t="shared" si="55"/>
        <v>3.5200000000000002E-2</v>
      </c>
      <c r="M172" s="1">
        <f t="shared" si="50"/>
        <v>17585.64</v>
      </c>
      <c r="N172" s="2">
        <f t="shared" si="51"/>
        <v>1230994.7999999996</v>
      </c>
      <c r="O172" s="2">
        <f t="shared" si="45"/>
        <v>4764110.9300000006</v>
      </c>
      <c r="Q172" s="2">
        <v>0</v>
      </c>
      <c r="R172" s="5">
        <v>56614.03</v>
      </c>
      <c r="S172" s="2">
        <f t="shared" si="46"/>
        <v>56614.03</v>
      </c>
      <c r="T172" s="2">
        <f t="shared" si="52"/>
        <v>16781756.620000001</v>
      </c>
      <c r="U172" s="171">
        <f t="shared" si="48"/>
        <v>3.5200000000000002E-2</v>
      </c>
      <c r="V172" s="5">
        <f t="shared" si="53"/>
        <v>49060.42</v>
      </c>
      <c r="W172" s="2">
        <f t="shared" si="54"/>
        <v>2159386.1599999992</v>
      </c>
      <c r="X172" s="2">
        <f t="shared" si="47"/>
        <v>14622370.460000001</v>
      </c>
    </row>
    <row r="173" spans="1:24">
      <c r="A173" s="163">
        <v>202507</v>
      </c>
      <c r="B173" s="163">
        <v>36500</v>
      </c>
      <c r="C173" s="2">
        <v>0</v>
      </c>
      <c r="D173" s="2">
        <v>0</v>
      </c>
      <c r="E173" s="2">
        <v>0</v>
      </c>
      <c r="F173" s="2">
        <v>0</v>
      </c>
      <c r="G173" s="2">
        <v>0</v>
      </c>
      <c r="H173" s="2">
        <v>0</v>
      </c>
      <c r="I173" s="2">
        <v>0</v>
      </c>
      <c r="J173" s="2">
        <f t="shared" si="44"/>
        <v>0</v>
      </c>
      <c r="K173" s="2">
        <f t="shared" si="49"/>
        <v>5995105.7300000004</v>
      </c>
      <c r="L173" s="171">
        <f t="shared" si="55"/>
        <v>3.5200000000000002E-2</v>
      </c>
      <c r="M173" s="1">
        <f t="shared" si="50"/>
        <v>17585.64</v>
      </c>
      <c r="N173" s="2">
        <f t="shared" si="51"/>
        <v>1248580.4399999995</v>
      </c>
      <c r="O173" s="2">
        <f t="shared" si="45"/>
        <v>4746525.290000001</v>
      </c>
      <c r="Q173" s="2">
        <v>0</v>
      </c>
      <c r="R173" s="5">
        <v>107505.73</v>
      </c>
      <c r="S173" s="2">
        <f t="shared" si="46"/>
        <v>107505.73</v>
      </c>
      <c r="T173" s="2">
        <f t="shared" si="52"/>
        <v>16889262.350000001</v>
      </c>
      <c r="U173" s="171">
        <f t="shared" si="48"/>
        <v>3.5200000000000002E-2</v>
      </c>
      <c r="V173" s="5">
        <f t="shared" si="53"/>
        <v>49226.49</v>
      </c>
      <c r="W173" s="2">
        <f t="shared" si="54"/>
        <v>2208612.6499999994</v>
      </c>
      <c r="X173" s="2">
        <f t="shared" si="47"/>
        <v>14680649.700000003</v>
      </c>
    </row>
    <row r="174" spans="1:24">
      <c r="A174" s="163">
        <v>202508</v>
      </c>
      <c r="B174" s="163">
        <v>36500</v>
      </c>
      <c r="C174" s="2">
        <v>0</v>
      </c>
      <c r="D174" s="2">
        <v>0</v>
      </c>
      <c r="E174" s="2">
        <v>0</v>
      </c>
      <c r="F174" s="2">
        <v>0</v>
      </c>
      <c r="G174" s="2">
        <v>0</v>
      </c>
      <c r="H174" s="2">
        <v>0</v>
      </c>
      <c r="I174" s="2">
        <v>0</v>
      </c>
      <c r="J174" s="2">
        <f t="shared" si="44"/>
        <v>0</v>
      </c>
      <c r="K174" s="2">
        <f t="shared" si="49"/>
        <v>5995105.7300000004</v>
      </c>
      <c r="L174" s="171">
        <f t="shared" si="55"/>
        <v>3.5200000000000002E-2</v>
      </c>
      <c r="M174" s="1">
        <f t="shared" si="50"/>
        <v>17585.64</v>
      </c>
      <c r="N174" s="2">
        <f t="shared" si="51"/>
        <v>1266166.0799999994</v>
      </c>
      <c r="O174" s="2">
        <f t="shared" si="45"/>
        <v>4728939.6500000013</v>
      </c>
      <c r="Q174" s="2">
        <v>0</v>
      </c>
      <c r="R174" s="5">
        <v>234391.31</v>
      </c>
      <c r="S174" s="2">
        <f t="shared" si="46"/>
        <v>234391.31</v>
      </c>
      <c r="T174" s="2">
        <f t="shared" si="52"/>
        <v>17123653.66</v>
      </c>
      <c r="U174" s="171">
        <f t="shared" si="48"/>
        <v>3.5200000000000002E-2</v>
      </c>
      <c r="V174" s="5">
        <f t="shared" si="53"/>
        <v>49541.84</v>
      </c>
      <c r="W174" s="2">
        <f t="shared" si="54"/>
        <v>2258154.4899999993</v>
      </c>
      <c r="X174" s="2">
        <f t="shared" si="47"/>
        <v>14865499.170000002</v>
      </c>
    </row>
    <row r="175" spans="1:24">
      <c r="A175" s="163">
        <v>202509</v>
      </c>
      <c r="B175" s="163">
        <v>36500</v>
      </c>
      <c r="C175" s="2">
        <v>0</v>
      </c>
      <c r="D175" s="2">
        <v>0</v>
      </c>
      <c r="E175" s="2">
        <v>0</v>
      </c>
      <c r="F175" s="2">
        <v>0</v>
      </c>
      <c r="G175" s="2">
        <v>0</v>
      </c>
      <c r="H175" s="2">
        <v>0</v>
      </c>
      <c r="I175" s="2">
        <v>0</v>
      </c>
      <c r="J175" s="2">
        <f t="shared" si="44"/>
        <v>0</v>
      </c>
      <c r="K175" s="2">
        <f t="shared" si="49"/>
        <v>5995105.7300000004</v>
      </c>
      <c r="L175" s="171">
        <f t="shared" si="55"/>
        <v>3.5200000000000002E-2</v>
      </c>
      <c r="M175" s="1">
        <f t="shared" si="50"/>
        <v>17585.64</v>
      </c>
      <c r="N175" s="2">
        <f t="shared" si="51"/>
        <v>1283751.7199999993</v>
      </c>
      <c r="O175" s="2">
        <f t="shared" si="45"/>
        <v>4711354.0100000016</v>
      </c>
      <c r="Q175" s="2">
        <v>0</v>
      </c>
      <c r="R175" s="5">
        <v>234162.37</v>
      </c>
      <c r="S175" s="2">
        <f t="shared" si="46"/>
        <v>234162.37</v>
      </c>
      <c r="T175" s="2">
        <f t="shared" si="52"/>
        <v>17357816.030000001</v>
      </c>
      <c r="U175" s="171">
        <f t="shared" si="48"/>
        <v>3.5200000000000002E-2</v>
      </c>
      <c r="V175" s="5">
        <f t="shared" si="53"/>
        <v>50229.38</v>
      </c>
      <c r="W175" s="2">
        <f t="shared" si="54"/>
        <v>2308383.8699999992</v>
      </c>
      <c r="X175" s="2">
        <f t="shared" si="47"/>
        <v>15049432.160000002</v>
      </c>
    </row>
    <row r="176" spans="1:24">
      <c r="A176" s="163">
        <v>202510</v>
      </c>
      <c r="B176" s="163">
        <v>36500</v>
      </c>
      <c r="C176" s="2">
        <v>0</v>
      </c>
      <c r="D176" s="2">
        <v>0</v>
      </c>
      <c r="E176" s="2">
        <v>0</v>
      </c>
      <c r="F176" s="2">
        <v>0</v>
      </c>
      <c r="G176" s="2">
        <v>0</v>
      </c>
      <c r="H176" s="2">
        <v>0</v>
      </c>
      <c r="I176" s="2">
        <v>0</v>
      </c>
      <c r="J176" s="2">
        <f t="shared" si="44"/>
        <v>0</v>
      </c>
      <c r="K176" s="2">
        <f t="shared" si="49"/>
        <v>5995105.7300000004</v>
      </c>
      <c r="L176" s="170">
        <f t="shared" si="55"/>
        <v>3.5200000000000002E-2</v>
      </c>
      <c r="M176" s="1">
        <f t="shared" si="50"/>
        <v>17585.64</v>
      </c>
      <c r="N176" s="2">
        <f t="shared" si="51"/>
        <v>1301337.3599999992</v>
      </c>
      <c r="O176" s="2">
        <f t="shared" si="45"/>
        <v>4693768.370000001</v>
      </c>
      <c r="Q176" s="2">
        <v>0</v>
      </c>
      <c r="R176" s="1">
        <v>187484.32</v>
      </c>
      <c r="S176" s="2">
        <f t="shared" si="46"/>
        <v>187484.32</v>
      </c>
      <c r="T176" s="2">
        <f t="shared" si="52"/>
        <v>17545300.350000001</v>
      </c>
      <c r="U176" s="170">
        <f t="shared" si="48"/>
        <v>3.5200000000000002E-2</v>
      </c>
      <c r="V176" s="1">
        <f t="shared" si="53"/>
        <v>50916.26</v>
      </c>
      <c r="W176" s="2">
        <f t="shared" si="54"/>
        <v>2359300.129999999</v>
      </c>
      <c r="X176" s="2">
        <f t="shared" si="47"/>
        <v>15186000.220000003</v>
      </c>
    </row>
    <row r="177" spans="1:24">
      <c r="A177" s="163">
        <v>202511</v>
      </c>
      <c r="B177" s="163">
        <v>36500</v>
      </c>
      <c r="C177" s="2">
        <v>0</v>
      </c>
      <c r="D177" s="2">
        <v>0</v>
      </c>
      <c r="E177" s="2">
        <v>0</v>
      </c>
      <c r="F177" s="2">
        <v>0</v>
      </c>
      <c r="G177" s="2">
        <v>0</v>
      </c>
      <c r="H177" s="2">
        <v>0</v>
      </c>
      <c r="I177" s="2">
        <v>0</v>
      </c>
      <c r="J177" s="2">
        <f t="shared" si="44"/>
        <v>0</v>
      </c>
      <c r="K177" s="2">
        <f t="shared" si="49"/>
        <v>5995105.7300000004</v>
      </c>
      <c r="L177" s="170">
        <f t="shared" si="55"/>
        <v>3.5200000000000002E-2</v>
      </c>
      <c r="M177" s="1">
        <f t="shared" si="50"/>
        <v>17585.64</v>
      </c>
      <c r="N177" s="2">
        <f t="shared" si="51"/>
        <v>1318922.9999999991</v>
      </c>
      <c r="O177" s="2">
        <f t="shared" si="45"/>
        <v>4676182.7300000014</v>
      </c>
      <c r="Q177" s="2">
        <v>0</v>
      </c>
      <c r="R177" s="1">
        <v>338149.5</v>
      </c>
      <c r="S177" s="2">
        <f t="shared" si="46"/>
        <v>338149.5</v>
      </c>
      <c r="T177" s="2">
        <f t="shared" si="52"/>
        <v>17883449.850000001</v>
      </c>
      <c r="U177" s="170">
        <f t="shared" si="48"/>
        <v>3.5200000000000002E-2</v>
      </c>
      <c r="V177" s="1">
        <f t="shared" si="53"/>
        <v>51466.21</v>
      </c>
      <c r="W177" s="2">
        <f t="shared" si="54"/>
        <v>2410766.3399999989</v>
      </c>
      <c r="X177" s="2">
        <f t="shared" si="47"/>
        <v>15472683.510000002</v>
      </c>
    </row>
    <row r="178" spans="1:24">
      <c r="A178" s="163">
        <v>202512</v>
      </c>
      <c r="B178" s="163">
        <v>36500</v>
      </c>
      <c r="C178" s="2">
        <v>0</v>
      </c>
      <c r="D178" s="2">
        <v>0</v>
      </c>
      <c r="E178" s="2">
        <v>0</v>
      </c>
      <c r="F178" s="2">
        <v>0</v>
      </c>
      <c r="G178" s="2">
        <v>0</v>
      </c>
      <c r="H178" s="2">
        <v>0</v>
      </c>
      <c r="I178" s="2">
        <v>0</v>
      </c>
      <c r="J178" s="2">
        <f t="shared" si="44"/>
        <v>0</v>
      </c>
      <c r="K178" s="2">
        <f t="shared" si="49"/>
        <v>5995105.7300000004</v>
      </c>
      <c r="L178" s="170">
        <f t="shared" si="55"/>
        <v>3.5200000000000002E-2</v>
      </c>
      <c r="M178" s="1">
        <f t="shared" si="50"/>
        <v>17585.64</v>
      </c>
      <c r="N178" s="2">
        <f t="shared" si="51"/>
        <v>1336508.639999999</v>
      </c>
      <c r="O178" s="2">
        <f t="shared" si="45"/>
        <v>4658597.0900000017</v>
      </c>
      <c r="Q178" s="2">
        <v>0</v>
      </c>
      <c r="R178" s="1">
        <v>171286.37</v>
      </c>
      <c r="S178" s="2">
        <f t="shared" si="46"/>
        <v>171286.37</v>
      </c>
      <c r="T178" s="2">
        <f t="shared" si="52"/>
        <v>18054736.220000003</v>
      </c>
      <c r="U178" s="170">
        <f t="shared" si="48"/>
        <v>3.5200000000000002E-2</v>
      </c>
      <c r="V178" s="1">
        <f t="shared" si="53"/>
        <v>52458.12</v>
      </c>
      <c r="W178" s="2">
        <f t="shared" si="54"/>
        <v>2463224.459999999</v>
      </c>
      <c r="X178" s="2">
        <f t="shared" si="47"/>
        <v>15591511.760000004</v>
      </c>
    </row>
    <row r="179" spans="1:24">
      <c r="A179" s="163">
        <v>202601</v>
      </c>
      <c r="B179" s="163">
        <v>36500</v>
      </c>
      <c r="C179" s="2">
        <v>0</v>
      </c>
      <c r="D179" s="2">
        <v>0</v>
      </c>
      <c r="E179" s="2">
        <v>0</v>
      </c>
      <c r="F179" s="2">
        <v>0</v>
      </c>
      <c r="G179" s="2">
        <v>0</v>
      </c>
      <c r="H179" s="2">
        <v>0</v>
      </c>
      <c r="I179" s="2">
        <v>0</v>
      </c>
      <c r="J179" s="2">
        <f t="shared" si="44"/>
        <v>0</v>
      </c>
      <c r="K179" s="2">
        <f t="shared" si="49"/>
        <v>5995105.7300000004</v>
      </c>
      <c r="L179" s="170">
        <f t="shared" si="55"/>
        <v>3.5200000000000002E-2</v>
      </c>
      <c r="M179" s="1">
        <f t="shared" si="50"/>
        <v>17585.64</v>
      </c>
      <c r="N179" s="2">
        <f t="shared" si="51"/>
        <v>1354094.2799999989</v>
      </c>
      <c r="O179" s="2">
        <f t="shared" si="45"/>
        <v>4641011.4500000011</v>
      </c>
      <c r="Q179" s="2">
        <v>0</v>
      </c>
      <c r="R179" s="1">
        <v>70851.899999999994</v>
      </c>
      <c r="S179" s="2">
        <f t="shared" si="46"/>
        <v>70851.899999999994</v>
      </c>
      <c r="T179" s="2">
        <f t="shared" si="52"/>
        <v>18125588.120000001</v>
      </c>
      <c r="U179" s="170">
        <f t="shared" si="48"/>
        <v>3.5200000000000002E-2</v>
      </c>
      <c r="V179" s="1">
        <f t="shared" si="53"/>
        <v>52960.56</v>
      </c>
      <c r="W179" s="2">
        <f t="shared" si="54"/>
        <v>2516185.0199999991</v>
      </c>
      <c r="X179" s="2">
        <f t="shared" si="47"/>
        <v>15609403.100000001</v>
      </c>
    </row>
    <row r="180" spans="1:24">
      <c r="A180" s="163">
        <v>202602</v>
      </c>
      <c r="B180" s="163">
        <v>36500</v>
      </c>
      <c r="C180" s="2">
        <v>0</v>
      </c>
      <c r="D180" s="2">
        <v>0</v>
      </c>
      <c r="E180" s="2">
        <v>0</v>
      </c>
      <c r="F180" s="2">
        <v>0</v>
      </c>
      <c r="G180" s="2">
        <v>0</v>
      </c>
      <c r="H180" s="2">
        <v>0</v>
      </c>
      <c r="I180" s="2">
        <v>0</v>
      </c>
      <c r="J180" s="2">
        <f t="shared" si="44"/>
        <v>0</v>
      </c>
      <c r="K180" s="2">
        <f t="shared" si="49"/>
        <v>5995105.7300000004</v>
      </c>
      <c r="L180" s="170">
        <f t="shared" si="55"/>
        <v>3.5200000000000002E-2</v>
      </c>
      <c r="M180" s="1">
        <f t="shared" si="50"/>
        <v>17585.64</v>
      </c>
      <c r="N180" s="2">
        <f t="shared" si="51"/>
        <v>1371679.9199999988</v>
      </c>
      <c r="O180" s="2">
        <f t="shared" si="45"/>
        <v>4623425.8100000015</v>
      </c>
      <c r="Q180" s="2">
        <v>0</v>
      </c>
      <c r="R180" s="5">
        <v>61627.76</v>
      </c>
      <c r="S180" s="2">
        <f t="shared" si="46"/>
        <v>61627.76</v>
      </c>
      <c r="T180" s="2">
        <f t="shared" si="52"/>
        <v>18187215.880000003</v>
      </c>
      <c r="U180" s="170">
        <f t="shared" si="48"/>
        <v>3.5200000000000002E-2</v>
      </c>
      <c r="V180" s="1">
        <f t="shared" si="53"/>
        <v>53168.39</v>
      </c>
      <c r="W180" s="2">
        <f t="shared" si="54"/>
        <v>2569353.4099999992</v>
      </c>
      <c r="X180" s="2">
        <f t="shared" si="47"/>
        <v>15617862.470000003</v>
      </c>
    </row>
    <row r="181" spans="1:24">
      <c r="A181" s="163"/>
      <c r="B181" s="163"/>
      <c r="C181" s="2"/>
      <c r="D181" s="2"/>
      <c r="E181" s="2"/>
      <c r="F181" s="2"/>
      <c r="G181" s="2"/>
      <c r="H181" s="2"/>
      <c r="I181" s="2"/>
      <c r="J181" s="2"/>
      <c r="K181" s="2"/>
      <c r="L181" s="170"/>
      <c r="M181" s="1"/>
      <c r="N181" s="2"/>
      <c r="Q181" s="163"/>
      <c r="R181" s="1"/>
      <c r="S181" s="1"/>
      <c r="T181" s="2"/>
      <c r="U181" s="170"/>
      <c r="V181" s="1"/>
      <c r="W181" s="2"/>
    </row>
    <row r="182" spans="1:24">
      <c r="A182" s="172" t="s">
        <v>832</v>
      </c>
      <c r="B182" s="172"/>
      <c r="C182" s="2">
        <f>SUM(C88:C180)</f>
        <v>5995105.7300000004</v>
      </c>
      <c r="D182" s="2">
        <f t="shared" ref="D182:J182" si="56">SUM(D88:D180)</f>
        <v>0</v>
      </c>
      <c r="E182" s="2">
        <f t="shared" si="56"/>
        <v>0</v>
      </c>
      <c r="F182" s="2">
        <f t="shared" si="56"/>
        <v>0</v>
      </c>
      <c r="G182" s="2">
        <f t="shared" si="56"/>
        <v>0</v>
      </c>
      <c r="H182" s="2">
        <f t="shared" si="56"/>
        <v>0</v>
      </c>
      <c r="I182" s="2">
        <f t="shared" si="56"/>
        <v>0</v>
      </c>
      <c r="J182" s="173">
        <f t="shared" si="56"/>
        <v>5995105.7300000004</v>
      </c>
      <c r="M182" s="173"/>
      <c r="N182" s="173"/>
      <c r="O182" s="173"/>
      <c r="P182" s="173"/>
      <c r="Q182" s="2">
        <f t="shared" ref="Q182:S182" si="57">SUM(Q88:Q180)</f>
        <v>3208144.19</v>
      </c>
      <c r="R182" s="2">
        <f t="shared" si="57"/>
        <v>14979071.689999999</v>
      </c>
      <c r="S182" s="173">
        <f t="shared" si="57"/>
        <v>18187215.880000003</v>
      </c>
      <c r="V182" s="173"/>
      <c r="W182" s="173"/>
      <c r="X182" s="173"/>
    </row>
    <row r="183" spans="1:24">
      <c r="J183" s="7"/>
      <c r="K183" s="7"/>
      <c r="L183" s="7"/>
      <c r="M183" s="7"/>
      <c r="N183" s="7"/>
      <c r="O183" s="7"/>
      <c r="P183" s="7"/>
      <c r="R183" s="7"/>
      <c r="S183" s="7"/>
      <c r="T183" s="7"/>
      <c r="U183" s="7"/>
      <c r="V183" s="7"/>
    </row>
    <row r="184" spans="1:24">
      <c r="A184" s="4" t="s">
        <v>833</v>
      </c>
      <c r="C184" s="2">
        <f t="shared" ref="C184:J184" si="58">C84+C182</f>
        <v>5999446.8800000008</v>
      </c>
      <c r="D184" s="2">
        <f t="shared" si="58"/>
        <v>12136663.91</v>
      </c>
      <c r="E184" s="2">
        <f t="shared" si="58"/>
        <v>7553853.1299999999</v>
      </c>
      <c r="F184" s="2">
        <f t="shared" si="58"/>
        <v>13456312.860000003</v>
      </c>
      <c r="G184" s="2">
        <f t="shared" si="58"/>
        <v>6724375.75</v>
      </c>
      <c r="H184" s="2">
        <f t="shared" si="58"/>
        <v>4671285.59</v>
      </c>
      <c r="I184" s="2">
        <f t="shared" si="58"/>
        <v>18386869.050000001</v>
      </c>
      <c r="J184" s="173">
        <f t="shared" si="58"/>
        <v>68928807.169999987</v>
      </c>
      <c r="K184" s="7"/>
      <c r="L184" s="7"/>
      <c r="M184" s="7"/>
      <c r="N184" s="176">
        <f>N180+N82</f>
        <v>7804805.1799999988</v>
      </c>
      <c r="O184" s="176">
        <f>O180+O82</f>
        <v>61124001.989999987</v>
      </c>
      <c r="P184" s="7"/>
      <c r="Q184" s="2">
        <f>Q84+Q182</f>
        <v>3208144.19</v>
      </c>
      <c r="R184" s="2">
        <f>R84+R182</f>
        <v>17902644.16</v>
      </c>
      <c r="S184" s="173">
        <f>S84+S182</f>
        <v>21110788.350000001</v>
      </c>
      <c r="T184" s="7"/>
      <c r="U184" s="7"/>
      <c r="V184" s="7"/>
      <c r="W184" s="176">
        <f>W180+W82</f>
        <v>3161091.3799999994</v>
      </c>
      <c r="X184" s="176">
        <f>X180+X82</f>
        <v>17949696.970000003</v>
      </c>
    </row>
    <row r="185" spans="1:24">
      <c r="J185" s="7"/>
      <c r="K185" s="7"/>
      <c r="L185" s="7"/>
      <c r="M185" s="7"/>
      <c r="N185" s="7"/>
      <c r="O185" s="7"/>
      <c r="P185" s="7"/>
      <c r="R185" s="7"/>
      <c r="S185" s="7"/>
      <c r="T185" s="7"/>
      <c r="U185" s="7"/>
      <c r="V185" s="7"/>
    </row>
    <row r="186" spans="1:24">
      <c r="P186" s="169"/>
      <c r="Q186" s="2"/>
      <c r="R186" s="169"/>
      <c r="S186" s="169"/>
      <c r="T186" s="7"/>
      <c r="U186" s="7"/>
      <c r="V186" s="7"/>
    </row>
    <row r="187" spans="1:24">
      <c r="P187" s="169"/>
      <c r="R187" s="169"/>
      <c r="S187" s="169"/>
      <c r="T187" s="7"/>
      <c r="U187" s="7"/>
      <c r="V187" s="7"/>
    </row>
    <row r="188" spans="1:24">
      <c r="I188" s="2"/>
      <c r="P188" s="2"/>
      <c r="R188" s="2"/>
      <c r="S188" s="2"/>
      <c r="T188" s="7"/>
      <c r="U188" s="7"/>
      <c r="V188" s="7"/>
    </row>
    <row r="189" spans="1:24">
      <c r="I189" s="2"/>
      <c r="P189" s="2"/>
      <c r="R189" s="2"/>
      <c r="S189" s="2"/>
      <c r="T189" s="7"/>
      <c r="U189" s="7"/>
      <c r="V189" s="7"/>
    </row>
    <row r="190" spans="1:24">
      <c r="P190" s="173"/>
      <c r="R190" s="173"/>
      <c r="S190" s="173"/>
      <c r="T190" s="7"/>
      <c r="U190" s="7"/>
      <c r="V190" s="7"/>
    </row>
    <row r="191" spans="1:24">
      <c r="D191" s="160"/>
      <c r="E191" s="160" t="s">
        <v>22</v>
      </c>
      <c r="G191" s="160" t="s">
        <v>16</v>
      </c>
      <c r="I191" s="160" t="s">
        <v>834</v>
      </c>
      <c r="T191" s="7"/>
      <c r="U191" s="7"/>
      <c r="V191" s="7"/>
    </row>
    <row r="192" spans="1:24" ht="44.1" customHeight="1" thickBot="1">
      <c r="D192" s="165" t="s">
        <v>835</v>
      </c>
      <c r="E192" s="165" t="s">
        <v>836</v>
      </c>
      <c r="G192" s="165" t="s">
        <v>836</v>
      </c>
      <c r="I192" s="165" t="s">
        <v>836</v>
      </c>
      <c r="Q192" s="166" t="s">
        <v>812</v>
      </c>
      <c r="R192" s="166" t="s">
        <v>828</v>
      </c>
      <c r="S192" s="167" t="s">
        <v>821</v>
      </c>
      <c r="T192" s="166" t="s">
        <v>823</v>
      </c>
      <c r="U192" s="166" t="s">
        <v>824</v>
      </c>
      <c r="V192" s="7"/>
    </row>
    <row r="193" spans="3:22">
      <c r="C193">
        <v>2018</v>
      </c>
      <c r="D193" s="177">
        <v>5800828</v>
      </c>
      <c r="E193" s="164">
        <f>SUM(J88:J97)</f>
        <v>0</v>
      </c>
      <c r="F193" s="164"/>
      <c r="G193" s="164">
        <f>SUM(S88:S97)</f>
        <v>3026879.45</v>
      </c>
      <c r="I193" s="164">
        <f>E193+G193</f>
        <v>3026879.45</v>
      </c>
      <c r="Q193" s="163">
        <v>202506</v>
      </c>
      <c r="R193" s="5">
        <f>R172</f>
        <v>56614.03</v>
      </c>
      <c r="S193" s="2">
        <f>R193</f>
        <v>56614.03</v>
      </c>
      <c r="T193" s="171">
        <f>U172</f>
        <v>3.5200000000000002E-2</v>
      </c>
      <c r="U193" s="2">
        <f>ROUND((S193*T193),2)</f>
        <v>1992.81</v>
      </c>
      <c r="V193" s="7"/>
    </row>
    <row r="194" spans="3:22">
      <c r="C194">
        <v>2019</v>
      </c>
      <c r="D194" s="177">
        <v>11291140</v>
      </c>
      <c r="E194" s="164">
        <f>SUM(J4:J8)+SUM(J98:J106)</f>
        <v>5995105.7300000004</v>
      </c>
      <c r="F194" s="164"/>
      <c r="G194" s="164">
        <f>SUM(S4:S8)+SUM(S98:S106)</f>
        <v>181264.74000000002</v>
      </c>
      <c r="I194" s="164">
        <f t="shared" ref="I194:I200" si="59">E194+G194</f>
        <v>6176370.4700000007</v>
      </c>
      <c r="Q194" s="163">
        <v>202507</v>
      </c>
      <c r="R194" s="5">
        <f t="shared" ref="R194:R201" si="60">R173</f>
        <v>107505.73</v>
      </c>
      <c r="S194" s="2">
        <f>S193+R194</f>
        <v>164119.76</v>
      </c>
      <c r="T194" s="171">
        <f t="shared" ref="T194:T201" si="61">U173</f>
        <v>3.5200000000000002E-2</v>
      </c>
      <c r="U194" s="2">
        <f t="shared" ref="U194:U201" si="62">ROUND((S194*T194),2)</f>
        <v>5777.02</v>
      </c>
      <c r="V194" s="7"/>
    </row>
    <row r="195" spans="3:22">
      <c r="C195">
        <v>2020</v>
      </c>
      <c r="D195" s="177">
        <v>8477187</v>
      </c>
      <c r="E195" s="164">
        <f>SUM(J9:J20)+SUM(J107:J118)</f>
        <v>12141005.060000001</v>
      </c>
      <c r="F195" s="164"/>
      <c r="G195" s="164">
        <f>SUM(S9:S20)+SUM(S107:S118)</f>
        <v>2923572.47</v>
      </c>
      <c r="I195" s="164">
        <f t="shared" si="59"/>
        <v>15064577.530000001</v>
      </c>
      <c r="Q195" s="163">
        <v>202508</v>
      </c>
      <c r="R195" s="5">
        <f t="shared" si="60"/>
        <v>234391.31</v>
      </c>
      <c r="S195" s="2">
        <f t="shared" ref="S195:S201" si="63">S194+R195</f>
        <v>398511.07</v>
      </c>
      <c r="T195" s="171">
        <f t="shared" si="61"/>
        <v>3.5200000000000002E-2</v>
      </c>
      <c r="U195" s="2">
        <f t="shared" si="62"/>
        <v>14027.59</v>
      </c>
      <c r="V195" s="7"/>
    </row>
    <row r="196" spans="3:22">
      <c r="C196">
        <v>2021</v>
      </c>
      <c r="D196" s="177">
        <v>6843116</v>
      </c>
      <c r="E196" s="164">
        <f>SUM(J21:J32)+SUM(J119:J130)</f>
        <v>7553853.1299999999</v>
      </c>
      <c r="F196" s="164"/>
      <c r="G196" s="164">
        <f>SUM(S21:S32)+SUM(S119:S130)</f>
        <v>5865139.6899999995</v>
      </c>
      <c r="I196" s="164">
        <f t="shared" si="59"/>
        <v>13418992.82</v>
      </c>
      <c r="Q196" s="163">
        <v>202509</v>
      </c>
      <c r="R196" s="5">
        <f t="shared" si="60"/>
        <v>234162.37</v>
      </c>
      <c r="S196" s="2">
        <f t="shared" si="63"/>
        <v>632673.43999999994</v>
      </c>
      <c r="T196" s="171">
        <f t="shared" si="61"/>
        <v>3.5200000000000002E-2</v>
      </c>
      <c r="U196" s="2">
        <f t="shared" si="62"/>
        <v>22270.11</v>
      </c>
      <c r="V196" s="7"/>
    </row>
    <row r="197" spans="3:22">
      <c r="C197">
        <v>2022</v>
      </c>
      <c r="D197" s="178">
        <v>6694133</v>
      </c>
      <c r="E197" s="164">
        <f>SUM(J33:J44)+SUM(J131:J142)</f>
        <v>6881600.5300000003</v>
      </c>
      <c r="F197" s="164"/>
      <c r="G197" s="164">
        <f>SUM(S33:S44)+SUM(S131:S142)</f>
        <v>2751602</v>
      </c>
      <c r="I197" s="164">
        <f t="shared" si="59"/>
        <v>9633202.5300000012</v>
      </c>
      <c r="Q197" s="163">
        <v>202510</v>
      </c>
      <c r="R197" s="5">
        <f t="shared" si="60"/>
        <v>187484.32</v>
      </c>
      <c r="S197" s="2">
        <f t="shared" si="63"/>
        <v>820157.76</v>
      </c>
      <c r="T197" s="171">
        <f t="shared" si="61"/>
        <v>3.5200000000000002E-2</v>
      </c>
      <c r="U197" s="2">
        <f t="shared" si="62"/>
        <v>28869.55</v>
      </c>
      <c r="V197" s="7"/>
    </row>
    <row r="198" spans="3:22">
      <c r="C198">
        <v>2023</v>
      </c>
      <c r="D198" s="179">
        <v>6731375</v>
      </c>
      <c r="E198" s="164">
        <f>SUM(J45:J56)+SUM(J143:J154)</f>
        <v>6571004.0799999982</v>
      </c>
      <c r="F198" s="164"/>
      <c r="G198" s="164">
        <f>SUM(S45:S56)+SUM(S143:S154)</f>
        <v>2832011.7399999998</v>
      </c>
      <c r="I198" s="164">
        <f t="shared" si="59"/>
        <v>9403015.8199999984</v>
      </c>
      <c r="Q198" s="163">
        <v>202511</v>
      </c>
      <c r="R198" s="5">
        <f t="shared" si="60"/>
        <v>338149.5</v>
      </c>
      <c r="S198" s="2">
        <f t="shared" si="63"/>
        <v>1158307.26</v>
      </c>
      <c r="T198" s="171">
        <f t="shared" si="61"/>
        <v>3.5200000000000002E-2</v>
      </c>
      <c r="U198" s="2">
        <f t="shared" si="62"/>
        <v>40772.42</v>
      </c>
      <c r="V198" s="7"/>
    </row>
    <row r="199" spans="3:22">
      <c r="C199">
        <v>2024</v>
      </c>
      <c r="D199" s="179">
        <v>4631694</v>
      </c>
      <c r="E199" s="164">
        <f>SUM(J57:J68)+SUM(J155:J166)</f>
        <v>11331245.26</v>
      </c>
      <c r="F199" s="164"/>
      <c r="G199" s="164">
        <f>SUM(S57:S68)+SUM(S155:S166)</f>
        <v>1441178.6</v>
      </c>
      <c r="I199" s="164">
        <f t="shared" si="59"/>
        <v>12772423.859999999</v>
      </c>
      <c r="Q199" s="163">
        <v>202512</v>
      </c>
      <c r="R199" s="5">
        <f t="shared" si="60"/>
        <v>171286.37</v>
      </c>
      <c r="S199" s="2">
        <f t="shared" si="63"/>
        <v>1329593.6299999999</v>
      </c>
      <c r="T199" s="171">
        <f t="shared" si="61"/>
        <v>3.5200000000000002E-2</v>
      </c>
      <c r="U199" s="2">
        <f t="shared" si="62"/>
        <v>46801.7</v>
      </c>
      <c r="V199" s="7"/>
    </row>
    <row r="200" spans="3:22">
      <c r="C200" s="159" t="s">
        <v>837</v>
      </c>
      <c r="D200" s="179">
        <v>3709346</v>
      </c>
      <c r="E200" s="164">
        <f>SUM(J69:J73)+SUM(J167:J171)</f>
        <v>47435.44</v>
      </c>
      <c r="F200" s="164"/>
      <c r="G200" s="164">
        <f>SUM(S69:S73)+SUM(S167:S171)</f>
        <v>627066.37</v>
      </c>
      <c r="I200" s="164">
        <f t="shared" si="59"/>
        <v>674501.81</v>
      </c>
      <c r="Q200" s="163">
        <v>202601</v>
      </c>
      <c r="R200" s="5">
        <f t="shared" si="60"/>
        <v>70851.899999999994</v>
      </c>
      <c r="S200" s="2">
        <f t="shared" si="63"/>
        <v>1400445.5299999998</v>
      </c>
      <c r="T200" s="171">
        <f t="shared" si="61"/>
        <v>3.5200000000000002E-2</v>
      </c>
      <c r="U200" s="2">
        <f t="shared" si="62"/>
        <v>49295.68</v>
      </c>
      <c r="V200" s="7"/>
    </row>
    <row r="201" spans="3:22">
      <c r="C201" s="159" t="s">
        <v>838</v>
      </c>
      <c r="D201" s="181">
        <f>SUM(D193:D200)</f>
        <v>54178819</v>
      </c>
      <c r="E201" s="181">
        <f>SUM(E193:E200)</f>
        <v>50521249.229999997</v>
      </c>
      <c r="F201" s="2"/>
      <c r="G201" s="181">
        <f>SUM(G193:G200)</f>
        <v>19648715.060000002</v>
      </c>
      <c r="H201" s="2">
        <f>G201-T73-T171</f>
        <v>0</v>
      </c>
      <c r="I201" s="181">
        <f>SUM(I193:I200)</f>
        <v>70169964.290000007</v>
      </c>
      <c r="J201" s="177">
        <f>I201-K73-K171-T171-T73</f>
        <v>1.3504177331924438E-8</v>
      </c>
      <c r="Q201" s="163">
        <v>202602</v>
      </c>
      <c r="R201" s="5">
        <f t="shared" si="60"/>
        <v>61627.76</v>
      </c>
      <c r="S201" s="2">
        <f t="shared" si="63"/>
        <v>1462073.2899999998</v>
      </c>
      <c r="T201" s="171">
        <f t="shared" si="61"/>
        <v>3.5200000000000002E-2</v>
      </c>
      <c r="U201" s="2">
        <f t="shared" si="62"/>
        <v>51464.98</v>
      </c>
      <c r="V201" s="7"/>
    </row>
    <row r="202" spans="3:22">
      <c r="C202" s="159" t="s">
        <v>31</v>
      </c>
      <c r="D202" s="177">
        <v>-7613333</v>
      </c>
      <c r="E202" s="164">
        <f>-N73-N171</f>
        <v>-6363642.6300000008</v>
      </c>
      <c r="G202" s="164">
        <f>-W73-W171</f>
        <v>-2624881.419999999</v>
      </c>
      <c r="I202" s="164">
        <f>E202+G202</f>
        <v>-8988524.0500000007</v>
      </c>
      <c r="R202" s="410">
        <f>SUM(R193:R201)</f>
        <v>1462073.2899999998</v>
      </c>
      <c r="T202" s="7"/>
      <c r="U202" s="410">
        <f>SUM(U193:U201)</f>
        <v>261271.86000000002</v>
      </c>
      <c r="V202" s="7"/>
    </row>
    <row r="203" spans="3:22">
      <c r="C203" s="159" t="s">
        <v>32</v>
      </c>
      <c r="D203" s="181">
        <f>SUM(D201:D202)</f>
        <v>46565486</v>
      </c>
      <c r="E203" s="181">
        <f>SUM(E201:E202)</f>
        <v>44157606.599999994</v>
      </c>
      <c r="G203" s="181">
        <f>SUM(G201:G202)</f>
        <v>17023833.640000004</v>
      </c>
      <c r="I203" s="181">
        <f>SUM(I201:I202)</f>
        <v>61181440.24000001</v>
      </c>
      <c r="J203" s="177">
        <f>I203-O73-O171-X171-X73</f>
        <v>1.3504177331924438E-8</v>
      </c>
    </row>
    <row r="204" spans="3:22">
      <c r="C204" s="159" t="s">
        <v>33</v>
      </c>
      <c r="D204" s="180"/>
      <c r="E204" s="179">
        <f>'TREEREL25 CWIP as of TYE'!G331</f>
        <v>3709344.5000000005</v>
      </c>
      <c r="G204" s="179">
        <v>0</v>
      </c>
      <c r="I204" s="164">
        <f>E204+G204</f>
        <v>3709344.5000000005</v>
      </c>
      <c r="T204" s="7"/>
      <c r="U204" s="7"/>
      <c r="V204" s="7"/>
    </row>
    <row r="205" spans="3:22">
      <c r="C205" s="159" t="s">
        <v>34</v>
      </c>
      <c r="D205" s="280"/>
      <c r="E205" s="281">
        <f>E203+E204</f>
        <v>47866951.099999994</v>
      </c>
      <c r="F205" s="164"/>
      <c r="G205" s="281">
        <f>G203+G204</f>
        <v>17023833.640000004</v>
      </c>
      <c r="I205" s="281">
        <f>E205+G205</f>
        <v>64890784.739999995</v>
      </c>
      <c r="T205" s="7"/>
      <c r="U205" s="7"/>
      <c r="V205" s="7"/>
    </row>
    <row r="206" spans="3:22">
      <c r="C206" s="159" t="s">
        <v>839</v>
      </c>
      <c r="D206" s="279"/>
      <c r="E206" s="185">
        <f>'ADIT Calc - TOR'!BU61</f>
        <v>-1019550.0538087565</v>
      </c>
      <c r="F206" s="5"/>
      <c r="G206" s="185">
        <f>'ADIT Calc - TIR'!CL61</f>
        <v>-502916.19468762225</v>
      </c>
      <c r="I206" s="164">
        <f>E206+G206</f>
        <v>-1522466.2484963788</v>
      </c>
      <c r="T206" s="7"/>
      <c r="U206" s="7"/>
      <c r="V206" s="7"/>
    </row>
    <row r="207" spans="3:22" ht="15.75" thickBot="1">
      <c r="C207" s="159" t="s">
        <v>840</v>
      </c>
      <c r="D207" s="419">
        <f>SUM(D205:D206)</f>
        <v>0</v>
      </c>
      <c r="E207" s="300">
        <f>SUM(E205:E206)</f>
        <v>46847401.046191238</v>
      </c>
      <c r="G207" s="300">
        <f>SUM(G205:G206)</f>
        <v>16520917.445312383</v>
      </c>
      <c r="I207" s="182">
        <f>SUM(I205:I206)</f>
        <v>63368318.491503619</v>
      </c>
      <c r="J207" s="2"/>
      <c r="T207" s="7"/>
      <c r="U207" s="7"/>
      <c r="V207" s="7"/>
    </row>
    <row r="208" spans="3:22" ht="15.75" thickTop="1">
      <c r="T208" s="7"/>
      <c r="U208" s="7"/>
      <c r="V208" s="7"/>
    </row>
    <row r="209" spans="1:22">
      <c r="C209" s="159" t="s">
        <v>841</v>
      </c>
      <c r="D209" s="164">
        <f>AVERAGE(D193:D199)</f>
        <v>7209924.7142857146</v>
      </c>
      <c r="E209" s="164">
        <f>AVERAGE(E193:E199)</f>
        <v>7210544.827142857</v>
      </c>
      <c r="G209" s="164">
        <f>AVERAGE(G193:G199)</f>
        <v>2717378.3842857145</v>
      </c>
      <c r="I209" s="164">
        <f>AVERAGE(I193:I199)</f>
        <v>9927923.2114285715</v>
      </c>
      <c r="Q209" s="2"/>
      <c r="T209" s="7"/>
      <c r="U209" s="7"/>
      <c r="V209" s="7"/>
    </row>
    <row r="210" spans="1:22">
      <c r="C210" s="159" t="s">
        <v>842</v>
      </c>
      <c r="D210" s="164">
        <f>D203/30</f>
        <v>1552182.8666666667</v>
      </c>
      <c r="E210" s="164">
        <f>(E203+E204)/30</f>
        <v>1595565.0366666664</v>
      </c>
      <c r="G210" s="164">
        <f>(G203+G204)/30</f>
        <v>567461.12133333343</v>
      </c>
      <c r="I210" s="164">
        <f t="shared" ref="I210" si="64">E210+G210</f>
        <v>2163026.1579999998</v>
      </c>
      <c r="N210" s="164"/>
      <c r="O210" s="164"/>
      <c r="T210" s="7"/>
      <c r="U210" s="7"/>
      <c r="V210" s="7"/>
    </row>
    <row r="211" spans="1:22">
      <c r="N211" s="164"/>
      <c r="O211" s="164"/>
      <c r="T211" s="7"/>
      <c r="U211" s="7"/>
      <c r="V211" s="7"/>
    </row>
    <row r="212" spans="1:22">
      <c r="C212" s="159" t="s">
        <v>843</v>
      </c>
      <c r="D212" s="180"/>
      <c r="E212" s="164">
        <f>E201</f>
        <v>50521249.229999997</v>
      </c>
      <c r="F212" s="164"/>
      <c r="G212" s="164">
        <f>G201</f>
        <v>19648715.060000002</v>
      </c>
      <c r="H212" s="164"/>
      <c r="I212" s="164">
        <f>E212+G212</f>
        <v>70169964.289999992</v>
      </c>
      <c r="N212" s="164"/>
      <c r="O212" s="164"/>
      <c r="T212" s="7"/>
      <c r="U212" s="7"/>
      <c r="V212" s="7"/>
    </row>
    <row r="213" spans="1:22">
      <c r="C213" s="159" t="s">
        <v>844</v>
      </c>
      <c r="D213" s="180"/>
      <c r="E213" s="164">
        <f>SUM(J74:J80)+SUM(J172:J178)</f>
        <v>18174884.900000002</v>
      </c>
      <c r="F213" s="164"/>
      <c r="G213" s="164">
        <f>SUM(S74:S80)+SUM(R172:R178)</f>
        <v>1329593.6299999999</v>
      </c>
      <c r="H213" s="164"/>
      <c r="I213" s="164">
        <f>E213+G213</f>
        <v>19504478.530000001</v>
      </c>
      <c r="N213" s="164"/>
      <c r="O213" s="164"/>
      <c r="T213" s="7"/>
      <c r="U213" s="7"/>
      <c r="V213" s="7"/>
    </row>
    <row r="214" spans="1:22">
      <c r="C214" s="159" t="s">
        <v>845</v>
      </c>
      <c r="D214" s="180"/>
      <c r="E214" s="164">
        <f>SUM(J81:J82)+SUM(J179:J180)</f>
        <v>232673.03999999998</v>
      </c>
      <c r="F214" s="164"/>
      <c r="G214" s="164">
        <f>SUM(S81:S82)+SUM(S179:S180)</f>
        <v>132479.66</v>
      </c>
      <c r="H214" s="164"/>
      <c r="I214" s="164">
        <f>E214+G214</f>
        <v>365152.69999999995</v>
      </c>
      <c r="N214" s="164"/>
      <c r="O214" s="164"/>
      <c r="T214" s="7"/>
      <c r="U214" s="7"/>
      <c r="V214" s="7"/>
    </row>
    <row r="215" spans="1:22">
      <c r="C215" s="159" t="s">
        <v>838</v>
      </c>
      <c r="D215" s="183"/>
      <c r="E215" s="181">
        <f>SUM(E212:E214)</f>
        <v>68928807.170000002</v>
      </c>
      <c r="F215" s="164"/>
      <c r="G215" s="181">
        <f>SUM(G212:G214)</f>
        <v>21110788.350000001</v>
      </c>
      <c r="H215" s="164"/>
      <c r="I215" s="181">
        <f>SUM(I212:I214)</f>
        <v>90039595.519999996</v>
      </c>
      <c r="N215" s="164"/>
      <c r="O215" s="164"/>
      <c r="T215" s="7"/>
      <c r="U215" s="7"/>
      <c r="V215" s="7"/>
    </row>
    <row r="216" spans="1:22">
      <c r="C216" s="159" t="s">
        <v>31</v>
      </c>
      <c r="D216" s="183"/>
      <c r="E216" s="164">
        <f>-N184</f>
        <v>-7804805.1799999988</v>
      </c>
      <c r="F216" s="164">
        <f>E202-SUM(M74:M82)-SUM(M172:M180)-E216</f>
        <v>0</v>
      </c>
      <c r="G216" s="164">
        <f>-W184</f>
        <v>-3161091.3799999994</v>
      </c>
      <c r="H216" s="164"/>
      <c r="I216" s="164">
        <f>E216+G216</f>
        <v>-10965896.559999999</v>
      </c>
      <c r="N216" s="164"/>
      <c r="O216" s="164"/>
      <c r="T216" s="7"/>
      <c r="U216" s="7"/>
      <c r="V216" s="7"/>
    </row>
    <row r="217" spans="1:22">
      <c r="C217" s="159" t="s">
        <v>32</v>
      </c>
      <c r="D217" s="183"/>
      <c r="E217" s="181">
        <f>E215+E216</f>
        <v>61124001.990000002</v>
      </c>
      <c r="F217" s="164">
        <f>E217-O184</f>
        <v>0</v>
      </c>
      <c r="G217" s="181">
        <f>G215+G216</f>
        <v>17949696.970000003</v>
      </c>
      <c r="H217" s="164"/>
      <c r="I217" s="181">
        <f>I215+I216</f>
        <v>79073698.959999993</v>
      </c>
      <c r="N217" s="164"/>
      <c r="O217" s="164"/>
      <c r="T217" s="7"/>
      <c r="U217" s="7"/>
      <c r="V217" s="7"/>
    </row>
    <row r="218" spans="1:22">
      <c r="C218" s="159" t="s">
        <v>33</v>
      </c>
      <c r="D218" s="180"/>
      <c r="E218" s="179">
        <f>'TREEREL26 CWIP as of Feb 26'!G141</f>
        <v>2608881.79</v>
      </c>
      <c r="F218" s="164"/>
      <c r="G218" s="179">
        <v>0</v>
      </c>
      <c r="H218" s="164"/>
      <c r="I218" s="164">
        <f>E218+G218</f>
        <v>2608881.79</v>
      </c>
      <c r="N218" s="164"/>
      <c r="O218" s="164"/>
      <c r="T218" s="7"/>
      <c r="U218" s="7"/>
      <c r="V218" s="7"/>
    </row>
    <row r="219" spans="1:22">
      <c r="C219" s="159" t="s">
        <v>34</v>
      </c>
      <c r="D219" s="183"/>
      <c r="E219" s="181">
        <f>E217+E218</f>
        <v>63732883.780000001</v>
      </c>
      <c r="F219" s="164"/>
      <c r="G219" s="181">
        <f>G217+G218</f>
        <v>17949696.970000003</v>
      </c>
      <c r="H219" s="164"/>
      <c r="I219" s="181">
        <f>I217+I218</f>
        <v>81682580.75</v>
      </c>
      <c r="N219" s="164"/>
      <c r="O219" s="164"/>
      <c r="T219" s="7"/>
      <c r="U219" s="7"/>
      <c r="V219" s="7"/>
    </row>
    <row r="220" spans="1:22">
      <c r="C220" s="159" t="s">
        <v>35</v>
      </c>
      <c r="D220" s="180"/>
      <c r="E220" s="185">
        <f>'ADIT Calc - TOR'!CD61</f>
        <v>-1319019.4308005881</v>
      </c>
      <c r="F220" s="164"/>
      <c r="G220" s="185">
        <f>'ADIT Calc - TIR'!CU61</f>
        <v>-570886.28552847961</v>
      </c>
      <c r="H220" s="164"/>
      <c r="I220" s="164">
        <f>E220+G220</f>
        <v>-1889905.7163290677</v>
      </c>
      <c r="N220" s="164"/>
      <c r="O220" s="164"/>
      <c r="T220" s="7"/>
      <c r="U220" s="7"/>
      <c r="V220" s="7"/>
    </row>
    <row r="221" spans="1:22" ht="15.75" thickBot="1">
      <c r="C221" s="159" t="s">
        <v>846</v>
      </c>
      <c r="D221" s="183"/>
      <c r="E221" s="278">
        <f>SUM(E219:E220)</f>
        <v>62413864.349199414</v>
      </c>
      <c r="F221" s="164"/>
      <c r="G221" s="278">
        <f>SUM(G219:G220)</f>
        <v>17378810.684471522</v>
      </c>
      <c r="H221" s="164"/>
      <c r="I221" s="278">
        <f>SUM(I219:I220)</f>
        <v>79792675.033670932</v>
      </c>
      <c r="N221" s="164"/>
      <c r="O221" s="164"/>
      <c r="T221" s="7"/>
      <c r="U221" s="7"/>
      <c r="V221" s="7"/>
    </row>
    <row r="222" spans="1:22" ht="15.75" thickTop="1">
      <c r="N222" s="164"/>
      <c r="O222" s="164"/>
      <c r="T222" s="7"/>
      <c r="U222" s="7"/>
      <c r="V222" s="7"/>
    </row>
    <row r="223" spans="1:22">
      <c r="N223" s="164"/>
      <c r="O223" s="164"/>
      <c r="T223" s="7"/>
      <c r="U223" s="7"/>
      <c r="V223" s="7"/>
    </row>
    <row r="224" spans="1:22">
      <c r="A224" s="412"/>
      <c r="B224" s="412"/>
      <c r="C224" s="591" t="s">
        <v>847</v>
      </c>
      <c r="D224" s="591"/>
      <c r="E224" s="412"/>
      <c r="F224" s="591" t="s">
        <v>848</v>
      </c>
      <c r="G224" s="591"/>
      <c r="H224" s="412"/>
      <c r="I224" s="591" t="s">
        <v>849</v>
      </c>
      <c r="J224" s="591"/>
      <c r="N224" s="164"/>
      <c r="O224" s="159" t="s">
        <v>1447</v>
      </c>
      <c r="Q224" s="410">
        <f>F231</f>
        <v>47866951.099999994</v>
      </c>
      <c r="T224" s="7"/>
      <c r="U224" s="7"/>
      <c r="V224" s="7"/>
    </row>
    <row r="225" spans="1:22" ht="15.75" thickBot="1">
      <c r="A225" s="412"/>
      <c r="B225" s="412"/>
      <c r="C225" s="413" t="s">
        <v>850</v>
      </c>
      <c r="D225" s="413" t="s">
        <v>851</v>
      </c>
      <c r="E225" s="412"/>
      <c r="F225" s="413" t="s">
        <v>850</v>
      </c>
      <c r="G225" s="413" t="s">
        <v>851</v>
      </c>
      <c r="H225" s="412"/>
      <c r="I225" s="413" t="s">
        <v>850</v>
      </c>
      <c r="J225" s="413" t="s">
        <v>851</v>
      </c>
      <c r="N225" s="164"/>
      <c r="O225" s="159" t="s">
        <v>1448</v>
      </c>
      <c r="Q225" s="2">
        <f>E206</f>
        <v>-1019550.0538087565</v>
      </c>
      <c r="T225" s="7"/>
      <c r="U225" s="7"/>
      <c r="V225" s="7"/>
    </row>
    <row r="226" spans="1:22" ht="15.75" thickBot="1">
      <c r="A226" s="411" t="s">
        <v>852</v>
      </c>
      <c r="B226" s="412"/>
      <c r="C226" s="413"/>
      <c r="D226" s="413"/>
      <c r="E226" s="412"/>
      <c r="F226" s="413"/>
      <c r="G226" s="413"/>
      <c r="H226" s="412"/>
      <c r="I226" s="413"/>
      <c r="J226" s="413"/>
      <c r="N226" s="164"/>
      <c r="O226" s="159" t="s">
        <v>208</v>
      </c>
      <c r="Q226" s="563">
        <f>+Q224+Q225</f>
        <v>46847401.046191238</v>
      </c>
      <c r="R226" s="1"/>
      <c r="T226" s="7"/>
      <c r="U226" s="7"/>
      <c r="V226" s="7"/>
    </row>
    <row r="227" spans="1:22">
      <c r="A227" s="412" t="s">
        <v>853</v>
      </c>
      <c r="B227" s="412">
        <v>101</v>
      </c>
      <c r="C227" s="414"/>
      <c r="D227" s="414">
        <f>G227+J227</f>
        <v>-68928807.170000002</v>
      </c>
      <c r="E227" s="414"/>
      <c r="F227" s="414"/>
      <c r="G227" s="414">
        <f>-E201-E204</f>
        <v>-54230593.729999997</v>
      </c>
      <c r="H227" s="414"/>
      <c r="I227" s="414"/>
      <c r="J227" s="414">
        <f>-E215-G227</f>
        <v>-14698213.440000005</v>
      </c>
      <c r="N227" s="164"/>
      <c r="O227" s="159" t="s">
        <v>1449</v>
      </c>
      <c r="Q227" s="268">
        <f>WACC!S18</f>
        <v>0.09</v>
      </c>
      <c r="T227" s="7"/>
      <c r="U227" s="7"/>
      <c r="V227" s="7"/>
    </row>
    <row r="228" spans="1:22" ht="15.75" thickBot="1">
      <c r="A228" s="412" t="s">
        <v>31</v>
      </c>
      <c r="B228" s="412">
        <v>108</v>
      </c>
      <c r="C228" s="414">
        <f>F228+I228</f>
        <v>7804805.1799999988</v>
      </c>
      <c r="D228" s="414"/>
      <c r="E228" s="414"/>
      <c r="F228" s="414">
        <f>-E202</f>
        <v>6363642.6300000008</v>
      </c>
      <c r="G228" s="414"/>
      <c r="H228" s="414"/>
      <c r="I228" s="414">
        <f>-E216+E202</f>
        <v>1441162.549999998</v>
      </c>
      <c r="J228" s="414"/>
      <c r="N228" s="164"/>
      <c r="O228" s="184" t="s">
        <v>1450</v>
      </c>
      <c r="Q228" s="564">
        <f>+Q226*Q227</f>
        <v>4216266.0941572115</v>
      </c>
      <c r="R228" s="567" t="s">
        <v>1453</v>
      </c>
      <c r="T228" s="7"/>
      <c r="U228" s="7"/>
      <c r="V228" s="7"/>
    </row>
    <row r="229" spans="1:22" ht="15.75" thickTop="1">
      <c r="A229" s="412" t="s">
        <v>33</v>
      </c>
      <c r="B229" s="412">
        <v>107</v>
      </c>
      <c r="C229" s="415"/>
      <c r="D229" s="414">
        <f>G229+J229</f>
        <v>-2608881.79</v>
      </c>
      <c r="E229" s="412"/>
      <c r="F229" s="415"/>
      <c r="G229" s="416"/>
      <c r="H229" s="412"/>
      <c r="I229" s="415"/>
      <c r="J229" s="416">
        <f>-E218</f>
        <v>-2608881.79</v>
      </c>
      <c r="N229" s="164"/>
      <c r="T229" s="7"/>
      <c r="U229" s="7"/>
      <c r="V229" s="7"/>
    </row>
    <row r="230" spans="1:22">
      <c r="A230" s="412" t="s">
        <v>854</v>
      </c>
      <c r="B230" s="412">
        <v>593</v>
      </c>
      <c r="C230" s="422">
        <f>F230+I230</f>
        <v>63732883.780000001</v>
      </c>
      <c r="D230" s="422">
        <f>G230+J230</f>
        <v>-63732883.780000001</v>
      </c>
      <c r="E230" s="423"/>
      <c r="F230" s="424">
        <f>-G227-F228-G229</f>
        <v>47866951.099999994</v>
      </c>
      <c r="G230" s="424">
        <f>-F230</f>
        <v>-47866951.099999994</v>
      </c>
      <c r="H230" s="423"/>
      <c r="I230" s="424">
        <f>-J227-I228-J229</f>
        <v>15865932.680000007</v>
      </c>
      <c r="J230" s="425">
        <f>-I230</f>
        <v>-15865932.680000007</v>
      </c>
      <c r="M230" s="164"/>
      <c r="N230" s="164"/>
      <c r="O230" s="159" t="s">
        <v>1451</v>
      </c>
      <c r="Q230" s="410">
        <f>C231</f>
        <v>63732883.780000001</v>
      </c>
      <c r="T230" s="7"/>
      <c r="U230" s="7"/>
      <c r="V230" s="7"/>
    </row>
    <row r="231" spans="1:22" ht="15.75" thickBot="1">
      <c r="A231" s="412" t="s">
        <v>855</v>
      </c>
      <c r="B231" s="417">
        <v>182.3</v>
      </c>
      <c r="C231" s="422">
        <f>F231+I231</f>
        <v>63732883.780000001</v>
      </c>
      <c r="D231" s="423"/>
      <c r="E231" s="423"/>
      <c r="F231" s="424">
        <f>-G230</f>
        <v>47866951.099999994</v>
      </c>
      <c r="G231" s="424"/>
      <c r="H231" s="423"/>
      <c r="I231" s="425">
        <f>-J230</f>
        <v>15865932.680000007</v>
      </c>
      <c r="J231" s="424"/>
      <c r="N231" s="164"/>
      <c r="O231" s="159" t="s">
        <v>1448</v>
      </c>
      <c r="Q231" s="2">
        <f>E220</f>
        <v>-1319019.4308005881</v>
      </c>
      <c r="T231" s="7"/>
      <c r="U231" s="7"/>
      <c r="V231" s="7"/>
    </row>
    <row r="232" spans="1:22" ht="15.75" thickBot="1">
      <c r="B232" s="159"/>
      <c r="C232" s="2"/>
      <c r="F232" s="2"/>
      <c r="I232" s="2"/>
      <c r="N232" s="164"/>
      <c r="O232" s="159" t="s">
        <v>208</v>
      </c>
      <c r="Q232" s="563">
        <f>+Q230+Q231</f>
        <v>62413864.349199414</v>
      </c>
      <c r="R232" s="1"/>
      <c r="T232" s="7"/>
      <c r="U232" s="7"/>
      <c r="V232" s="7"/>
    </row>
    <row r="233" spans="1:22">
      <c r="B233" s="159"/>
      <c r="C233" s="2"/>
      <c r="F233" s="2"/>
      <c r="I233" s="591" t="s">
        <v>849</v>
      </c>
      <c r="J233" s="591"/>
      <c r="N233" s="164"/>
      <c r="O233" s="159" t="s">
        <v>1449</v>
      </c>
      <c r="Q233" s="268">
        <f>WACC!S18</f>
        <v>0.09</v>
      </c>
      <c r="T233" s="7"/>
      <c r="U233" s="7"/>
      <c r="V233" s="7"/>
    </row>
    <row r="234" spans="1:22" ht="15.75" thickBot="1">
      <c r="B234" s="159"/>
      <c r="C234" s="2"/>
      <c r="F234" s="2"/>
      <c r="I234" s="413" t="s">
        <v>850</v>
      </c>
      <c r="J234" s="413" t="s">
        <v>851</v>
      </c>
      <c r="N234" s="164"/>
      <c r="O234" s="184" t="s">
        <v>1452</v>
      </c>
      <c r="Q234" s="565">
        <f>+Q232*Q233</f>
        <v>5617247.7914279466</v>
      </c>
      <c r="R234" s="4"/>
      <c r="T234" s="7"/>
      <c r="U234" s="7"/>
      <c r="V234" s="7"/>
    </row>
    <row r="235" spans="1:22" ht="15.75" thickTop="1">
      <c r="A235" s="411" t="s">
        <v>1444</v>
      </c>
      <c r="B235" s="412"/>
      <c r="C235" s="413"/>
      <c r="D235" s="413"/>
      <c r="E235" s="412"/>
      <c r="F235" s="413"/>
      <c r="G235" s="413"/>
      <c r="H235" s="412"/>
      <c r="I235" s="413"/>
      <c r="J235" s="413"/>
      <c r="N235" s="164"/>
      <c r="U235" s="7"/>
      <c r="V235" s="7"/>
    </row>
    <row r="236" spans="1:22">
      <c r="A236" s="412" t="s">
        <v>853</v>
      </c>
      <c r="B236" s="412">
        <v>101</v>
      </c>
      <c r="C236" s="407"/>
      <c r="D236" s="407"/>
      <c r="E236" s="406"/>
      <c r="F236" s="406"/>
      <c r="G236" s="406"/>
      <c r="H236" s="406"/>
      <c r="I236" s="414"/>
      <c r="J236" s="414">
        <f>-G213-G214</f>
        <v>-1462073.2899999998</v>
      </c>
      <c r="N236" s="164"/>
      <c r="O236" s="184" t="s">
        <v>1454</v>
      </c>
      <c r="Q236" s="566">
        <f>Q234-Q228</f>
        <v>1400981.6972707352</v>
      </c>
      <c r="R236" s="567" t="s">
        <v>1453</v>
      </c>
      <c r="T236" s="7"/>
      <c r="U236" s="7"/>
      <c r="V236" s="7"/>
    </row>
    <row r="237" spans="1:22">
      <c r="A237" s="412" t="s">
        <v>31</v>
      </c>
      <c r="B237" s="412">
        <v>108</v>
      </c>
      <c r="C237" s="407"/>
      <c r="D237" s="407"/>
      <c r="E237" s="406"/>
      <c r="F237" s="406"/>
      <c r="G237" s="406"/>
      <c r="H237" s="406"/>
      <c r="I237" s="414">
        <f>U202</f>
        <v>261271.86000000002</v>
      </c>
      <c r="J237" s="414"/>
      <c r="N237" s="164"/>
      <c r="O237" s="164"/>
      <c r="T237" s="7"/>
      <c r="U237" s="7"/>
      <c r="V237" s="7"/>
    </row>
    <row r="238" spans="1:22">
      <c r="A238" s="412" t="s">
        <v>33</v>
      </c>
      <c r="B238" s="412">
        <v>107</v>
      </c>
      <c r="C238" s="407"/>
      <c r="D238" s="407"/>
      <c r="E238" s="406"/>
      <c r="F238" s="406"/>
      <c r="G238" s="406"/>
      <c r="H238" s="406"/>
      <c r="I238" s="414"/>
      <c r="J238" s="414">
        <v>0</v>
      </c>
      <c r="N238" s="164"/>
      <c r="O238" s="164"/>
      <c r="T238" s="7"/>
      <c r="U238" s="7"/>
      <c r="V238" s="7"/>
    </row>
    <row r="239" spans="1:22">
      <c r="A239" s="412" t="s">
        <v>854</v>
      </c>
      <c r="B239" s="412">
        <v>593</v>
      </c>
      <c r="C239" s="407"/>
      <c r="D239" s="407"/>
      <c r="E239" s="406"/>
      <c r="F239" s="406"/>
      <c r="G239" s="406"/>
      <c r="H239" s="406"/>
      <c r="I239" s="422">
        <f>-J236-I237</f>
        <v>1200801.4299999997</v>
      </c>
      <c r="J239" s="425">
        <f>-I239</f>
        <v>-1200801.4299999997</v>
      </c>
      <c r="N239" s="164"/>
      <c r="O239" s="164"/>
      <c r="T239" s="7"/>
      <c r="U239" s="7"/>
      <c r="V239" s="7"/>
    </row>
    <row r="240" spans="1:22">
      <c r="A240" s="412" t="s">
        <v>856</v>
      </c>
      <c r="B240" s="417">
        <v>182.3</v>
      </c>
      <c r="C240" s="407"/>
      <c r="D240" s="407"/>
      <c r="E240" s="406"/>
      <c r="F240" s="406"/>
      <c r="G240" s="406"/>
      <c r="H240" s="406"/>
      <c r="I240" s="425">
        <f>-J239</f>
        <v>1200801.4299999997</v>
      </c>
      <c r="J240" s="422"/>
      <c r="N240" s="164"/>
      <c r="O240" s="164"/>
      <c r="T240" s="7"/>
      <c r="U240" s="7"/>
    </row>
    <row r="241" spans="1:21">
      <c r="B241" s="159"/>
      <c r="C241" s="2"/>
      <c r="F241" s="2"/>
      <c r="I241" s="2"/>
      <c r="N241" s="164"/>
      <c r="O241" s="164"/>
      <c r="U241" s="7"/>
    </row>
    <row r="242" spans="1:21">
      <c r="A242" s="411" t="s">
        <v>1446</v>
      </c>
      <c r="B242" s="412"/>
      <c r="C242" s="412"/>
      <c r="D242" s="412"/>
      <c r="E242" s="412"/>
      <c r="F242" s="412"/>
      <c r="G242" s="412"/>
      <c r="N242" s="164"/>
      <c r="O242" s="164"/>
    </row>
    <row r="243" spans="1:21">
      <c r="A243" s="418" t="s">
        <v>857</v>
      </c>
      <c r="B243" s="418" t="s">
        <v>858</v>
      </c>
      <c r="C243" s="592" t="s">
        <v>813</v>
      </c>
      <c r="D243" s="593"/>
      <c r="E243" s="418" t="s">
        <v>3</v>
      </c>
      <c r="F243" s="418" t="s">
        <v>859</v>
      </c>
      <c r="G243" s="418" t="s">
        <v>851</v>
      </c>
      <c r="N243" s="164"/>
      <c r="O243" s="164"/>
    </row>
    <row r="244" spans="1:21">
      <c r="A244" s="408" t="s">
        <v>860</v>
      </c>
      <c r="B244" s="408">
        <v>110</v>
      </c>
      <c r="C244" s="586" t="s">
        <v>861</v>
      </c>
      <c r="D244" s="587"/>
      <c r="E244" s="409" t="s">
        <v>22</v>
      </c>
      <c r="F244" s="409"/>
      <c r="G244" s="420">
        <f>-J84</f>
        <v>-62933701.439999983</v>
      </c>
      <c r="N244" s="164"/>
      <c r="O244" s="164"/>
    </row>
    <row r="245" spans="1:21">
      <c r="A245" s="408" t="s">
        <v>862</v>
      </c>
      <c r="B245" s="408">
        <v>110</v>
      </c>
      <c r="C245" s="586" t="s">
        <v>861</v>
      </c>
      <c r="D245" s="587"/>
      <c r="E245" s="409" t="s">
        <v>22</v>
      </c>
      <c r="F245" s="420">
        <f>N82</f>
        <v>6433125.2599999998</v>
      </c>
      <c r="G245" s="409"/>
      <c r="N245" s="164"/>
      <c r="O245" s="164"/>
    </row>
    <row r="246" spans="1:21">
      <c r="A246" s="408" t="s">
        <v>863</v>
      </c>
      <c r="B246" s="408">
        <v>110</v>
      </c>
      <c r="C246" s="586" t="s">
        <v>861</v>
      </c>
      <c r="D246" s="587"/>
      <c r="E246" s="409" t="s">
        <v>22</v>
      </c>
      <c r="F246" s="409"/>
      <c r="G246" s="421">
        <f>-E218</f>
        <v>-2608881.79</v>
      </c>
      <c r="N246" s="164"/>
      <c r="O246" s="164"/>
    </row>
    <row r="247" spans="1:21">
      <c r="A247" s="408" t="s">
        <v>864</v>
      </c>
      <c r="B247" s="408">
        <v>110</v>
      </c>
      <c r="C247" s="586" t="s">
        <v>865</v>
      </c>
      <c r="D247" s="587"/>
      <c r="E247" s="409" t="s">
        <v>22</v>
      </c>
      <c r="F247" s="421">
        <f>-SUM(F244:G246)</f>
        <v>59109457.969999984</v>
      </c>
      <c r="G247" s="420">
        <f>-F247</f>
        <v>-59109457.969999984</v>
      </c>
    </row>
    <row r="248" spans="1:21">
      <c r="A248" s="408" t="s">
        <v>866</v>
      </c>
      <c r="B248" s="408">
        <v>110</v>
      </c>
      <c r="C248" s="586" t="s">
        <v>865</v>
      </c>
      <c r="D248" s="587"/>
      <c r="E248" s="409" t="s">
        <v>22</v>
      </c>
      <c r="F248" s="420">
        <f>-G247</f>
        <v>59109457.969999984</v>
      </c>
      <c r="G248" s="409"/>
    </row>
    <row r="249" spans="1:21">
      <c r="A249" s="408" t="s">
        <v>860</v>
      </c>
      <c r="B249" s="408">
        <v>110</v>
      </c>
      <c r="C249" s="584" t="s">
        <v>867</v>
      </c>
      <c r="D249" s="585"/>
      <c r="E249" s="409" t="s">
        <v>22</v>
      </c>
      <c r="F249" s="409"/>
      <c r="G249" s="420">
        <f>-J182</f>
        <v>-5995105.7300000004</v>
      </c>
    </row>
    <row r="250" spans="1:21">
      <c r="A250" s="408" t="s">
        <v>862</v>
      </c>
      <c r="B250" s="408">
        <v>110</v>
      </c>
      <c r="C250" s="584" t="s">
        <v>867</v>
      </c>
      <c r="D250" s="585"/>
      <c r="E250" s="409" t="s">
        <v>22</v>
      </c>
      <c r="F250" s="420">
        <f>N180</f>
        <v>1371679.9199999988</v>
      </c>
      <c r="G250" s="409"/>
    </row>
    <row r="251" spans="1:21">
      <c r="A251" s="408" t="s">
        <v>864</v>
      </c>
      <c r="B251" s="408">
        <v>110</v>
      </c>
      <c r="C251" s="586" t="s">
        <v>865</v>
      </c>
      <c r="D251" s="587"/>
      <c r="E251" s="409" t="s">
        <v>22</v>
      </c>
      <c r="F251" s="421">
        <f>-SUM(F249:G250)</f>
        <v>4623425.8100000015</v>
      </c>
      <c r="G251" s="420">
        <f>-F251</f>
        <v>-4623425.8100000015</v>
      </c>
    </row>
    <row r="252" spans="1:21">
      <c r="A252" s="408" t="s">
        <v>866</v>
      </c>
      <c r="B252" s="408">
        <v>110</v>
      </c>
      <c r="C252" s="586" t="s">
        <v>865</v>
      </c>
      <c r="D252" s="587"/>
      <c r="E252" s="409" t="s">
        <v>22</v>
      </c>
      <c r="F252" s="420">
        <f>-G251</f>
        <v>4623425.8100000015</v>
      </c>
      <c r="G252" s="409"/>
    </row>
    <row r="253" spans="1:21">
      <c r="A253" s="408" t="s">
        <v>860</v>
      </c>
      <c r="B253" s="408">
        <v>110</v>
      </c>
      <c r="C253" s="584" t="s">
        <v>867</v>
      </c>
      <c r="D253" s="585"/>
      <c r="E253" s="409" t="s">
        <v>16</v>
      </c>
      <c r="F253" s="409"/>
      <c r="G253" s="420">
        <f>-SUM(R172:R180)</f>
        <v>-1462073.2899999998</v>
      </c>
    </row>
    <row r="254" spans="1:21">
      <c r="A254" s="408" t="s">
        <v>862</v>
      </c>
      <c r="B254" s="408">
        <v>110</v>
      </c>
      <c r="C254" s="584" t="s">
        <v>867</v>
      </c>
      <c r="D254" s="585"/>
      <c r="E254" s="409" t="s">
        <v>16</v>
      </c>
      <c r="F254" s="420">
        <f>U202</f>
        <v>261271.86000000002</v>
      </c>
      <c r="G254" s="409"/>
    </row>
    <row r="255" spans="1:21">
      <c r="A255" s="408" t="s">
        <v>864</v>
      </c>
      <c r="B255" s="408">
        <v>110</v>
      </c>
      <c r="C255" s="586" t="s">
        <v>865</v>
      </c>
      <c r="D255" s="587"/>
      <c r="E255" s="409" t="s">
        <v>16</v>
      </c>
      <c r="F255" s="421">
        <f>-SUM(F253:G254)</f>
        <v>1200801.4299999997</v>
      </c>
      <c r="G255" s="420">
        <f>-F255</f>
        <v>-1200801.4299999997</v>
      </c>
    </row>
    <row r="256" spans="1:21">
      <c r="A256" s="408" t="s">
        <v>866</v>
      </c>
      <c r="B256" s="408">
        <v>110</v>
      </c>
      <c r="C256" s="586" t="s">
        <v>865</v>
      </c>
      <c r="D256" s="587"/>
      <c r="E256" s="409" t="s">
        <v>16</v>
      </c>
      <c r="F256" s="420">
        <f>-G255</f>
        <v>1200801.4299999997</v>
      </c>
      <c r="G256" s="409"/>
    </row>
    <row r="257" spans="1:8">
      <c r="A257" s="583" t="s">
        <v>868</v>
      </c>
      <c r="B257" s="583"/>
      <c r="C257" s="583"/>
      <c r="D257" s="583"/>
      <c r="E257" s="583"/>
      <c r="F257" s="583"/>
      <c r="G257" s="583"/>
    </row>
    <row r="258" spans="1:8">
      <c r="A258" s="583"/>
      <c r="B258" s="583"/>
      <c r="C258" s="583"/>
      <c r="D258" s="583"/>
      <c r="E258" s="583"/>
      <c r="F258" s="583"/>
      <c r="G258" s="583"/>
    </row>
    <row r="259" spans="1:8">
      <c r="A259" s="583"/>
      <c r="B259" s="583"/>
      <c r="C259" s="583"/>
      <c r="D259" s="583"/>
      <c r="E259" s="583"/>
      <c r="F259" s="583"/>
      <c r="G259" s="583"/>
    </row>
    <row r="261" spans="1:8">
      <c r="A261" s="163" t="s">
        <v>869</v>
      </c>
      <c r="C261" s="1">
        <f>F248+F252+F256</f>
        <v>64933685.209999986</v>
      </c>
    </row>
    <row r="262" spans="1:8">
      <c r="A262" s="163" t="s">
        <v>870</v>
      </c>
      <c r="C262" s="1">
        <v>46565486</v>
      </c>
      <c r="D262" t="s">
        <v>871</v>
      </c>
    </row>
    <row r="263" spans="1:8">
      <c r="A263" s="163" t="s">
        <v>872</v>
      </c>
      <c r="C263" s="1">
        <f>C261-C262</f>
        <v>18368199.209999986</v>
      </c>
      <c r="D263" t="s">
        <v>1445</v>
      </c>
    </row>
    <row r="264" spans="1:8">
      <c r="A264" s="163"/>
      <c r="C264" s="1"/>
    </row>
    <row r="265" spans="1:8">
      <c r="A265" s="163"/>
      <c r="C265" s="1"/>
    </row>
    <row r="266" spans="1:8">
      <c r="A266" s="163" t="s">
        <v>873</v>
      </c>
      <c r="H266" t="s">
        <v>874</v>
      </c>
    </row>
  </sheetData>
  <mergeCells count="21">
    <mergeCell ref="C249:D249"/>
    <mergeCell ref="Q1:X1"/>
    <mergeCell ref="C224:D224"/>
    <mergeCell ref="F224:G224"/>
    <mergeCell ref="I224:J224"/>
    <mergeCell ref="C246:D246"/>
    <mergeCell ref="C247:D247"/>
    <mergeCell ref="C248:D248"/>
    <mergeCell ref="C1:O1"/>
    <mergeCell ref="I233:J233"/>
    <mergeCell ref="C243:D243"/>
    <mergeCell ref="C244:D244"/>
    <mergeCell ref="C245:D245"/>
    <mergeCell ref="A257:G259"/>
    <mergeCell ref="C250:D250"/>
    <mergeCell ref="C253:D253"/>
    <mergeCell ref="C254:D254"/>
    <mergeCell ref="C255:D255"/>
    <mergeCell ref="C256:D256"/>
    <mergeCell ref="C251:D251"/>
    <mergeCell ref="C252:D252"/>
  </mergeCells>
  <phoneticPr fontId="44" type="noConversion"/>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37F6B-78B2-4673-98DF-1CA3F00D3824}">
  <dimension ref="A1:L148"/>
  <sheetViews>
    <sheetView workbookViewId="0">
      <pane xSplit="2" ySplit="5" topLeftCell="C6" activePane="bottomRight" state="frozen"/>
      <selection pane="topRight" activeCell="L246" sqref="L246"/>
      <selection pane="bottomLeft" activeCell="L246" sqref="L246"/>
      <selection pane="bottomRight" activeCell="L246" sqref="L246"/>
    </sheetView>
  </sheetViews>
  <sheetFormatPr defaultRowHeight="15"/>
  <cols>
    <col min="1" max="1" width="33.42578125" customWidth="1"/>
    <col min="2" max="2" width="16.42578125" bestFit="1" customWidth="1"/>
    <col min="3" max="16" width="13.85546875" bestFit="1" customWidth="1"/>
    <col min="17" max="17" width="14.5703125" bestFit="1" customWidth="1"/>
    <col min="18" max="21" width="12.7109375" bestFit="1" customWidth="1"/>
    <col min="22" max="22" width="15" bestFit="1" customWidth="1"/>
    <col min="23" max="23" width="12.7109375" bestFit="1" customWidth="1"/>
    <col min="24" max="24" width="14.5703125" bestFit="1" customWidth="1"/>
    <col min="25" max="25" width="13.85546875" bestFit="1" customWidth="1"/>
  </cols>
  <sheetData>
    <row r="1" spans="1:12">
      <c r="A1" s="267" t="s">
        <v>875</v>
      </c>
      <c r="B1" t="s">
        <v>876</v>
      </c>
    </row>
    <row r="3" spans="1:12">
      <c r="A3" s="267" t="s">
        <v>877</v>
      </c>
      <c r="C3" s="267" t="s">
        <v>878</v>
      </c>
    </row>
    <row r="4" spans="1:12">
      <c r="A4" s="267" t="s">
        <v>879</v>
      </c>
      <c r="B4" s="267" t="s">
        <v>880</v>
      </c>
      <c r="C4" s="163" t="s">
        <v>814</v>
      </c>
      <c r="D4" s="163" t="s">
        <v>815</v>
      </c>
      <c r="E4" s="163" t="s">
        <v>816</v>
      </c>
      <c r="F4" s="163" t="s">
        <v>817</v>
      </c>
      <c r="G4" s="163" t="s">
        <v>818</v>
      </c>
      <c r="H4" s="163" t="s">
        <v>819</v>
      </c>
      <c r="I4" s="163" t="s">
        <v>820</v>
      </c>
      <c r="J4" s="163" t="s">
        <v>828</v>
      </c>
      <c r="K4" s="163" t="s">
        <v>881</v>
      </c>
      <c r="L4" s="163" t="s">
        <v>129</v>
      </c>
    </row>
    <row r="5" spans="1:12">
      <c r="A5" t="s">
        <v>882</v>
      </c>
      <c r="B5">
        <v>202002</v>
      </c>
      <c r="C5" s="2">
        <v>4341.1499999999996</v>
      </c>
      <c r="D5" s="2">
        <v>12113028.140000001</v>
      </c>
      <c r="E5" s="2"/>
      <c r="F5" s="2"/>
      <c r="G5" s="2"/>
      <c r="H5" s="2"/>
      <c r="I5" s="2"/>
      <c r="J5" s="2"/>
      <c r="K5" s="2"/>
      <c r="L5" s="2">
        <v>12117369.290000001</v>
      </c>
    </row>
    <row r="6" spans="1:12">
      <c r="B6">
        <v>202003</v>
      </c>
      <c r="C6" s="2"/>
      <c r="D6" s="2">
        <v>6822.86</v>
      </c>
      <c r="E6" s="2"/>
      <c r="F6" s="2"/>
      <c r="G6" s="2"/>
      <c r="H6" s="2"/>
      <c r="I6" s="2"/>
      <c r="J6" s="2"/>
      <c r="K6" s="2"/>
      <c r="L6" s="2">
        <v>6822.86</v>
      </c>
    </row>
    <row r="7" spans="1:12">
      <c r="B7">
        <v>202004</v>
      </c>
      <c r="C7" s="2"/>
      <c r="D7" s="2">
        <v>-33688.76</v>
      </c>
      <c r="E7" s="2"/>
      <c r="F7" s="2"/>
      <c r="G7" s="2"/>
      <c r="H7" s="2"/>
      <c r="I7" s="2"/>
      <c r="J7" s="2"/>
      <c r="K7" s="2"/>
      <c r="L7" s="2">
        <v>-33688.76</v>
      </c>
    </row>
    <row r="8" spans="1:12">
      <c r="B8">
        <v>202005</v>
      </c>
      <c r="C8" s="2"/>
      <c r="D8" s="2">
        <v>10461.24</v>
      </c>
      <c r="E8" s="2"/>
      <c r="F8" s="2"/>
      <c r="G8" s="2"/>
      <c r="H8" s="2"/>
      <c r="I8" s="2"/>
      <c r="J8" s="2">
        <v>2923572.47</v>
      </c>
      <c r="K8" s="2"/>
      <c r="L8" s="2">
        <v>2934033.7100000004</v>
      </c>
    </row>
    <row r="9" spans="1:12">
      <c r="B9">
        <v>202006</v>
      </c>
      <c r="C9" s="2"/>
      <c r="D9" s="2">
        <v>15542.7</v>
      </c>
      <c r="E9" s="2"/>
      <c r="F9" s="2"/>
      <c r="G9" s="2"/>
      <c r="H9" s="2"/>
      <c r="I9" s="2"/>
      <c r="J9" s="2"/>
      <c r="K9" s="2"/>
      <c r="L9" s="2">
        <v>15542.7</v>
      </c>
    </row>
    <row r="10" spans="1:12">
      <c r="B10">
        <v>202007</v>
      </c>
      <c r="C10" s="2"/>
      <c r="D10" s="2">
        <v>13714.82</v>
      </c>
      <c r="E10" s="2"/>
      <c r="F10" s="2"/>
      <c r="G10" s="2"/>
      <c r="H10" s="2"/>
      <c r="I10" s="2"/>
      <c r="J10" s="2"/>
      <c r="K10" s="2"/>
      <c r="L10" s="2">
        <v>13714.82</v>
      </c>
    </row>
    <row r="11" spans="1:12">
      <c r="B11">
        <v>202008</v>
      </c>
      <c r="C11" s="2"/>
      <c r="D11" s="2">
        <v>11791.51</v>
      </c>
      <c r="E11" s="2"/>
      <c r="F11" s="2"/>
      <c r="G11" s="2"/>
      <c r="H11" s="2"/>
      <c r="I11" s="2"/>
      <c r="J11" s="2">
        <v>2411.7600000000002</v>
      </c>
      <c r="K11" s="2"/>
      <c r="L11" s="2">
        <v>14203.27</v>
      </c>
    </row>
    <row r="12" spans="1:12">
      <c r="B12">
        <v>202009</v>
      </c>
      <c r="C12" s="2"/>
      <c r="D12" s="2">
        <v>1008.6</v>
      </c>
      <c r="E12" s="2"/>
      <c r="F12" s="2"/>
      <c r="G12" s="2"/>
      <c r="H12" s="2"/>
      <c r="I12" s="2"/>
      <c r="J12" s="2">
        <v>-2411.7600000000002</v>
      </c>
      <c r="K12" s="2"/>
      <c r="L12" s="2">
        <v>-1403.1600000000003</v>
      </c>
    </row>
    <row r="13" spans="1:12">
      <c r="B13">
        <v>202010</v>
      </c>
      <c r="C13" s="2"/>
      <c r="D13" s="2">
        <v>-2017.2</v>
      </c>
      <c r="E13" s="2"/>
      <c r="F13" s="2"/>
      <c r="G13" s="2"/>
      <c r="H13" s="2"/>
      <c r="I13" s="2"/>
      <c r="J13" s="2"/>
      <c r="K13" s="2"/>
      <c r="L13" s="2">
        <v>-2017.2</v>
      </c>
    </row>
    <row r="14" spans="1:12">
      <c r="B14">
        <v>202102</v>
      </c>
      <c r="C14" s="2"/>
      <c r="D14" s="2"/>
      <c r="E14" s="2">
        <v>7554373.8700000001</v>
      </c>
      <c r="F14" s="2"/>
      <c r="G14" s="2"/>
      <c r="H14" s="2"/>
      <c r="I14" s="2"/>
      <c r="J14" s="2"/>
      <c r="K14" s="2"/>
      <c r="L14" s="2">
        <v>7554373.8700000001</v>
      </c>
    </row>
    <row r="15" spans="1:12">
      <c r="B15">
        <v>202103</v>
      </c>
      <c r="C15" s="2"/>
      <c r="D15" s="2"/>
      <c r="E15" s="2">
        <v>72668.34</v>
      </c>
      <c r="F15" s="2"/>
      <c r="G15" s="2"/>
      <c r="H15" s="2"/>
      <c r="I15" s="2"/>
      <c r="J15" s="2"/>
      <c r="K15" s="2"/>
      <c r="L15" s="2">
        <v>72668.34</v>
      </c>
    </row>
    <row r="16" spans="1:12">
      <c r="B16">
        <v>202104</v>
      </c>
      <c r="C16" s="2"/>
      <c r="D16" s="2"/>
      <c r="E16" s="2">
        <v>18919.54</v>
      </c>
      <c r="F16" s="2"/>
      <c r="G16" s="2"/>
      <c r="H16" s="2"/>
      <c r="I16" s="2"/>
      <c r="J16" s="2"/>
      <c r="K16" s="2"/>
      <c r="L16" s="2">
        <v>18919.54</v>
      </c>
    </row>
    <row r="17" spans="2:12">
      <c r="B17">
        <v>202105</v>
      </c>
      <c r="C17" s="2"/>
      <c r="D17" s="2"/>
      <c r="E17" s="2">
        <v>-4042.42</v>
      </c>
      <c r="F17" s="2"/>
      <c r="G17" s="2"/>
      <c r="H17" s="2"/>
      <c r="I17" s="2"/>
      <c r="J17" s="2"/>
      <c r="K17" s="2"/>
      <c r="L17" s="2">
        <v>-4042.42</v>
      </c>
    </row>
    <row r="18" spans="2:12">
      <c r="B18">
        <v>202106</v>
      </c>
      <c r="C18" s="2"/>
      <c r="D18" s="2"/>
      <c r="E18" s="2">
        <v>-88066.2</v>
      </c>
      <c r="F18" s="2"/>
      <c r="G18" s="2"/>
      <c r="H18" s="2"/>
      <c r="I18" s="2"/>
      <c r="J18" s="2"/>
      <c r="K18" s="2"/>
      <c r="L18" s="2">
        <v>-88066.2</v>
      </c>
    </row>
    <row r="19" spans="2:12">
      <c r="B19">
        <v>202201</v>
      </c>
      <c r="C19" s="2"/>
      <c r="D19" s="2">
        <v>0</v>
      </c>
      <c r="E19" s="2"/>
      <c r="F19" s="2"/>
      <c r="G19" s="2"/>
      <c r="H19" s="2"/>
      <c r="I19" s="2"/>
      <c r="J19" s="2">
        <v>0</v>
      </c>
      <c r="K19" s="2"/>
      <c r="L19" s="2">
        <v>0</v>
      </c>
    </row>
    <row r="20" spans="2:12">
      <c r="B20">
        <v>202202</v>
      </c>
      <c r="C20" s="2"/>
      <c r="D20" s="2"/>
      <c r="E20" s="2"/>
      <c r="F20" s="2">
        <v>6836837.1900000004</v>
      </c>
      <c r="G20" s="2"/>
      <c r="H20" s="2"/>
      <c r="I20" s="2"/>
      <c r="J20" s="2"/>
      <c r="K20" s="2"/>
      <c r="L20" s="2">
        <v>6836837.1900000004</v>
      </c>
    </row>
    <row r="21" spans="2:12">
      <c r="B21">
        <v>202203</v>
      </c>
      <c r="C21" s="2"/>
      <c r="D21" s="2"/>
      <c r="E21" s="2"/>
      <c r="F21" s="2">
        <v>5164.07</v>
      </c>
      <c r="G21" s="2"/>
      <c r="H21" s="2"/>
      <c r="I21" s="2"/>
      <c r="J21" s="2"/>
      <c r="K21" s="2"/>
      <c r="L21" s="2">
        <v>5164.07</v>
      </c>
    </row>
    <row r="22" spans="2:12">
      <c r="B22">
        <v>202204</v>
      </c>
      <c r="C22" s="2"/>
      <c r="D22" s="2"/>
      <c r="E22" s="2"/>
      <c r="F22" s="2">
        <v>4112.7</v>
      </c>
      <c r="G22" s="2"/>
      <c r="H22" s="2"/>
      <c r="I22" s="2"/>
      <c r="J22" s="2"/>
      <c r="K22" s="2"/>
      <c r="L22" s="2">
        <v>4112.7</v>
      </c>
    </row>
    <row r="23" spans="2:12">
      <c r="B23">
        <v>202205</v>
      </c>
      <c r="C23" s="2"/>
      <c r="D23" s="2"/>
      <c r="E23" s="2"/>
      <c r="F23" s="2">
        <v>4243.2700000000004</v>
      </c>
      <c r="G23" s="2"/>
      <c r="H23" s="2"/>
      <c r="I23" s="2"/>
      <c r="J23" s="2"/>
      <c r="K23" s="2"/>
      <c r="L23" s="2">
        <v>4243.2700000000004</v>
      </c>
    </row>
    <row r="24" spans="2:12">
      <c r="B24">
        <v>202206</v>
      </c>
      <c r="C24" s="2"/>
      <c r="D24" s="2"/>
      <c r="E24" s="2"/>
      <c r="F24" s="2">
        <v>5048.6400000000003</v>
      </c>
      <c r="G24" s="2"/>
      <c r="H24" s="2"/>
      <c r="I24" s="2"/>
      <c r="J24" s="2"/>
      <c r="K24" s="2"/>
      <c r="L24" s="2">
        <v>5048.6400000000003</v>
      </c>
    </row>
    <row r="25" spans="2:12">
      <c r="B25">
        <v>202207</v>
      </c>
      <c r="C25" s="2"/>
      <c r="D25" s="2"/>
      <c r="E25" s="2"/>
      <c r="F25" s="2">
        <v>5596.25</v>
      </c>
      <c r="G25" s="2"/>
      <c r="H25" s="2"/>
      <c r="I25" s="2"/>
      <c r="J25" s="2"/>
      <c r="K25" s="2"/>
      <c r="L25" s="2">
        <v>5596.25</v>
      </c>
    </row>
    <row r="26" spans="2:12">
      <c r="B26">
        <v>202208</v>
      </c>
      <c r="C26" s="2"/>
      <c r="D26" s="2"/>
      <c r="E26" s="2"/>
      <c r="F26" s="2">
        <v>2941.37</v>
      </c>
      <c r="G26" s="2"/>
      <c r="H26" s="2"/>
      <c r="I26" s="2"/>
      <c r="J26" s="2"/>
      <c r="K26" s="2"/>
      <c r="L26" s="2">
        <v>2941.37</v>
      </c>
    </row>
    <row r="27" spans="2:12">
      <c r="B27">
        <v>202209</v>
      </c>
      <c r="C27" s="2"/>
      <c r="D27" s="2"/>
      <c r="E27" s="2"/>
      <c r="F27" s="2">
        <v>3672.33</v>
      </c>
      <c r="G27" s="2"/>
      <c r="H27" s="2"/>
      <c r="I27" s="2"/>
      <c r="J27" s="2"/>
      <c r="K27" s="2"/>
      <c r="L27" s="2">
        <v>3672.33</v>
      </c>
    </row>
    <row r="28" spans="2:12">
      <c r="B28">
        <v>202210</v>
      </c>
      <c r="C28" s="2"/>
      <c r="D28" s="2"/>
      <c r="E28" s="2"/>
      <c r="F28" s="2">
        <v>4748.74</v>
      </c>
      <c r="G28" s="2"/>
      <c r="H28" s="2"/>
      <c r="I28" s="2"/>
      <c r="J28" s="2"/>
      <c r="K28" s="2"/>
      <c r="L28" s="2">
        <v>4748.74</v>
      </c>
    </row>
    <row r="29" spans="2:12">
      <c r="B29">
        <v>202211</v>
      </c>
      <c r="C29" s="2"/>
      <c r="D29" s="2"/>
      <c r="E29" s="2"/>
      <c r="F29" s="2">
        <v>3773.09</v>
      </c>
      <c r="G29" s="2"/>
      <c r="H29" s="2"/>
      <c r="I29" s="2"/>
      <c r="J29" s="2"/>
      <c r="K29" s="2"/>
      <c r="L29" s="2">
        <v>3773.09</v>
      </c>
    </row>
    <row r="30" spans="2:12">
      <c r="B30">
        <v>202212</v>
      </c>
      <c r="C30" s="2"/>
      <c r="D30" s="2"/>
      <c r="E30" s="2"/>
      <c r="F30" s="2">
        <v>5462.88</v>
      </c>
      <c r="G30" s="2"/>
      <c r="H30" s="2"/>
      <c r="I30" s="2"/>
      <c r="J30" s="2"/>
      <c r="K30" s="2"/>
      <c r="L30" s="2">
        <v>5462.88</v>
      </c>
    </row>
    <row r="31" spans="2:12">
      <c r="B31">
        <v>202301</v>
      </c>
      <c r="C31" s="2"/>
      <c r="D31" s="2"/>
      <c r="E31" s="2"/>
      <c r="F31" s="2">
        <v>7167119.0100000007</v>
      </c>
      <c r="G31" s="2"/>
      <c r="H31" s="2"/>
      <c r="I31" s="2"/>
      <c r="J31" s="2"/>
      <c r="K31" s="2"/>
      <c r="L31" s="2">
        <v>7167119.0100000007</v>
      </c>
    </row>
    <row r="32" spans="2:12">
      <c r="B32">
        <v>202302</v>
      </c>
      <c r="C32" s="2"/>
      <c r="D32" s="2"/>
      <c r="E32" s="2"/>
      <c r="F32" s="2">
        <v>696432.22000000009</v>
      </c>
      <c r="G32" s="2"/>
      <c r="H32" s="2"/>
      <c r="I32" s="2"/>
      <c r="J32" s="2"/>
      <c r="K32" s="2"/>
      <c r="L32" s="2">
        <v>696432.22000000009</v>
      </c>
    </row>
    <row r="33" spans="2:12">
      <c r="B33">
        <v>202303</v>
      </c>
      <c r="C33" s="2"/>
      <c r="D33" s="2"/>
      <c r="E33" s="2"/>
      <c r="F33" s="2">
        <v>-714290.11</v>
      </c>
      <c r="G33" s="2"/>
      <c r="H33" s="2"/>
      <c r="I33" s="2"/>
      <c r="J33" s="2"/>
      <c r="K33" s="2"/>
      <c r="L33" s="2">
        <v>-714290.11</v>
      </c>
    </row>
    <row r="34" spans="2:12">
      <c r="B34">
        <v>202304</v>
      </c>
      <c r="C34" s="2"/>
      <c r="D34" s="2"/>
      <c r="E34" s="2"/>
      <c r="F34" s="2">
        <v>95752.18</v>
      </c>
      <c r="G34" s="2"/>
      <c r="H34" s="2"/>
      <c r="I34" s="2"/>
      <c r="J34" s="2"/>
      <c r="K34" s="2"/>
      <c r="L34" s="2">
        <v>95752.18</v>
      </c>
    </row>
    <row r="35" spans="2:12">
      <c r="B35">
        <v>202305</v>
      </c>
      <c r="C35" s="2"/>
      <c r="D35" s="2"/>
      <c r="E35" s="2"/>
      <c r="F35" s="2">
        <v>-646254.22</v>
      </c>
      <c r="G35" s="2"/>
      <c r="H35" s="2"/>
      <c r="I35" s="2"/>
      <c r="J35" s="2"/>
      <c r="K35" s="2"/>
      <c r="L35" s="2">
        <v>-646254.22</v>
      </c>
    </row>
    <row r="36" spans="2:12">
      <c r="B36">
        <v>202306</v>
      </c>
      <c r="C36" s="2"/>
      <c r="D36" s="2"/>
      <c r="E36" s="2"/>
      <c r="F36" s="2">
        <v>978.53</v>
      </c>
      <c r="G36" s="2"/>
      <c r="H36" s="2"/>
      <c r="I36" s="2"/>
      <c r="J36" s="2"/>
      <c r="K36" s="2"/>
      <c r="L36" s="2">
        <v>978.53</v>
      </c>
    </row>
    <row r="37" spans="2:12">
      <c r="B37">
        <v>202307</v>
      </c>
      <c r="C37" s="2"/>
      <c r="D37" s="2"/>
      <c r="E37" s="2"/>
      <c r="F37" s="2">
        <v>531.39</v>
      </c>
      <c r="G37" s="2"/>
      <c r="H37" s="2"/>
      <c r="I37" s="2"/>
      <c r="J37" s="2"/>
      <c r="K37" s="2"/>
      <c r="L37" s="2">
        <v>531.39</v>
      </c>
    </row>
    <row r="38" spans="2:12">
      <c r="B38">
        <v>202308</v>
      </c>
      <c r="C38" s="2"/>
      <c r="D38" s="2"/>
      <c r="E38" s="2"/>
      <c r="F38" s="2">
        <v>358.56</v>
      </c>
      <c r="G38" s="2"/>
      <c r="H38" s="2"/>
      <c r="I38" s="2"/>
      <c r="J38" s="2"/>
      <c r="K38" s="2"/>
      <c r="L38" s="2">
        <v>358.56</v>
      </c>
    </row>
    <row r="39" spans="2:12">
      <c r="B39">
        <v>202309</v>
      </c>
      <c r="C39" s="2"/>
      <c r="D39" s="2"/>
      <c r="E39" s="2"/>
      <c r="F39" s="2">
        <v>-31608.48</v>
      </c>
      <c r="G39" s="2"/>
      <c r="H39" s="2"/>
      <c r="I39" s="2"/>
      <c r="J39" s="2"/>
      <c r="K39" s="2"/>
      <c r="L39" s="2">
        <v>-31608.48</v>
      </c>
    </row>
    <row r="40" spans="2:12">
      <c r="B40">
        <v>202310</v>
      </c>
      <c r="C40" s="2"/>
      <c r="D40" s="2"/>
      <c r="E40" s="2"/>
      <c r="F40" s="2">
        <v>403.3</v>
      </c>
      <c r="G40" s="2"/>
      <c r="H40" s="2"/>
      <c r="I40" s="2"/>
      <c r="J40" s="2"/>
      <c r="K40" s="2"/>
      <c r="L40" s="2">
        <v>403.3</v>
      </c>
    </row>
    <row r="41" spans="2:12">
      <c r="B41">
        <v>202311</v>
      </c>
      <c r="C41" s="2"/>
      <c r="D41" s="2"/>
      <c r="E41" s="2"/>
      <c r="F41" s="2">
        <v>667.18</v>
      </c>
      <c r="G41" s="2"/>
      <c r="H41" s="2"/>
      <c r="I41" s="2"/>
      <c r="J41" s="2"/>
      <c r="K41" s="2"/>
      <c r="L41" s="2">
        <v>667.18</v>
      </c>
    </row>
    <row r="42" spans="2:12">
      <c r="B42">
        <v>202312</v>
      </c>
      <c r="C42" s="2"/>
      <c r="D42" s="2"/>
      <c r="E42" s="2"/>
      <c r="F42" s="2">
        <v>914.52</v>
      </c>
      <c r="G42" s="2"/>
      <c r="H42" s="2"/>
      <c r="I42" s="2"/>
      <c r="J42" s="2"/>
      <c r="K42" s="2"/>
      <c r="L42" s="2">
        <v>914.52</v>
      </c>
    </row>
    <row r="43" spans="2:12">
      <c r="B43">
        <v>202401</v>
      </c>
      <c r="C43" s="2"/>
      <c r="D43" s="2"/>
      <c r="E43" s="2"/>
      <c r="F43" s="2">
        <v>410.96</v>
      </c>
      <c r="G43" s="2">
        <v>6726022.79</v>
      </c>
      <c r="H43" s="2"/>
      <c r="I43" s="2"/>
      <c r="J43" s="2"/>
      <c r="K43" s="2"/>
      <c r="L43" s="2">
        <v>6726433.75</v>
      </c>
    </row>
    <row r="44" spans="2:12">
      <c r="B44">
        <v>202402</v>
      </c>
      <c r="C44" s="2"/>
      <c r="D44" s="2"/>
      <c r="E44" s="2"/>
      <c r="F44" s="2">
        <v>606.16999999999996</v>
      </c>
      <c r="G44" s="2">
        <v>47404.82</v>
      </c>
      <c r="H44" s="2">
        <v>755709.8</v>
      </c>
      <c r="I44" s="2"/>
      <c r="J44" s="2"/>
      <c r="K44" s="2"/>
      <c r="L44" s="2">
        <v>803720.79</v>
      </c>
    </row>
    <row r="45" spans="2:12">
      <c r="B45">
        <v>202403</v>
      </c>
      <c r="C45" s="2"/>
      <c r="D45" s="2"/>
      <c r="E45" s="2"/>
      <c r="F45" s="2">
        <v>621.13</v>
      </c>
      <c r="G45" s="2">
        <v>-30654.57</v>
      </c>
      <c r="H45" s="2">
        <v>145626.01999999999</v>
      </c>
      <c r="I45" s="2"/>
      <c r="J45" s="2"/>
      <c r="K45" s="2"/>
      <c r="L45" s="2">
        <v>115592.57999999999</v>
      </c>
    </row>
    <row r="46" spans="2:12">
      <c r="B46">
        <v>202404</v>
      </c>
      <c r="C46" s="2"/>
      <c r="D46" s="2"/>
      <c r="E46" s="2"/>
      <c r="F46" s="2">
        <v>570.4</v>
      </c>
      <c r="G46" s="2">
        <v>-32552.23</v>
      </c>
      <c r="H46" s="2">
        <v>-13302.83</v>
      </c>
      <c r="I46" s="2"/>
      <c r="J46" s="2"/>
      <c r="K46" s="2"/>
      <c r="L46" s="2">
        <v>-45284.659999999996</v>
      </c>
    </row>
    <row r="47" spans="2:12">
      <c r="B47">
        <v>202405</v>
      </c>
      <c r="C47" s="2"/>
      <c r="D47" s="2"/>
      <c r="E47" s="2"/>
      <c r="F47" s="2">
        <v>835.19</v>
      </c>
      <c r="G47" s="2">
        <v>56864.9</v>
      </c>
      <c r="H47" s="2">
        <v>226015.99</v>
      </c>
      <c r="I47" s="2"/>
      <c r="J47" s="2"/>
      <c r="K47" s="2"/>
      <c r="L47" s="2">
        <v>283716.08</v>
      </c>
    </row>
    <row r="48" spans="2:12">
      <c r="B48">
        <v>202406</v>
      </c>
      <c r="C48" s="2"/>
      <c r="D48" s="2"/>
      <c r="E48" s="2"/>
      <c r="F48" s="2">
        <v>664.4</v>
      </c>
      <c r="G48" s="2">
        <v>-50998.45</v>
      </c>
      <c r="H48" s="2">
        <v>353400.36</v>
      </c>
      <c r="I48" s="2"/>
      <c r="J48" s="2"/>
      <c r="K48" s="2"/>
      <c r="L48" s="2">
        <v>303066.31</v>
      </c>
    </row>
    <row r="49" spans="2:12">
      <c r="B49">
        <v>202407</v>
      </c>
      <c r="C49" s="2"/>
      <c r="D49" s="2"/>
      <c r="E49" s="2"/>
      <c r="F49" s="2">
        <v>0</v>
      </c>
      <c r="G49" s="2">
        <v>-604.6</v>
      </c>
      <c r="H49" s="2">
        <v>260421.33</v>
      </c>
      <c r="I49" s="2"/>
      <c r="J49" s="2"/>
      <c r="K49" s="2"/>
      <c r="L49" s="2">
        <v>259816.72999999998</v>
      </c>
    </row>
    <row r="50" spans="2:12">
      <c r="B50">
        <v>202408</v>
      </c>
      <c r="C50" s="2"/>
      <c r="D50" s="2"/>
      <c r="E50" s="2"/>
      <c r="F50" s="2"/>
      <c r="G50" s="2">
        <v>18344.349999999999</v>
      </c>
      <c r="H50" s="2">
        <v>474290.94</v>
      </c>
      <c r="I50" s="2"/>
      <c r="J50" s="2"/>
      <c r="K50" s="2"/>
      <c r="L50" s="2">
        <v>492635.29</v>
      </c>
    </row>
    <row r="51" spans="2:12">
      <c r="B51">
        <v>202409</v>
      </c>
      <c r="C51" s="2"/>
      <c r="D51" s="2"/>
      <c r="E51" s="2"/>
      <c r="F51" s="2"/>
      <c r="G51" s="2">
        <v>-17491.009999999998</v>
      </c>
      <c r="H51" s="2">
        <v>458345.43</v>
      </c>
      <c r="I51" s="2"/>
      <c r="J51" s="2"/>
      <c r="K51" s="2"/>
      <c r="L51" s="2">
        <v>440854.42</v>
      </c>
    </row>
    <row r="52" spans="2:12">
      <c r="B52">
        <v>202410</v>
      </c>
      <c r="C52" s="2"/>
      <c r="D52" s="2"/>
      <c r="E52" s="2"/>
      <c r="F52" s="2"/>
      <c r="G52" s="2"/>
      <c r="H52" s="2">
        <v>676259.48</v>
      </c>
      <c r="I52" s="2"/>
      <c r="J52" s="2"/>
      <c r="K52" s="2"/>
      <c r="L52" s="2">
        <v>676259.48</v>
      </c>
    </row>
    <row r="53" spans="2:12">
      <c r="B53">
        <v>202411</v>
      </c>
      <c r="C53" s="2"/>
      <c r="D53" s="2"/>
      <c r="E53" s="2"/>
      <c r="F53" s="2"/>
      <c r="G53" s="2">
        <v>1524.28</v>
      </c>
      <c r="H53" s="2">
        <v>798132</v>
      </c>
      <c r="I53" s="2"/>
      <c r="J53" s="2"/>
      <c r="K53" s="2"/>
      <c r="L53" s="2">
        <v>799656.28</v>
      </c>
    </row>
    <row r="54" spans="2:12">
      <c r="B54">
        <v>202412</v>
      </c>
      <c r="C54" s="2"/>
      <c r="D54" s="2"/>
      <c r="E54" s="2"/>
      <c r="F54" s="2"/>
      <c r="G54" s="2">
        <v>20737.14</v>
      </c>
      <c r="H54" s="2">
        <v>454041.07</v>
      </c>
      <c r="I54" s="2"/>
      <c r="J54" s="2"/>
      <c r="K54" s="2"/>
      <c r="L54" s="2">
        <v>474778.21</v>
      </c>
    </row>
    <row r="55" spans="2:12">
      <c r="B55">
        <v>202501</v>
      </c>
      <c r="C55" s="2"/>
      <c r="D55" s="2"/>
      <c r="E55" s="2"/>
      <c r="F55" s="2"/>
      <c r="G55" s="2">
        <v>-17587.72</v>
      </c>
      <c r="H55" s="2">
        <v>142135.57</v>
      </c>
      <c r="I55" s="2"/>
      <c r="J55" s="2"/>
      <c r="K55" s="2"/>
      <c r="L55" s="2">
        <v>124547.85</v>
      </c>
    </row>
    <row r="56" spans="2:12">
      <c r="B56">
        <v>202502</v>
      </c>
      <c r="C56" s="2"/>
      <c r="D56" s="2"/>
      <c r="E56" s="2"/>
      <c r="F56" s="2"/>
      <c r="G56" s="2"/>
      <c r="H56" s="2">
        <v>-114184.17</v>
      </c>
      <c r="I56" s="2"/>
      <c r="J56" s="2"/>
      <c r="K56" s="2"/>
      <c r="L56" s="2">
        <v>-114184.17</v>
      </c>
    </row>
    <row r="57" spans="2:12">
      <c r="B57">
        <v>202503</v>
      </c>
      <c r="C57" s="2"/>
      <c r="D57" s="2"/>
      <c r="E57" s="2"/>
      <c r="F57" s="2"/>
      <c r="G57" s="2">
        <v>5899.17</v>
      </c>
      <c r="H57" s="2">
        <v>67685.37</v>
      </c>
      <c r="I57" s="2"/>
      <c r="J57" s="2"/>
      <c r="K57" s="2"/>
      <c r="L57" s="2">
        <v>73584.539999999994</v>
      </c>
    </row>
    <row r="58" spans="2:12">
      <c r="B58">
        <v>202504</v>
      </c>
      <c r="C58" s="2"/>
      <c r="D58" s="2"/>
      <c r="E58" s="2"/>
      <c r="F58" s="2"/>
      <c r="G58" s="2">
        <v>-5899.17</v>
      </c>
      <c r="H58" s="2">
        <v>-45108.01</v>
      </c>
      <c r="I58" s="2"/>
      <c r="J58" s="2"/>
      <c r="K58" s="2"/>
      <c r="L58" s="2">
        <v>-51007.18</v>
      </c>
    </row>
    <row r="59" spans="2:12">
      <c r="B59">
        <v>202505</v>
      </c>
      <c r="C59" s="2"/>
      <c r="D59" s="2"/>
      <c r="E59" s="2"/>
      <c r="F59" s="2"/>
      <c r="G59" s="2">
        <v>10654.4</v>
      </c>
      <c r="H59" s="2">
        <v>3840</v>
      </c>
      <c r="I59" s="2"/>
      <c r="J59" s="2"/>
      <c r="K59" s="2"/>
      <c r="L59" s="2">
        <v>14494.4</v>
      </c>
    </row>
    <row r="60" spans="2:12">
      <c r="B60">
        <v>202506</v>
      </c>
      <c r="C60" s="2"/>
      <c r="D60" s="2"/>
      <c r="E60" s="2"/>
      <c r="F60" s="2"/>
      <c r="G60" s="2">
        <v>-8471.4500000000007</v>
      </c>
      <c r="H60" s="2">
        <v>4657.96</v>
      </c>
      <c r="I60" s="2"/>
      <c r="J60" s="2"/>
      <c r="K60" s="2"/>
      <c r="L60" s="2">
        <v>-3813.4900000000007</v>
      </c>
    </row>
    <row r="61" spans="2:12">
      <c r="B61">
        <v>202507</v>
      </c>
      <c r="C61" s="2"/>
      <c r="D61" s="2"/>
      <c r="E61" s="2"/>
      <c r="F61" s="2"/>
      <c r="G61" s="2">
        <v>1544.7</v>
      </c>
      <c r="H61" s="2">
        <v>7916.56</v>
      </c>
      <c r="I61" s="2"/>
      <c r="J61" s="2"/>
      <c r="K61" s="2"/>
      <c r="L61" s="2">
        <v>9461.26</v>
      </c>
    </row>
    <row r="62" spans="2:12">
      <c r="B62">
        <v>202508</v>
      </c>
      <c r="C62" s="2"/>
      <c r="D62" s="2"/>
      <c r="E62" s="2"/>
      <c r="F62" s="2"/>
      <c r="G62" s="2">
        <v>-1544.7</v>
      </c>
      <c r="H62" s="2">
        <v>7833.24</v>
      </c>
      <c r="I62" s="2"/>
      <c r="J62" s="2"/>
      <c r="K62" s="2"/>
      <c r="L62" s="2">
        <v>6288.54</v>
      </c>
    </row>
    <row r="63" spans="2:12">
      <c r="B63">
        <v>202509</v>
      </c>
      <c r="C63" s="2"/>
      <c r="D63" s="2"/>
      <c r="E63" s="2"/>
      <c r="F63" s="2"/>
      <c r="G63" s="2"/>
      <c r="H63" s="2">
        <v>-4598.5200000000004</v>
      </c>
      <c r="I63" s="2"/>
      <c r="J63" s="2"/>
      <c r="K63" s="2"/>
      <c r="L63" s="2">
        <v>-4598.5200000000004</v>
      </c>
    </row>
    <row r="64" spans="2:12">
      <c r="B64">
        <v>202510</v>
      </c>
      <c r="C64" s="2"/>
      <c r="D64" s="2"/>
      <c r="E64" s="2"/>
      <c r="F64" s="2"/>
      <c r="G64" s="2"/>
      <c r="H64" s="2">
        <v>3000.6</v>
      </c>
      <c r="I64" s="2"/>
      <c r="J64" s="2"/>
      <c r="K64" s="2"/>
      <c r="L64" s="2">
        <v>3000.6</v>
      </c>
    </row>
    <row r="65" spans="1:12">
      <c r="B65">
        <v>202511</v>
      </c>
      <c r="C65" s="2"/>
      <c r="D65" s="2"/>
      <c r="E65" s="2"/>
      <c r="F65" s="2"/>
      <c r="G65" s="2">
        <v>1727.7</v>
      </c>
      <c r="H65" s="2">
        <v>3607.1</v>
      </c>
      <c r="I65" s="2"/>
      <c r="J65" s="2"/>
      <c r="K65" s="2"/>
      <c r="L65" s="2">
        <v>5334.8</v>
      </c>
    </row>
    <row r="66" spans="1:12">
      <c r="B66">
        <v>202512</v>
      </c>
      <c r="C66" s="2"/>
      <c r="D66" s="2"/>
      <c r="E66" s="2"/>
      <c r="F66" s="2"/>
      <c r="G66" s="2">
        <v>0</v>
      </c>
      <c r="H66" s="2">
        <v>1336.3</v>
      </c>
      <c r="I66" s="2">
        <v>18157875.41</v>
      </c>
      <c r="J66" s="2"/>
      <c r="K66" s="2"/>
      <c r="L66" s="2">
        <v>18159211.710000001</v>
      </c>
    </row>
    <row r="67" spans="1:12">
      <c r="B67">
        <v>202601</v>
      </c>
      <c r="C67" s="2"/>
      <c r="D67" s="2"/>
      <c r="E67" s="2"/>
      <c r="F67" s="2"/>
      <c r="G67" s="2">
        <v>47.3</v>
      </c>
      <c r="H67" s="2">
        <v>1664</v>
      </c>
      <c r="I67" s="2">
        <v>215578</v>
      </c>
      <c r="J67" s="2"/>
      <c r="K67" s="2"/>
      <c r="L67" s="2">
        <v>217289.3</v>
      </c>
    </row>
    <row r="68" spans="1:12">
      <c r="B68">
        <v>202602</v>
      </c>
      <c r="C68" s="2"/>
      <c r="D68" s="2"/>
      <c r="E68" s="2"/>
      <c r="F68" s="2"/>
      <c r="G68" s="2">
        <v>-591.9</v>
      </c>
      <c r="H68" s="2">
        <v>2560</v>
      </c>
      <c r="I68" s="2">
        <v>13415.64</v>
      </c>
      <c r="J68" s="2"/>
      <c r="K68" s="2"/>
      <c r="L68" s="2">
        <v>15383.74</v>
      </c>
    </row>
    <row r="69" spans="1:12">
      <c r="A69" t="s">
        <v>883</v>
      </c>
      <c r="C69" s="2">
        <v>4341.1499999999996</v>
      </c>
      <c r="D69" s="2">
        <v>12136663.91</v>
      </c>
      <c r="E69" s="2">
        <v>7553853.1299999999</v>
      </c>
      <c r="F69" s="2">
        <v>13456312.860000003</v>
      </c>
      <c r="G69" s="2">
        <v>6724375.75</v>
      </c>
      <c r="H69" s="2">
        <v>4671285.59</v>
      </c>
      <c r="I69" s="2">
        <v>18386869.050000001</v>
      </c>
      <c r="J69" s="2">
        <v>2923572.47</v>
      </c>
      <c r="K69" s="2"/>
      <c r="L69" s="2">
        <v>65857273.909999989</v>
      </c>
    </row>
    <row r="70" spans="1:12">
      <c r="A70" t="s">
        <v>884</v>
      </c>
      <c r="B70">
        <v>201908</v>
      </c>
      <c r="C70" s="2">
        <v>5995105.7300000004</v>
      </c>
      <c r="D70" s="2"/>
      <c r="E70" s="2"/>
      <c r="F70" s="2"/>
      <c r="G70" s="2"/>
      <c r="H70" s="2"/>
      <c r="I70" s="2"/>
      <c r="J70" s="2"/>
      <c r="K70" s="2"/>
      <c r="L70" s="2">
        <v>5995105.7300000004</v>
      </c>
    </row>
    <row r="71" spans="1:12">
      <c r="B71">
        <v>202101</v>
      </c>
      <c r="C71" s="2"/>
      <c r="D71" s="2"/>
      <c r="E71" s="2"/>
      <c r="F71" s="2"/>
      <c r="G71" s="2"/>
      <c r="H71" s="2"/>
      <c r="I71" s="2"/>
      <c r="J71" s="2">
        <v>3659014.18</v>
      </c>
      <c r="K71" s="2"/>
      <c r="L71" s="2">
        <v>3659014.18</v>
      </c>
    </row>
    <row r="72" spans="1:12">
      <c r="B72">
        <v>202102</v>
      </c>
      <c r="C72" s="2"/>
      <c r="D72" s="2"/>
      <c r="E72" s="2"/>
      <c r="F72" s="2"/>
      <c r="G72" s="2"/>
      <c r="H72" s="2"/>
      <c r="I72" s="2"/>
      <c r="J72" s="2">
        <v>167271.51</v>
      </c>
      <c r="K72" s="2"/>
      <c r="L72" s="2">
        <v>167271.51</v>
      </c>
    </row>
    <row r="73" spans="1:12">
      <c r="B73">
        <v>202103</v>
      </c>
      <c r="C73" s="2"/>
      <c r="D73" s="2"/>
      <c r="E73" s="2"/>
      <c r="F73" s="2"/>
      <c r="G73" s="2"/>
      <c r="H73" s="2"/>
      <c r="I73" s="2"/>
      <c r="J73" s="2">
        <v>217725.19</v>
      </c>
      <c r="K73" s="2"/>
      <c r="L73" s="2">
        <v>217725.19</v>
      </c>
    </row>
    <row r="74" spans="1:12">
      <c r="B74">
        <v>202104</v>
      </c>
      <c r="C74" s="2"/>
      <c r="D74" s="2"/>
      <c r="E74" s="2"/>
      <c r="F74" s="2"/>
      <c r="G74" s="2"/>
      <c r="H74" s="2"/>
      <c r="I74" s="2"/>
      <c r="J74" s="2">
        <v>136193.22</v>
      </c>
      <c r="K74" s="2"/>
      <c r="L74" s="2">
        <v>136193.22</v>
      </c>
    </row>
    <row r="75" spans="1:12">
      <c r="B75">
        <v>202105</v>
      </c>
      <c r="C75" s="2"/>
      <c r="D75" s="2"/>
      <c r="E75" s="2"/>
      <c r="F75" s="2"/>
      <c r="G75" s="2"/>
      <c r="H75" s="2"/>
      <c r="I75" s="2"/>
      <c r="J75" s="2">
        <v>208198.75</v>
      </c>
      <c r="K75" s="2"/>
      <c r="L75" s="2">
        <v>208198.75</v>
      </c>
    </row>
    <row r="76" spans="1:12">
      <c r="B76">
        <v>202106</v>
      </c>
      <c r="C76" s="2"/>
      <c r="D76" s="2"/>
      <c r="E76" s="2"/>
      <c r="F76" s="2"/>
      <c r="G76" s="2"/>
      <c r="H76" s="2"/>
      <c r="I76" s="2"/>
      <c r="J76" s="2">
        <v>167565.87</v>
      </c>
      <c r="K76" s="2"/>
      <c r="L76" s="2">
        <v>167565.87</v>
      </c>
    </row>
    <row r="77" spans="1:12">
      <c r="B77">
        <v>202107</v>
      </c>
      <c r="C77" s="2"/>
      <c r="D77" s="2"/>
      <c r="E77" s="2"/>
      <c r="F77" s="2"/>
      <c r="G77" s="2"/>
      <c r="H77" s="2"/>
      <c r="I77" s="2"/>
      <c r="J77" s="2">
        <v>215132.13</v>
      </c>
      <c r="K77" s="2"/>
      <c r="L77" s="2">
        <v>215132.13</v>
      </c>
    </row>
    <row r="78" spans="1:12">
      <c r="B78">
        <v>202108</v>
      </c>
      <c r="C78" s="2"/>
      <c r="D78" s="2"/>
      <c r="E78" s="2"/>
      <c r="F78" s="2"/>
      <c r="G78" s="2"/>
      <c r="H78" s="2"/>
      <c r="I78" s="2"/>
      <c r="J78" s="2">
        <v>199483.89</v>
      </c>
      <c r="K78" s="2"/>
      <c r="L78" s="2">
        <v>199483.89</v>
      </c>
    </row>
    <row r="79" spans="1:12">
      <c r="B79">
        <v>202109</v>
      </c>
      <c r="C79" s="2"/>
      <c r="D79" s="2"/>
      <c r="E79" s="2"/>
      <c r="F79" s="2"/>
      <c r="G79" s="2"/>
      <c r="H79" s="2"/>
      <c r="I79" s="2"/>
      <c r="J79" s="2">
        <v>313146.84999999998</v>
      </c>
      <c r="K79" s="2"/>
      <c r="L79" s="2">
        <v>313146.84999999998</v>
      </c>
    </row>
    <row r="80" spans="1:12">
      <c r="B80">
        <v>202110</v>
      </c>
      <c r="C80" s="2"/>
      <c r="D80" s="2"/>
      <c r="E80" s="2"/>
      <c r="F80" s="2"/>
      <c r="G80" s="2"/>
      <c r="H80" s="2"/>
      <c r="I80" s="2"/>
      <c r="J80" s="2">
        <v>148655.5</v>
      </c>
      <c r="K80" s="2"/>
      <c r="L80" s="2">
        <v>148655.5</v>
      </c>
    </row>
    <row r="81" spans="2:12">
      <c r="B81">
        <v>202111</v>
      </c>
      <c r="C81" s="2"/>
      <c r="D81" s="2"/>
      <c r="E81" s="2"/>
      <c r="F81" s="2"/>
      <c r="G81" s="2"/>
      <c r="H81" s="2"/>
      <c r="I81" s="2"/>
      <c r="J81" s="2">
        <v>286410.01</v>
      </c>
      <c r="K81" s="2"/>
      <c r="L81" s="2">
        <v>286410.01</v>
      </c>
    </row>
    <row r="82" spans="2:12">
      <c r="B82">
        <v>202112</v>
      </c>
      <c r="C82" s="2"/>
      <c r="D82" s="2"/>
      <c r="E82" s="2"/>
      <c r="F82" s="2"/>
      <c r="G82" s="2"/>
      <c r="H82" s="2"/>
      <c r="I82" s="2"/>
      <c r="J82" s="2">
        <v>146342.59</v>
      </c>
      <c r="K82" s="2"/>
      <c r="L82" s="2">
        <v>146342.59</v>
      </c>
    </row>
    <row r="83" spans="2:12">
      <c r="B83">
        <v>202201</v>
      </c>
      <c r="C83" s="2"/>
      <c r="D83" s="2"/>
      <c r="E83" s="2"/>
      <c r="F83" s="2"/>
      <c r="G83" s="2"/>
      <c r="H83" s="2"/>
      <c r="I83" s="2"/>
      <c r="J83" s="2">
        <v>158691.79999999999</v>
      </c>
      <c r="K83" s="2"/>
      <c r="L83" s="2">
        <v>158691.79999999999</v>
      </c>
    </row>
    <row r="84" spans="2:12">
      <c r="B84">
        <v>202202</v>
      </c>
      <c r="C84" s="2"/>
      <c r="D84" s="2"/>
      <c r="E84" s="2"/>
      <c r="F84" s="2"/>
      <c r="G84" s="2"/>
      <c r="H84" s="2"/>
      <c r="I84" s="2"/>
      <c r="J84" s="2">
        <v>172685.86000000002</v>
      </c>
      <c r="K84" s="2"/>
      <c r="L84" s="2">
        <v>172685.86000000002</v>
      </c>
    </row>
    <row r="85" spans="2:12">
      <c r="B85">
        <v>202203</v>
      </c>
      <c r="C85" s="2"/>
      <c r="D85" s="2"/>
      <c r="E85" s="2"/>
      <c r="F85" s="2"/>
      <c r="G85" s="2"/>
      <c r="H85" s="2"/>
      <c r="I85" s="2"/>
      <c r="J85" s="2">
        <v>265334.96000000002</v>
      </c>
      <c r="K85" s="2"/>
      <c r="L85" s="2">
        <v>265334.96000000002</v>
      </c>
    </row>
    <row r="86" spans="2:12">
      <c r="B86">
        <v>202204</v>
      </c>
      <c r="C86" s="2"/>
      <c r="D86" s="2"/>
      <c r="E86" s="2"/>
      <c r="F86" s="2"/>
      <c r="G86" s="2"/>
      <c r="H86" s="2"/>
      <c r="I86" s="2"/>
      <c r="J86" s="2">
        <v>288026.25</v>
      </c>
      <c r="K86" s="2"/>
      <c r="L86" s="2">
        <v>288026.25</v>
      </c>
    </row>
    <row r="87" spans="2:12">
      <c r="B87">
        <v>202205</v>
      </c>
      <c r="C87" s="2"/>
      <c r="D87" s="2"/>
      <c r="E87" s="2"/>
      <c r="F87" s="2"/>
      <c r="G87" s="2"/>
      <c r="H87" s="2"/>
      <c r="I87" s="2"/>
      <c r="J87" s="2">
        <v>279667.71000000002</v>
      </c>
      <c r="K87" s="2"/>
      <c r="L87" s="2">
        <v>279667.71000000002</v>
      </c>
    </row>
    <row r="88" spans="2:12">
      <c r="B88">
        <v>202206</v>
      </c>
      <c r="C88" s="2"/>
      <c r="D88" s="2"/>
      <c r="E88" s="2"/>
      <c r="F88" s="2"/>
      <c r="G88" s="2"/>
      <c r="H88" s="2"/>
      <c r="I88" s="2"/>
      <c r="J88" s="2">
        <v>386216.68</v>
      </c>
      <c r="K88" s="2"/>
      <c r="L88" s="2">
        <v>386216.68</v>
      </c>
    </row>
    <row r="89" spans="2:12">
      <c r="B89">
        <v>202207</v>
      </c>
      <c r="C89" s="2"/>
      <c r="D89" s="2"/>
      <c r="E89" s="2"/>
      <c r="F89" s="2"/>
      <c r="G89" s="2"/>
      <c r="H89" s="2"/>
      <c r="I89" s="2"/>
      <c r="J89" s="2">
        <v>199592.11</v>
      </c>
      <c r="K89" s="2"/>
      <c r="L89" s="2">
        <v>199592.11</v>
      </c>
    </row>
    <row r="90" spans="2:12">
      <c r="B90">
        <v>202208</v>
      </c>
      <c r="C90" s="2"/>
      <c r="D90" s="2"/>
      <c r="E90" s="2"/>
      <c r="F90" s="2"/>
      <c r="G90" s="2"/>
      <c r="H90" s="2"/>
      <c r="I90" s="2"/>
      <c r="J90" s="2">
        <v>189315.13</v>
      </c>
      <c r="K90" s="2"/>
      <c r="L90" s="2">
        <v>189315.13</v>
      </c>
    </row>
    <row r="91" spans="2:12">
      <c r="B91">
        <v>202209</v>
      </c>
      <c r="C91" s="2"/>
      <c r="D91" s="2"/>
      <c r="E91" s="2"/>
      <c r="F91" s="2"/>
      <c r="G91" s="2"/>
      <c r="H91" s="2"/>
      <c r="I91" s="2"/>
      <c r="J91" s="2">
        <v>201230.11</v>
      </c>
      <c r="K91" s="2"/>
      <c r="L91" s="2">
        <v>201230.11</v>
      </c>
    </row>
    <row r="92" spans="2:12">
      <c r="B92">
        <v>202210</v>
      </c>
      <c r="C92" s="2"/>
      <c r="D92" s="2"/>
      <c r="E92" s="2"/>
      <c r="F92" s="2"/>
      <c r="G92" s="2"/>
      <c r="H92" s="2"/>
      <c r="I92" s="2"/>
      <c r="J92" s="2">
        <v>234815.04</v>
      </c>
      <c r="K92" s="2"/>
      <c r="L92" s="2">
        <v>234815.04</v>
      </c>
    </row>
    <row r="93" spans="2:12">
      <c r="B93">
        <v>202211</v>
      </c>
      <c r="C93" s="2"/>
      <c r="D93" s="2"/>
      <c r="E93" s="2"/>
      <c r="F93" s="2"/>
      <c r="G93" s="2"/>
      <c r="H93" s="2"/>
      <c r="I93" s="2"/>
      <c r="J93" s="2">
        <v>243316.73</v>
      </c>
      <c r="K93" s="2"/>
      <c r="L93" s="2">
        <v>243316.73</v>
      </c>
    </row>
    <row r="94" spans="2:12">
      <c r="B94">
        <v>202212</v>
      </c>
      <c r="C94" s="2"/>
      <c r="D94" s="2"/>
      <c r="E94" s="2"/>
      <c r="F94" s="2"/>
      <c r="G94" s="2"/>
      <c r="H94" s="2"/>
      <c r="I94" s="2"/>
      <c r="J94" s="2">
        <v>132709.62</v>
      </c>
      <c r="K94" s="2"/>
      <c r="L94" s="2">
        <v>132709.62</v>
      </c>
    </row>
    <row r="95" spans="2:12">
      <c r="B95">
        <v>202301</v>
      </c>
      <c r="C95" s="2"/>
      <c r="D95" s="2"/>
      <c r="E95" s="2"/>
      <c r="F95" s="2"/>
      <c r="G95" s="2"/>
      <c r="H95" s="2"/>
      <c r="I95" s="2"/>
      <c r="J95" s="2">
        <v>313996.43</v>
      </c>
      <c r="K95" s="2"/>
      <c r="L95" s="2">
        <v>313996.43</v>
      </c>
    </row>
    <row r="96" spans="2:12">
      <c r="B96">
        <v>202302</v>
      </c>
      <c r="C96" s="2"/>
      <c r="D96" s="2"/>
      <c r="E96" s="2"/>
      <c r="F96" s="2"/>
      <c r="G96" s="2"/>
      <c r="H96" s="2"/>
      <c r="I96" s="2"/>
      <c r="J96" s="2">
        <v>226271.46</v>
      </c>
      <c r="K96" s="2"/>
      <c r="L96" s="2">
        <v>226271.46</v>
      </c>
    </row>
    <row r="97" spans="2:12">
      <c r="B97">
        <v>202303</v>
      </c>
      <c r="C97" s="2"/>
      <c r="D97" s="2"/>
      <c r="E97" s="2"/>
      <c r="F97" s="2"/>
      <c r="G97" s="2"/>
      <c r="H97" s="2"/>
      <c r="I97" s="2"/>
      <c r="J97" s="2">
        <v>343246.03</v>
      </c>
      <c r="K97" s="2"/>
      <c r="L97" s="2">
        <v>343246.03</v>
      </c>
    </row>
    <row r="98" spans="2:12">
      <c r="B98">
        <v>202304</v>
      </c>
      <c r="C98" s="2"/>
      <c r="D98" s="2"/>
      <c r="E98" s="2"/>
      <c r="F98" s="2"/>
      <c r="G98" s="2"/>
      <c r="H98" s="2"/>
      <c r="I98" s="2"/>
      <c r="J98" s="2">
        <v>453265.93</v>
      </c>
      <c r="K98" s="2"/>
      <c r="L98" s="2">
        <v>453265.93</v>
      </c>
    </row>
    <row r="99" spans="2:12">
      <c r="B99">
        <v>202305</v>
      </c>
      <c r="C99" s="2"/>
      <c r="D99" s="2"/>
      <c r="E99" s="2"/>
      <c r="F99" s="2"/>
      <c r="G99" s="2"/>
      <c r="H99" s="2"/>
      <c r="I99" s="2"/>
      <c r="J99" s="2">
        <v>300879.88</v>
      </c>
      <c r="K99" s="2"/>
      <c r="L99" s="2">
        <v>300879.88</v>
      </c>
    </row>
    <row r="100" spans="2:12">
      <c r="B100">
        <v>202306</v>
      </c>
      <c r="C100" s="2"/>
      <c r="D100" s="2"/>
      <c r="E100" s="2"/>
      <c r="F100" s="2"/>
      <c r="G100" s="2"/>
      <c r="H100" s="2"/>
      <c r="I100" s="2"/>
      <c r="J100" s="2">
        <v>266585.61</v>
      </c>
      <c r="K100" s="2"/>
      <c r="L100" s="2">
        <v>266585.61</v>
      </c>
    </row>
    <row r="101" spans="2:12">
      <c r="B101">
        <v>202307</v>
      </c>
      <c r="C101" s="2"/>
      <c r="D101" s="2"/>
      <c r="E101" s="2"/>
      <c r="F101" s="2"/>
      <c r="G101" s="2"/>
      <c r="H101" s="2"/>
      <c r="I101" s="2"/>
      <c r="J101" s="2">
        <v>71720.78</v>
      </c>
      <c r="K101" s="2"/>
      <c r="L101" s="2">
        <v>71720.78</v>
      </c>
    </row>
    <row r="102" spans="2:12">
      <c r="B102">
        <v>202308</v>
      </c>
      <c r="C102" s="2"/>
      <c r="D102" s="2"/>
      <c r="E102" s="2"/>
      <c r="F102" s="2"/>
      <c r="G102" s="2"/>
      <c r="H102" s="2"/>
      <c r="I102" s="2"/>
      <c r="J102" s="2">
        <v>92529.02</v>
      </c>
      <c r="K102" s="2"/>
      <c r="L102" s="2">
        <v>92529.02</v>
      </c>
    </row>
    <row r="103" spans="2:12">
      <c r="B103">
        <v>202309</v>
      </c>
      <c r="C103" s="2"/>
      <c r="D103" s="2"/>
      <c r="E103" s="2"/>
      <c r="F103" s="2"/>
      <c r="G103" s="2"/>
      <c r="H103" s="2"/>
      <c r="I103" s="2"/>
      <c r="J103" s="2">
        <v>207786.62</v>
      </c>
      <c r="K103" s="2"/>
      <c r="L103" s="2">
        <v>207786.62</v>
      </c>
    </row>
    <row r="104" spans="2:12">
      <c r="B104">
        <v>202310</v>
      </c>
      <c r="C104" s="2"/>
      <c r="D104" s="2"/>
      <c r="E104" s="2"/>
      <c r="F104" s="2"/>
      <c r="G104" s="2"/>
      <c r="H104" s="2"/>
      <c r="I104" s="2"/>
      <c r="J104" s="2">
        <v>494727.62</v>
      </c>
      <c r="K104" s="2"/>
      <c r="L104" s="2">
        <v>494727.62</v>
      </c>
    </row>
    <row r="105" spans="2:12">
      <c r="B105">
        <v>202311</v>
      </c>
      <c r="C105" s="2"/>
      <c r="D105" s="2"/>
      <c r="E105" s="2"/>
      <c r="F105" s="2"/>
      <c r="G105" s="2"/>
      <c r="H105" s="2"/>
      <c r="I105" s="2"/>
      <c r="J105" s="2">
        <v>56781.38</v>
      </c>
      <c r="K105" s="2"/>
      <c r="L105" s="2">
        <v>56781.38</v>
      </c>
    </row>
    <row r="106" spans="2:12">
      <c r="B106">
        <v>202312</v>
      </c>
      <c r="C106" s="2"/>
      <c r="D106" s="2"/>
      <c r="E106" s="2"/>
      <c r="F106" s="2"/>
      <c r="G106" s="2"/>
      <c r="H106" s="2"/>
      <c r="I106" s="2"/>
      <c r="J106" s="2">
        <v>4220.9799999999996</v>
      </c>
      <c r="K106" s="2"/>
      <c r="L106" s="2">
        <v>4220.9799999999996</v>
      </c>
    </row>
    <row r="107" spans="2:12">
      <c r="B107">
        <v>202401</v>
      </c>
      <c r="C107" s="2"/>
      <c r="D107" s="2"/>
      <c r="E107" s="2"/>
      <c r="F107" s="2"/>
      <c r="G107" s="2"/>
      <c r="H107" s="2"/>
      <c r="I107" s="2"/>
      <c r="J107" s="2">
        <v>34659.07</v>
      </c>
      <c r="K107" s="2"/>
      <c r="L107" s="2">
        <v>34659.07</v>
      </c>
    </row>
    <row r="108" spans="2:12">
      <c r="B108">
        <v>202402</v>
      </c>
      <c r="C108" s="2"/>
      <c r="D108" s="2"/>
      <c r="E108" s="2"/>
      <c r="F108" s="2"/>
      <c r="G108" s="2"/>
      <c r="H108" s="2"/>
      <c r="I108" s="2"/>
      <c r="J108" s="2">
        <v>72498.39</v>
      </c>
      <c r="K108" s="2"/>
      <c r="L108" s="2">
        <v>72498.39</v>
      </c>
    </row>
    <row r="109" spans="2:12">
      <c r="B109">
        <v>202403</v>
      </c>
      <c r="C109" s="2"/>
      <c r="D109" s="2"/>
      <c r="E109" s="2"/>
      <c r="F109" s="2"/>
      <c r="G109" s="2"/>
      <c r="H109" s="2"/>
      <c r="I109" s="2"/>
      <c r="J109" s="2">
        <v>127034.67</v>
      </c>
      <c r="K109" s="2"/>
      <c r="L109" s="2">
        <v>127034.67</v>
      </c>
    </row>
    <row r="110" spans="2:12">
      <c r="B110">
        <v>202404</v>
      </c>
      <c r="C110" s="2"/>
      <c r="D110" s="2"/>
      <c r="E110" s="2"/>
      <c r="F110" s="2"/>
      <c r="G110" s="2"/>
      <c r="H110" s="2"/>
      <c r="I110" s="2"/>
      <c r="J110" s="2">
        <v>108767.9</v>
      </c>
      <c r="K110" s="2"/>
      <c r="L110" s="2">
        <v>108767.9</v>
      </c>
    </row>
    <row r="111" spans="2:12">
      <c r="B111">
        <v>202405</v>
      </c>
      <c r="C111" s="2"/>
      <c r="D111" s="2"/>
      <c r="E111" s="2"/>
      <c r="F111" s="2"/>
      <c r="G111" s="2"/>
      <c r="H111" s="2"/>
      <c r="I111" s="2"/>
      <c r="J111" s="2">
        <v>62435.74</v>
      </c>
      <c r="K111" s="2"/>
      <c r="L111" s="2">
        <v>62435.74</v>
      </c>
    </row>
    <row r="112" spans="2:12">
      <c r="B112">
        <v>202406</v>
      </c>
      <c r="C112" s="2"/>
      <c r="D112" s="2"/>
      <c r="E112" s="2"/>
      <c r="F112" s="2"/>
      <c r="G112" s="2"/>
      <c r="H112" s="2"/>
      <c r="I112" s="2"/>
      <c r="J112" s="2">
        <v>-13493.51</v>
      </c>
      <c r="K112" s="2"/>
      <c r="L112" s="2">
        <v>-13493.51</v>
      </c>
    </row>
    <row r="113" spans="2:12">
      <c r="B113">
        <v>202407</v>
      </c>
      <c r="C113" s="2"/>
      <c r="D113" s="2"/>
      <c r="E113" s="2"/>
      <c r="F113" s="2"/>
      <c r="G113" s="2"/>
      <c r="H113" s="2"/>
      <c r="I113" s="2"/>
      <c r="J113" s="2">
        <v>46568.77</v>
      </c>
      <c r="K113" s="2"/>
      <c r="L113" s="2">
        <v>46568.77</v>
      </c>
    </row>
    <row r="114" spans="2:12">
      <c r="B114">
        <v>202408</v>
      </c>
      <c r="C114" s="2"/>
      <c r="D114" s="2"/>
      <c r="E114" s="2"/>
      <c r="F114" s="2"/>
      <c r="G114" s="2"/>
      <c r="H114" s="2"/>
      <c r="I114" s="2"/>
      <c r="J114" s="2">
        <v>167052.23000000001</v>
      </c>
      <c r="K114" s="2"/>
      <c r="L114" s="2">
        <v>167052.23000000001</v>
      </c>
    </row>
    <row r="115" spans="2:12">
      <c r="B115">
        <v>202409</v>
      </c>
      <c r="C115" s="2"/>
      <c r="D115" s="2"/>
      <c r="E115" s="2"/>
      <c r="F115" s="2"/>
      <c r="G115" s="2"/>
      <c r="H115" s="2"/>
      <c r="I115" s="2"/>
      <c r="J115" s="2">
        <v>395240.08</v>
      </c>
      <c r="K115" s="2"/>
      <c r="L115" s="2">
        <v>395240.08</v>
      </c>
    </row>
    <row r="116" spans="2:12">
      <c r="B116">
        <v>202410</v>
      </c>
      <c r="C116" s="2"/>
      <c r="D116" s="2"/>
      <c r="E116" s="2"/>
      <c r="F116" s="2"/>
      <c r="G116" s="2"/>
      <c r="H116" s="2"/>
      <c r="I116" s="2"/>
      <c r="J116" s="2">
        <v>96781.89</v>
      </c>
      <c r="K116" s="2"/>
      <c r="L116" s="2">
        <v>96781.89</v>
      </c>
    </row>
    <row r="117" spans="2:12">
      <c r="B117">
        <v>202411</v>
      </c>
      <c r="C117" s="2"/>
      <c r="D117" s="2"/>
      <c r="E117" s="2"/>
      <c r="F117" s="2"/>
      <c r="G117" s="2"/>
      <c r="H117" s="2"/>
      <c r="I117" s="2"/>
      <c r="J117" s="2">
        <v>114760.52</v>
      </c>
      <c r="K117" s="2"/>
      <c r="L117" s="2">
        <v>114760.52</v>
      </c>
    </row>
    <row r="118" spans="2:12">
      <c r="B118">
        <v>202412</v>
      </c>
      <c r="C118" s="2"/>
      <c r="D118" s="2"/>
      <c r="E118" s="2"/>
      <c r="F118" s="2"/>
      <c r="G118" s="2"/>
      <c r="H118" s="2"/>
      <c r="I118" s="2"/>
      <c r="J118" s="2">
        <v>228872.85</v>
      </c>
      <c r="K118" s="2"/>
      <c r="L118" s="2">
        <v>228872.85</v>
      </c>
    </row>
    <row r="119" spans="2:12">
      <c r="B119">
        <v>202501</v>
      </c>
      <c r="C119" s="2"/>
      <c r="D119" s="2"/>
      <c r="E119" s="2"/>
      <c r="F119" s="2"/>
      <c r="G119" s="2"/>
      <c r="H119" s="2"/>
      <c r="I119" s="2"/>
      <c r="J119" s="2">
        <v>165573.39000000001</v>
      </c>
      <c r="K119" s="2"/>
      <c r="L119" s="2">
        <v>165573.39000000001</v>
      </c>
    </row>
    <row r="120" spans="2:12">
      <c r="B120">
        <v>202502</v>
      </c>
      <c r="C120" s="2"/>
      <c r="D120" s="2"/>
      <c r="E120" s="2"/>
      <c r="F120" s="2"/>
      <c r="G120" s="2"/>
      <c r="H120" s="2"/>
      <c r="I120" s="2"/>
      <c r="J120" s="2">
        <v>160476.81</v>
      </c>
      <c r="K120" s="2"/>
      <c r="L120" s="2">
        <v>160476.81</v>
      </c>
    </row>
    <row r="121" spans="2:12">
      <c r="B121">
        <v>202503</v>
      </c>
      <c r="C121" s="2"/>
      <c r="D121" s="2"/>
      <c r="E121" s="2"/>
      <c r="F121" s="2"/>
      <c r="G121" s="2"/>
      <c r="H121" s="2"/>
      <c r="I121" s="2"/>
      <c r="J121" s="2">
        <v>127839.59</v>
      </c>
      <c r="K121" s="2"/>
      <c r="L121" s="2">
        <v>127839.59</v>
      </c>
    </row>
    <row r="122" spans="2:12">
      <c r="B122">
        <v>202504</v>
      </c>
      <c r="C122" s="2"/>
      <c r="D122" s="2"/>
      <c r="E122" s="2"/>
      <c r="F122" s="2"/>
      <c r="G122" s="2"/>
      <c r="H122" s="2"/>
      <c r="I122" s="2"/>
      <c r="J122" s="2">
        <v>100477.83</v>
      </c>
      <c r="K122" s="2"/>
      <c r="L122" s="2">
        <v>100477.83</v>
      </c>
    </row>
    <row r="123" spans="2:12">
      <c r="B123">
        <v>202505</v>
      </c>
      <c r="C123" s="2"/>
      <c r="D123" s="2"/>
      <c r="E123" s="2"/>
      <c r="F123" s="2"/>
      <c r="G123" s="2"/>
      <c r="H123" s="2"/>
      <c r="I123" s="2"/>
      <c r="J123" s="2">
        <v>72698.75</v>
      </c>
      <c r="K123" s="2"/>
      <c r="L123" s="2">
        <v>72698.75</v>
      </c>
    </row>
    <row r="124" spans="2:12">
      <c r="B124">
        <v>202506</v>
      </c>
      <c r="C124" s="2"/>
      <c r="D124" s="2"/>
      <c r="E124" s="2"/>
      <c r="F124" s="2"/>
      <c r="G124" s="2"/>
      <c r="H124" s="2"/>
      <c r="I124" s="2"/>
      <c r="J124" s="2">
        <v>56614.03</v>
      </c>
      <c r="K124" s="2"/>
      <c r="L124" s="2">
        <v>56614.03</v>
      </c>
    </row>
    <row r="125" spans="2:12">
      <c r="B125">
        <v>202507</v>
      </c>
      <c r="C125" s="2"/>
      <c r="D125" s="2"/>
      <c r="E125" s="2"/>
      <c r="F125" s="2"/>
      <c r="G125" s="2"/>
      <c r="H125" s="2"/>
      <c r="I125" s="2"/>
      <c r="J125" s="2">
        <v>107505.73</v>
      </c>
      <c r="K125" s="2"/>
      <c r="L125" s="2">
        <v>107505.73</v>
      </c>
    </row>
    <row r="126" spans="2:12">
      <c r="B126">
        <v>202508</v>
      </c>
      <c r="C126" s="2"/>
      <c r="D126" s="2"/>
      <c r="E126" s="2"/>
      <c r="F126" s="2"/>
      <c r="G126" s="2"/>
      <c r="H126" s="2"/>
      <c r="I126" s="2"/>
      <c r="J126" s="2">
        <v>234391.31</v>
      </c>
      <c r="K126" s="2"/>
      <c r="L126" s="2">
        <v>234391.31</v>
      </c>
    </row>
    <row r="127" spans="2:12">
      <c r="B127">
        <v>202509</v>
      </c>
      <c r="C127" s="2"/>
      <c r="D127" s="2"/>
      <c r="E127" s="2"/>
      <c r="F127" s="2"/>
      <c r="G127" s="2"/>
      <c r="H127" s="2"/>
      <c r="I127" s="2"/>
      <c r="J127" s="2">
        <v>234162.37</v>
      </c>
      <c r="K127" s="2"/>
      <c r="L127" s="2">
        <v>234162.37</v>
      </c>
    </row>
    <row r="128" spans="2:12">
      <c r="B128">
        <v>202510</v>
      </c>
      <c r="C128" s="2"/>
      <c r="D128" s="2"/>
      <c r="E128" s="2"/>
      <c r="F128" s="2"/>
      <c r="G128" s="2"/>
      <c r="H128" s="2"/>
      <c r="I128" s="2"/>
      <c r="J128" s="2">
        <v>187484.32</v>
      </c>
      <c r="K128" s="2"/>
      <c r="L128" s="2">
        <v>187484.32</v>
      </c>
    </row>
    <row r="129" spans="2:12">
      <c r="B129">
        <v>202511</v>
      </c>
      <c r="C129" s="2"/>
      <c r="D129" s="2"/>
      <c r="E129" s="2"/>
      <c r="F129" s="2"/>
      <c r="G129" s="2"/>
      <c r="H129" s="2"/>
      <c r="I129" s="2"/>
      <c r="J129" s="2">
        <v>338149.5</v>
      </c>
      <c r="K129" s="2"/>
      <c r="L129" s="2">
        <v>338149.5</v>
      </c>
    </row>
    <row r="130" spans="2:12">
      <c r="B130">
        <v>202512</v>
      </c>
      <c r="C130" s="2"/>
      <c r="D130" s="2"/>
      <c r="E130" s="2"/>
      <c r="F130" s="2"/>
      <c r="G130" s="2"/>
      <c r="H130" s="2"/>
      <c r="I130" s="2"/>
      <c r="J130" s="2">
        <v>171286.37</v>
      </c>
      <c r="K130" s="2"/>
      <c r="L130" s="2">
        <v>171286.37</v>
      </c>
    </row>
    <row r="131" spans="2:12">
      <c r="B131">
        <v>202601</v>
      </c>
      <c r="C131" s="2"/>
      <c r="D131" s="2"/>
      <c r="E131" s="2"/>
      <c r="F131" s="2"/>
      <c r="G131" s="2"/>
      <c r="H131" s="2"/>
      <c r="I131" s="2"/>
      <c r="J131" s="2">
        <v>70851.899999999994</v>
      </c>
      <c r="K131" s="2"/>
      <c r="L131" s="2">
        <v>70851.899999999994</v>
      </c>
    </row>
    <row r="132" spans="2:12">
      <c r="B132">
        <v>201803</v>
      </c>
      <c r="C132" s="2"/>
      <c r="D132" s="2"/>
      <c r="E132" s="2"/>
      <c r="F132" s="2"/>
      <c r="G132" s="2"/>
      <c r="H132" s="2"/>
      <c r="I132" s="2"/>
      <c r="J132" s="2"/>
      <c r="K132" s="2">
        <v>802438.52</v>
      </c>
      <c r="L132" s="2">
        <v>802438.52</v>
      </c>
    </row>
    <row r="133" spans="2:12">
      <c r="B133">
        <v>201804</v>
      </c>
      <c r="C133" s="2"/>
      <c r="D133" s="2"/>
      <c r="E133" s="2"/>
      <c r="F133" s="2"/>
      <c r="G133" s="2"/>
      <c r="H133" s="2"/>
      <c r="I133" s="2"/>
      <c r="J133" s="2"/>
      <c r="K133" s="2">
        <v>159643.56</v>
      </c>
      <c r="L133" s="2">
        <v>159643.56</v>
      </c>
    </row>
    <row r="134" spans="2:12">
      <c r="B134">
        <v>201805</v>
      </c>
      <c r="C134" s="2"/>
      <c r="D134" s="2"/>
      <c r="E134" s="2"/>
      <c r="F134" s="2"/>
      <c r="G134" s="2"/>
      <c r="H134" s="2"/>
      <c r="I134" s="2"/>
      <c r="J134" s="2"/>
      <c r="K134" s="2">
        <v>301546.87</v>
      </c>
      <c r="L134" s="2">
        <v>301546.87</v>
      </c>
    </row>
    <row r="135" spans="2:12">
      <c r="B135">
        <v>201806</v>
      </c>
      <c r="C135" s="2"/>
      <c r="D135" s="2"/>
      <c r="E135" s="2"/>
      <c r="F135" s="2"/>
      <c r="G135" s="2"/>
      <c r="H135" s="2"/>
      <c r="I135" s="2"/>
      <c r="J135" s="2"/>
      <c r="K135" s="2">
        <v>186398.46</v>
      </c>
      <c r="L135" s="2">
        <v>186398.46</v>
      </c>
    </row>
    <row r="136" spans="2:12">
      <c r="B136">
        <v>201807</v>
      </c>
      <c r="C136" s="2"/>
      <c r="D136" s="2"/>
      <c r="E136" s="2"/>
      <c r="F136" s="2"/>
      <c r="G136" s="2"/>
      <c r="H136" s="2"/>
      <c r="I136" s="2"/>
      <c r="J136" s="2"/>
      <c r="K136" s="2">
        <v>254307.01</v>
      </c>
      <c r="L136" s="2">
        <v>254307.01</v>
      </c>
    </row>
    <row r="137" spans="2:12">
      <c r="B137">
        <v>201808</v>
      </c>
      <c r="C137" s="2"/>
      <c r="D137" s="2"/>
      <c r="E137" s="2"/>
      <c r="F137" s="2"/>
      <c r="G137" s="2"/>
      <c r="H137" s="2"/>
      <c r="I137" s="2"/>
      <c r="J137" s="2"/>
      <c r="K137" s="2">
        <v>70881.39</v>
      </c>
      <c r="L137" s="2">
        <v>70881.39</v>
      </c>
    </row>
    <row r="138" spans="2:12">
      <c r="B138">
        <v>201809</v>
      </c>
      <c r="C138" s="2"/>
      <c r="D138" s="2"/>
      <c r="E138" s="2"/>
      <c r="F138" s="2"/>
      <c r="G138" s="2"/>
      <c r="H138" s="2"/>
      <c r="I138" s="2"/>
      <c r="J138" s="2"/>
      <c r="K138" s="2">
        <v>169633.29</v>
      </c>
      <c r="L138" s="2">
        <v>169633.29</v>
      </c>
    </row>
    <row r="139" spans="2:12">
      <c r="B139">
        <v>201810</v>
      </c>
      <c r="C139" s="2"/>
      <c r="D139" s="2"/>
      <c r="E139" s="2"/>
      <c r="F139" s="2"/>
      <c r="G139" s="2"/>
      <c r="H139" s="2"/>
      <c r="I139" s="2"/>
      <c r="J139" s="2"/>
      <c r="K139" s="2">
        <v>236019.58</v>
      </c>
      <c r="L139" s="2">
        <v>236019.58</v>
      </c>
    </row>
    <row r="140" spans="2:12">
      <c r="B140">
        <v>201811</v>
      </c>
      <c r="C140" s="2"/>
      <c r="D140" s="2"/>
      <c r="E140" s="2"/>
      <c r="F140" s="2"/>
      <c r="G140" s="2"/>
      <c r="H140" s="2"/>
      <c r="I140" s="2"/>
      <c r="J140" s="2"/>
      <c r="K140" s="2">
        <v>185030.5</v>
      </c>
      <c r="L140" s="2">
        <v>185030.5</v>
      </c>
    </row>
    <row r="141" spans="2:12">
      <c r="B141">
        <v>201812</v>
      </c>
      <c r="C141" s="2"/>
      <c r="D141" s="2"/>
      <c r="E141" s="2"/>
      <c r="F141" s="2"/>
      <c r="G141" s="2"/>
      <c r="H141" s="2"/>
      <c r="I141" s="2"/>
      <c r="J141" s="2"/>
      <c r="K141" s="2">
        <v>660980.27</v>
      </c>
      <c r="L141" s="2">
        <v>660980.27</v>
      </c>
    </row>
    <row r="142" spans="2:12">
      <c r="B142">
        <v>201901</v>
      </c>
      <c r="C142" s="2"/>
      <c r="D142" s="2"/>
      <c r="E142" s="2"/>
      <c r="F142" s="2"/>
      <c r="G142" s="2"/>
      <c r="H142" s="2"/>
      <c r="I142" s="2"/>
      <c r="J142" s="2"/>
      <c r="K142" s="2">
        <v>88905.3</v>
      </c>
      <c r="L142" s="2">
        <v>88905.3</v>
      </c>
    </row>
    <row r="143" spans="2:12">
      <c r="B143">
        <v>201902</v>
      </c>
      <c r="C143" s="2"/>
      <c r="D143" s="2"/>
      <c r="E143" s="2"/>
      <c r="F143" s="2"/>
      <c r="G143" s="2"/>
      <c r="H143" s="2"/>
      <c r="I143" s="2"/>
      <c r="J143" s="2"/>
      <c r="K143" s="2">
        <v>80169.91</v>
      </c>
      <c r="L143" s="2">
        <v>80169.91</v>
      </c>
    </row>
    <row r="144" spans="2:12">
      <c r="B144">
        <v>201903</v>
      </c>
      <c r="C144" s="2"/>
      <c r="D144" s="2"/>
      <c r="E144" s="2"/>
      <c r="F144" s="2"/>
      <c r="G144" s="2"/>
      <c r="H144" s="2"/>
      <c r="I144" s="2"/>
      <c r="J144" s="2"/>
      <c r="K144" s="2">
        <v>9143.0499999999993</v>
      </c>
      <c r="L144" s="2">
        <v>9143.0499999999993</v>
      </c>
    </row>
    <row r="145" spans="1:12">
      <c r="B145">
        <v>201904</v>
      </c>
      <c r="C145" s="2"/>
      <c r="D145" s="2"/>
      <c r="E145" s="2"/>
      <c r="F145" s="2"/>
      <c r="G145" s="2"/>
      <c r="H145" s="2"/>
      <c r="I145" s="2"/>
      <c r="J145" s="2"/>
      <c r="K145" s="2">
        <v>3046.48</v>
      </c>
      <c r="L145" s="2">
        <v>3046.48</v>
      </c>
    </row>
    <row r="146" spans="1:12">
      <c r="B146">
        <v>202602</v>
      </c>
      <c r="C146" s="2"/>
      <c r="D146" s="2"/>
      <c r="E146" s="2"/>
      <c r="F146" s="2"/>
      <c r="G146" s="2"/>
      <c r="H146" s="2"/>
      <c r="I146" s="2"/>
      <c r="J146" s="2">
        <v>61627.76</v>
      </c>
      <c r="K146" s="2"/>
      <c r="L146" s="2">
        <v>61627.76</v>
      </c>
    </row>
    <row r="147" spans="1:12">
      <c r="A147" t="s">
        <v>885</v>
      </c>
      <c r="C147" s="2">
        <v>5995105.7300000004</v>
      </c>
      <c r="D147" s="2"/>
      <c r="E147" s="2"/>
      <c r="F147" s="2"/>
      <c r="G147" s="2"/>
      <c r="H147" s="2"/>
      <c r="I147" s="2"/>
      <c r="J147" s="2">
        <v>14979071.689999999</v>
      </c>
      <c r="K147" s="2">
        <v>3208144.19</v>
      </c>
      <c r="L147" s="2">
        <v>24182321.609999999</v>
      </c>
    </row>
    <row r="148" spans="1:12">
      <c r="A148" t="s">
        <v>129</v>
      </c>
      <c r="C148" s="2">
        <v>5999446.8800000008</v>
      </c>
      <c r="D148" s="2">
        <v>12136663.91</v>
      </c>
      <c r="E148" s="2">
        <v>7553853.1299999999</v>
      </c>
      <c r="F148" s="2">
        <v>13456312.860000003</v>
      </c>
      <c r="G148" s="2">
        <v>6724375.75</v>
      </c>
      <c r="H148" s="2">
        <v>4671285.59</v>
      </c>
      <c r="I148" s="2">
        <v>18386869.050000001</v>
      </c>
      <c r="J148" s="2">
        <v>17902644.160000004</v>
      </c>
      <c r="K148" s="2">
        <v>3208144.19</v>
      </c>
      <c r="L148" s="2">
        <v>90039595.520000011</v>
      </c>
    </row>
  </sheetData>
  <pageMargins left="0.7" right="0.7" top="0.75" bottom="0.75" header="0.3" footer="0.3"/>
  <pageSetup paperSize="0" orientation="portrait" horizontalDpi="0" verticalDpi="0" copies="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96781-8D22-46B0-B729-C7A3520FB76F}">
  <dimension ref="A1:H191"/>
  <sheetViews>
    <sheetView workbookViewId="0">
      <pane ySplit="1" topLeftCell="A2" activePane="bottomLeft" state="frozen"/>
      <selection activeCell="L246" sqref="L246"/>
      <selection pane="bottomLeft" activeCell="L246" sqref="L246"/>
    </sheetView>
  </sheetViews>
  <sheetFormatPr defaultRowHeight="15"/>
  <cols>
    <col min="1" max="1" width="21.42578125" style="188" bestFit="1" customWidth="1"/>
    <col min="2" max="2" width="25" style="188" bestFit="1" customWidth="1"/>
    <col min="3" max="3" width="34.5703125" style="188" bestFit="1" customWidth="1"/>
    <col min="4" max="4" width="23.28515625" style="188" bestFit="1" customWidth="1"/>
    <col min="5" max="5" width="18.85546875" style="188" bestFit="1" customWidth="1"/>
    <col min="6" max="6" width="9.85546875" style="188" bestFit="1" customWidth="1"/>
    <col min="7" max="7" width="14.85546875" bestFit="1" customWidth="1"/>
    <col min="8" max="8" width="14.5703125" style="1" bestFit="1" customWidth="1"/>
  </cols>
  <sheetData>
    <row r="1" spans="1:8" s="4" customFormat="1" ht="30.75" thickBot="1">
      <c r="A1" s="186" t="s">
        <v>886</v>
      </c>
      <c r="B1" s="186" t="s">
        <v>887</v>
      </c>
      <c r="C1" s="186" t="s">
        <v>879</v>
      </c>
      <c r="D1" s="186" t="s">
        <v>888</v>
      </c>
      <c r="E1" s="187" t="s">
        <v>878</v>
      </c>
      <c r="F1" s="186" t="s">
        <v>875</v>
      </c>
      <c r="G1" s="166" t="s">
        <v>880</v>
      </c>
      <c r="H1" s="270" t="s">
        <v>889</v>
      </c>
    </row>
    <row r="2" spans="1:8">
      <c r="A2" s="188" t="s">
        <v>890</v>
      </c>
      <c r="B2" s="188" t="s">
        <v>891</v>
      </c>
      <c r="C2" s="188" t="s">
        <v>884</v>
      </c>
      <c r="D2" s="188" t="s">
        <v>892</v>
      </c>
      <c r="E2" s="188" t="s">
        <v>814</v>
      </c>
      <c r="F2" s="188" t="s">
        <v>893</v>
      </c>
      <c r="G2">
        <v>201908</v>
      </c>
      <c r="H2" s="1">
        <v>5995105.7300000004</v>
      </c>
    </row>
    <row r="3" spans="1:8">
      <c r="A3" s="188" t="s">
        <v>890</v>
      </c>
      <c r="B3" s="188" t="s">
        <v>891</v>
      </c>
      <c r="C3" s="188" t="s">
        <v>882</v>
      </c>
      <c r="D3" s="188" t="s">
        <v>894</v>
      </c>
      <c r="E3" s="188" t="s">
        <v>814</v>
      </c>
      <c r="F3" s="188" t="s">
        <v>895</v>
      </c>
      <c r="G3">
        <v>202002</v>
      </c>
      <c r="H3" s="1">
        <v>4341.1499999999996</v>
      </c>
    </row>
    <row r="4" spans="1:8">
      <c r="A4" s="188" t="s">
        <v>890</v>
      </c>
      <c r="B4" s="188" t="s">
        <v>891</v>
      </c>
      <c r="C4" s="188" t="s">
        <v>882</v>
      </c>
      <c r="D4" s="188" t="s">
        <v>894</v>
      </c>
      <c r="E4" s="188" t="s">
        <v>815</v>
      </c>
      <c r="F4" s="188" t="s">
        <v>896</v>
      </c>
      <c r="G4">
        <v>202002</v>
      </c>
      <c r="H4" s="1">
        <v>12113028.140000001</v>
      </c>
    </row>
    <row r="5" spans="1:8">
      <c r="A5" s="188" t="s">
        <v>890</v>
      </c>
      <c r="B5" s="188" t="s">
        <v>891</v>
      </c>
      <c r="C5" s="188" t="s">
        <v>882</v>
      </c>
      <c r="D5" s="188" t="s">
        <v>894</v>
      </c>
      <c r="E5" s="188" t="s">
        <v>815</v>
      </c>
      <c r="F5" s="188" t="s">
        <v>896</v>
      </c>
      <c r="G5">
        <v>202003</v>
      </c>
      <c r="H5" s="1">
        <v>6822.86</v>
      </c>
    </row>
    <row r="6" spans="1:8">
      <c r="A6" s="188" t="s">
        <v>890</v>
      </c>
      <c r="B6" s="188" t="s">
        <v>891</v>
      </c>
      <c r="C6" s="188" t="s">
        <v>882</v>
      </c>
      <c r="D6" s="188" t="s">
        <v>894</v>
      </c>
      <c r="E6" s="188" t="s">
        <v>815</v>
      </c>
      <c r="F6" s="188" t="s">
        <v>896</v>
      </c>
      <c r="G6">
        <v>202004</v>
      </c>
      <c r="H6" s="1">
        <v>-33688.76</v>
      </c>
    </row>
    <row r="7" spans="1:8">
      <c r="A7" s="188" t="s">
        <v>890</v>
      </c>
      <c r="B7" s="188" t="s">
        <v>891</v>
      </c>
      <c r="C7" s="188" t="s">
        <v>882</v>
      </c>
      <c r="D7" s="188" t="s">
        <v>894</v>
      </c>
      <c r="E7" s="188" t="s">
        <v>815</v>
      </c>
      <c r="F7" s="188" t="s">
        <v>896</v>
      </c>
      <c r="G7">
        <v>202005</v>
      </c>
      <c r="H7" s="1">
        <v>10461.24</v>
      </c>
    </row>
    <row r="8" spans="1:8">
      <c r="A8" s="188" t="s">
        <v>890</v>
      </c>
      <c r="B8" s="188" t="s">
        <v>891</v>
      </c>
      <c r="C8" s="188" t="s">
        <v>882</v>
      </c>
      <c r="D8" s="188" t="s">
        <v>894</v>
      </c>
      <c r="E8" s="188" t="s">
        <v>815</v>
      </c>
      <c r="F8" s="188" t="s">
        <v>896</v>
      </c>
      <c r="G8">
        <v>202006</v>
      </c>
      <c r="H8" s="1">
        <v>15542.7</v>
      </c>
    </row>
    <row r="9" spans="1:8">
      <c r="A9" s="188" t="s">
        <v>890</v>
      </c>
      <c r="B9" s="188" t="s">
        <v>891</v>
      </c>
      <c r="C9" s="188" t="s">
        <v>882</v>
      </c>
      <c r="D9" s="188" t="s">
        <v>894</v>
      </c>
      <c r="E9" s="188" t="s">
        <v>815</v>
      </c>
      <c r="F9" s="188" t="s">
        <v>896</v>
      </c>
      <c r="G9">
        <v>202007</v>
      </c>
      <c r="H9" s="1">
        <v>13714.82</v>
      </c>
    </row>
    <row r="10" spans="1:8">
      <c r="A10" s="188" t="s">
        <v>890</v>
      </c>
      <c r="B10" s="188" t="s">
        <v>891</v>
      </c>
      <c r="C10" s="188" t="s">
        <v>882</v>
      </c>
      <c r="D10" s="188" t="s">
        <v>894</v>
      </c>
      <c r="E10" s="188" t="s">
        <v>815</v>
      </c>
      <c r="F10" s="188" t="s">
        <v>896</v>
      </c>
      <c r="G10">
        <v>202008</v>
      </c>
      <c r="H10" s="1">
        <v>11791.51</v>
      </c>
    </row>
    <row r="11" spans="1:8">
      <c r="A11" s="188" t="s">
        <v>890</v>
      </c>
      <c r="B11" s="188" t="s">
        <v>891</v>
      </c>
      <c r="C11" s="188" t="s">
        <v>882</v>
      </c>
      <c r="D11" s="188" t="s">
        <v>894</v>
      </c>
      <c r="E11" s="188" t="s">
        <v>815</v>
      </c>
      <c r="F11" s="188" t="s">
        <v>896</v>
      </c>
      <c r="G11">
        <v>202009</v>
      </c>
      <c r="H11" s="1">
        <v>1008.6</v>
      </c>
    </row>
    <row r="12" spans="1:8">
      <c r="A12" s="188" t="s">
        <v>890</v>
      </c>
      <c r="B12" s="188" t="s">
        <v>891</v>
      </c>
      <c r="C12" s="188" t="s">
        <v>882</v>
      </c>
      <c r="D12" s="188" t="s">
        <v>894</v>
      </c>
      <c r="E12" s="188" t="s">
        <v>815</v>
      </c>
      <c r="F12" s="188" t="s">
        <v>896</v>
      </c>
      <c r="G12">
        <v>202010</v>
      </c>
      <c r="H12" s="1">
        <v>-2017.2</v>
      </c>
    </row>
    <row r="13" spans="1:8">
      <c r="A13" s="188" t="s">
        <v>890</v>
      </c>
      <c r="B13" s="188" t="s">
        <v>891</v>
      </c>
      <c r="C13" s="188" t="s">
        <v>882</v>
      </c>
      <c r="D13" s="188" t="s">
        <v>894</v>
      </c>
      <c r="E13" s="188" t="s">
        <v>815</v>
      </c>
      <c r="F13" s="188" t="s">
        <v>896</v>
      </c>
      <c r="G13">
        <v>202201</v>
      </c>
      <c r="H13" s="1">
        <v>0</v>
      </c>
    </row>
    <row r="14" spans="1:8">
      <c r="A14" s="188" t="s">
        <v>890</v>
      </c>
      <c r="B14" s="188" t="s">
        <v>891</v>
      </c>
      <c r="C14" s="188" t="s">
        <v>882</v>
      </c>
      <c r="D14" s="188" t="s">
        <v>894</v>
      </c>
      <c r="E14" s="188" t="s">
        <v>816</v>
      </c>
      <c r="F14" s="188" t="s">
        <v>897</v>
      </c>
      <c r="G14">
        <v>202102</v>
      </c>
      <c r="H14" s="1">
        <v>7554373.8700000001</v>
      </c>
    </row>
    <row r="15" spans="1:8">
      <c r="A15" s="188" t="s">
        <v>890</v>
      </c>
      <c r="B15" s="188" t="s">
        <v>891</v>
      </c>
      <c r="C15" s="188" t="s">
        <v>882</v>
      </c>
      <c r="D15" s="188" t="s">
        <v>894</v>
      </c>
      <c r="E15" s="188" t="s">
        <v>816</v>
      </c>
      <c r="F15" s="188" t="s">
        <v>897</v>
      </c>
      <c r="G15">
        <v>202103</v>
      </c>
      <c r="H15" s="1">
        <v>72668.34</v>
      </c>
    </row>
    <row r="16" spans="1:8">
      <c r="A16" s="188" t="s">
        <v>890</v>
      </c>
      <c r="B16" s="188" t="s">
        <v>891</v>
      </c>
      <c r="C16" s="188" t="s">
        <v>882</v>
      </c>
      <c r="D16" s="188" t="s">
        <v>894</v>
      </c>
      <c r="E16" s="188" t="s">
        <v>816</v>
      </c>
      <c r="F16" s="188" t="s">
        <v>897</v>
      </c>
      <c r="G16">
        <v>202104</v>
      </c>
      <c r="H16" s="1">
        <v>18919.54</v>
      </c>
    </row>
    <row r="17" spans="1:8">
      <c r="A17" s="188" t="s">
        <v>890</v>
      </c>
      <c r="B17" s="188" t="s">
        <v>891</v>
      </c>
      <c r="C17" s="188" t="s">
        <v>882</v>
      </c>
      <c r="D17" s="188" t="s">
        <v>894</v>
      </c>
      <c r="E17" s="188" t="s">
        <v>816</v>
      </c>
      <c r="F17" s="188" t="s">
        <v>897</v>
      </c>
      <c r="G17">
        <v>202105</v>
      </c>
      <c r="H17" s="1">
        <v>-4042.42</v>
      </c>
    </row>
    <row r="18" spans="1:8">
      <c r="A18" s="188" t="s">
        <v>890</v>
      </c>
      <c r="B18" s="188" t="s">
        <v>891</v>
      </c>
      <c r="C18" s="188" t="s">
        <v>882</v>
      </c>
      <c r="D18" s="188" t="s">
        <v>894</v>
      </c>
      <c r="E18" s="188" t="s">
        <v>816</v>
      </c>
      <c r="F18" s="188" t="s">
        <v>897</v>
      </c>
      <c r="G18">
        <v>202106</v>
      </c>
      <c r="H18" s="1">
        <v>-88066.2</v>
      </c>
    </row>
    <row r="19" spans="1:8">
      <c r="A19" s="188" t="s">
        <v>890</v>
      </c>
      <c r="B19" s="188" t="s">
        <v>891</v>
      </c>
      <c r="C19" s="188" t="s">
        <v>882</v>
      </c>
      <c r="D19" s="188" t="s">
        <v>894</v>
      </c>
      <c r="E19" s="188" t="s">
        <v>817</v>
      </c>
      <c r="F19" s="188" t="s">
        <v>898</v>
      </c>
      <c r="G19">
        <v>202202</v>
      </c>
      <c r="H19" s="1">
        <v>6836837.1900000004</v>
      </c>
    </row>
    <row r="20" spans="1:8">
      <c r="A20" s="188" t="s">
        <v>890</v>
      </c>
      <c r="B20" s="188" t="s">
        <v>891</v>
      </c>
      <c r="C20" s="188" t="s">
        <v>882</v>
      </c>
      <c r="D20" s="188" t="s">
        <v>894</v>
      </c>
      <c r="E20" s="188" t="s">
        <v>817</v>
      </c>
      <c r="F20" s="188" t="s">
        <v>898</v>
      </c>
      <c r="G20">
        <v>202203</v>
      </c>
      <c r="H20" s="1">
        <v>5164.07</v>
      </c>
    </row>
    <row r="21" spans="1:8">
      <c r="A21" s="188" t="s">
        <v>890</v>
      </c>
      <c r="B21" s="188" t="s">
        <v>891</v>
      </c>
      <c r="C21" s="188" t="s">
        <v>882</v>
      </c>
      <c r="D21" s="188" t="s">
        <v>894</v>
      </c>
      <c r="E21" s="188" t="s">
        <v>817</v>
      </c>
      <c r="F21" s="188" t="s">
        <v>898</v>
      </c>
      <c r="G21">
        <v>202204</v>
      </c>
      <c r="H21" s="1">
        <v>4112.7</v>
      </c>
    </row>
    <row r="22" spans="1:8">
      <c r="A22" s="188" t="s">
        <v>890</v>
      </c>
      <c r="B22" s="188" t="s">
        <v>891</v>
      </c>
      <c r="C22" s="188" t="s">
        <v>882</v>
      </c>
      <c r="D22" s="188" t="s">
        <v>894</v>
      </c>
      <c r="E22" s="188" t="s">
        <v>817</v>
      </c>
      <c r="F22" s="188" t="s">
        <v>898</v>
      </c>
      <c r="G22">
        <v>202205</v>
      </c>
      <c r="H22" s="1">
        <v>4243.2700000000004</v>
      </c>
    </row>
    <row r="23" spans="1:8">
      <c r="A23" s="188" t="s">
        <v>890</v>
      </c>
      <c r="B23" s="188" t="s">
        <v>891</v>
      </c>
      <c r="C23" s="188" t="s">
        <v>882</v>
      </c>
      <c r="D23" s="188" t="s">
        <v>894</v>
      </c>
      <c r="E23" s="188" t="s">
        <v>817</v>
      </c>
      <c r="F23" s="188" t="s">
        <v>898</v>
      </c>
      <c r="G23">
        <v>202206</v>
      </c>
      <c r="H23" s="1">
        <v>5048.6400000000003</v>
      </c>
    </row>
    <row r="24" spans="1:8">
      <c r="A24" s="188" t="s">
        <v>890</v>
      </c>
      <c r="B24" s="188" t="s">
        <v>891</v>
      </c>
      <c r="C24" s="188" t="s">
        <v>882</v>
      </c>
      <c r="D24" s="188" t="s">
        <v>894</v>
      </c>
      <c r="E24" s="188" t="s">
        <v>817</v>
      </c>
      <c r="F24" s="188" t="s">
        <v>898</v>
      </c>
      <c r="G24">
        <v>202207</v>
      </c>
      <c r="H24" s="1">
        <v>5596.25</v>
      </c>
    </row>
    <row r="25" spans="1:8">
      <c r="A25" s="188" t="s">
        <v>890</v>
      </c>
      <c r="B25" s="188" t="s">
        <v>891</v>
      </c>
      <c r="C25" s="188" t="s">
        <v>882</v>
      </c>
      <c r="D25" s="188" t="s">
        <v>894</v>
      </c>
      <c r="E25" s="188" t="s">
        <v>817</v>
      </c>
      <c r="F25" s="188" t="s">
        <v>898</v>
      </c>
      <c r="G25">
        <v>202208</v>
      </c>
      <c r="H25" s="1">
        <v>2941.37</v>
      </c>
    </row>
    <row r="26" spans="1:8">
      <c r="A26" s="188" t="s">
        <v>890</v>
      </c>
      <c r="B26" s="188" t="s">
        <v>891</v>
      </c>
      <c r="C26" s="188" t="s">
        <v>882</v>
      </c>
      <c r="D26" s="188" t="s">
        <v>894</v>
      </c>
      <c r="E26" s="188" t="s">
        <v>817</v>
      </c>
      <c r="F26" s="188" t="s">
        <v>898</v>
      </c>
      <c r="G26">
        <v>202209</v>
      </c>
      <c r="H26" s="1">
        <v>3672.33</v>
      </c>
    </row>
    <row r="27" spans="1:8">
      <c r="A27" s="188" t="s">
        <v>890</v>
      </c>
      <c r="B27" s="188" t="s">
        <v>891</v>
      </c>
      <c r="C27" s="188" t="s">
        <v>882</v>
      </c>
      <c r="D27" s="188" t="s">
        <v>894</v>
      </c>
      <c r="E27" s="188" t="s">
        <v>817</v>
      </c>
      <c r="F27" s="188" t="s">
        <v>898</v>
      </c>
      <c r="G27">
        <v>202210</v>
      </c>
      <c r="H27" s="1">
        <v>4748.74</v>
      </c>
    </row>
    <row r="28" spans="1:8">
      <c r="A28" s="188" t="s">
        <v>890</v>
      </c>
      <c r="B28" s="188" t="s">
        <v>891</v>
      </c>
      <c r="C28" s="188" t="s">
        <v>882</v>
      </c>
      <c r="D28" s="188" t="s">
        <v>894</v>
      </c>
      <c r="E28" s="188" t="s">
        <v>817</v>
      </c>
      <c r="F28" s="188" t="s">
        <v>898</v>
      </c>
      <c r="G28">
        <v>202211</v>
      </c>
      <c r="H28" s="1">
        <v>3773.09</v>
      </c>
    </row>
    <row r="29" spans="1:8">
      <c r="A29" s="188" t="s">
        <v>890</v>
      </c>
      <c r="B29" s="188" t="s">
        <v>891</v>
      </c>
      <c r="C29" s="188" t="s">
        <v>882</v>
      </c>
      <c r="D29" s="188" t="s">
        <v>894</v>
      </c>
      <c r="E29" s="188" t="s">
        <v>817</v>
      </c>
      <c r="F29" s="188" t="s">
        <v>898</v>
      </c>
      <c r="G29">
        <v>202212</v>
      </c>
      <c r="H29" s="1">
        <v>5462.88</v>
      </c>
    </row>
    <row r="30" spans="1:8">
      <c r="A30" s="188" t="s">
        <v>890</v>
      </c>
      <c r="B30" s="188" t="s">
        <v>891</v>
      </c>
      <c r="C30" s="188" t="s">
        <v>882</v>
      </c>
      <c r="D30" s="188" t="s">
        <v>894</v>
      </c>
      <c r="E30" s="188" t="s">
        <v>817</v>
      </c>
      <c r="F30" s="188" t="s">
        <v>898</v>
      </c>
      <c r="G30">
        <v>202301</v>
      </c>
      <c r="H30" s="1">
        <v>3647.44</v>
      </c>
    </row>
    <row r="31" spans="1:8">
      <c r="A31" s="188" t="s">
        <v>890</v>
      </c>
      <c r="B31" s="188" t="s">
        <v>891</v>
      </c>
      <c r="C31" s="188" t="s">
        <v>882</v>
      </c>
      <c r="D31" s="188" t="s">
        <v>894</v>
      </c>
      <c r="E31" s="188" t="s">
        <v>817</v>
      </c>
      <c r="F31" s="188" t="s">
        <v>898</v>
      </c>
      <c r="G31">
        <v>202302</v>
      </c>
      <c r="H31" s="1">
        <v>3273.54</v>
      </c>
    </row>
    <row r="32" spans="1:8">
      <c r="A32" s="188" t="s">
        <v>890</v>
      </c>
      <c r="B32" s="188" t="s">
        <v>891</v>
      </c>
      <c r="C32" s="188" t="s">
        <v>882</v>
      </c>
      <c r="D32" s="188" t="s">
        <v>894</v>
      </c>
      <c r="E32" s="188" t="s">
        <v>817</v>
      </c>
      <c r="F32" s="188" t="s">
        <v>898</v>
      </c>
      <c r="G32">
        <v>202303</v>
      </c>
      <c r="H32" s="1">
        <v>3042.37</v>
      </c>
    </row>
    <row r="33" spans="1:8">
      <c r="A33" s="188" t="s">
        <v>890</v>
      </c>
      <c r="B33" s="188" t="s">
        <v>891</v>
      </c>
      <c r="C33" s="188" t="s">
        <v>882</v>
      </c>
      <c r="D33" s="188" t="s">
        <v>894</v>
      </c>
      <c r="E33" s="188" t="s">
        <v>817</v>
      </c>
      <c r="F33" s="188" t="s">
        <v>898</v>
      </c>
      <c r="G33">
        <v>202305</v>
      </c>
      <c r="H33" s="1">
        <v>1700.49</v>
      </c>
    </row>
    <row r="34" spans="1:8">
      <c r="A34" s="188" t="s">
        <v>890</v>
      </c>
      <c r="B34" s="188" t="s">
        <v>891</v>
      </c>
      <c r="C34" s="188" t="s">
        <v>882</v>
      </c>
      <c r="D34" s="188" t="s">
        <v>894</v>
      </c>
      <c r="E34" s="188" t="s">
        <v>817</v>
      </c>
      <c r="F34" s="188" t="s">
        <v>898</v>
      </c>
      <c r="G34">
        <v>202306</v>
      </c>
      <c r="H34" s="1">
        <v>0</v>
      </c>
    </row>
    <row r="35" spans="1:8">
      <c r="A35" s="188" t="s">
        <v>890</v>
      </c>
      <c r="B35" s="188" t="s">
        <v>891</v>
      </c>
      <c r="C35" s="188" t="s">
        <v>882</v>
      </c>
      <c r="D35" s="188" t="s">
        <v>894</v>
      </c>
      <c r="E35" s="188" t="s">
        <v>817</v>
      </c>
      <c r="F35" s="188" t="s">
        <v>899</v>
      </c>
      <c r="G35">
        <v>202301</v>
      </c>
      <c r="H35" s="1">
        <v>7163471.5700000003</v>
      </c>
    </row>
    <row r="36" spans="1:8">
      <c r="A36" s="188" t="s">
        <v>890</v>
      </c>
      <c r="B36" s="188" t="s">
        <v>891</v>
      </c>
      <c r="C36" s="188" t="s">
        <v>882</v>
      </c>
      <c r="D36" s="188" t="s">
        <v>894</v>
      </c>
      <c r="E36" s="188" t="s">
        <v>817</v>
      </c>
      <c r="F36" s="188" t="s">
        <v>899</v>
      </c>
      <c r="G36">
        <v>202302</v>
      </c>
      <c r="H36" s="1">
        <v>693158.68</v>
      </c>
    </row>
    <row r="37" spans="1:8">
      <c r="A37" s="188" t="s">
        <v>890</v>
      </c>
      <c r="B37" s="188" t="s">
        <v>891</v>
      </c>
      <c r="C37" s="188" t="s">
        <v>882</v>
      </c>
      <c r="D37" s="188" t="s">
        <v>894</v>
      </c>
      <c r="E37" s="188" t="s">
        <v>817</v>
      </c>
      <c r="F37" s="188" t="s">
        <v>899</v>
      </c>
      <c r="G37">
        <v>202303</v>
      </c>
      <c r="H37" s="1">
        <v>-717332.47999999998</v>
      </c>
    </row>
    <row r="38" spans="1:8">
      <c r="A38" s="188" t="s">
        <v>890</v>
      </c>
      <c r="B38" s="188" t="s">
        <v>891</v>
      </c>
      <c r="C38" s="188" t="s">
        <v>882</v>
      </c>
      <c r="D38" s="188" t="s">
        <v>894</v>
      </c>
      <c r="E38" s="188" t="s">
        <v>817</v>
      </c>
      <c r="F38" s="188" t="s">
        <v>899</v>
      </c>
      <c r="G38">
        <v>202304</v>
      </c>
      <c r="H38" s="1">
        <v>95752.18</v>
      </c>
    </row>
    <row r="39" spans="1:8">
      <c r="A39" s="188" t="s">
        <v>890</v>
      </c>
      <c r="B39" s="188" t="s">
        <v>891</v>
      </c>
      <c r="C39" s="188" t="s">
        <v>882</v>
      </c>
      <c r="D39" s="188" t="s">
        <v>894</v>
      </c>
      <c r="E39" s="188" t="s">
        <v>817</v>
      </c>
      <c r="F39" s="188" t="s">
        <v>899</v>
      </c>
      <c r="G39">
        <v>202305</v>
      </c>
      <c r="H39" s="1">
        <v>-647954.71</v>
      </c>
    </row>
    <row r="40" spans="1:8">
      <c r="A40" s="188" t="s">
        <v>890</v>
      </c>
      <c r="B40" s="188" t="s">
        <v>891</v>
      </c>
      <c r="C40" s="188" t="s">
        <v>882</v>
      </c>
      <c r="D40" s="188" t="s">
        <v>894</v>
      </c>
      <c r="E40" s="188" t="s">
        <v>817</v>
      </c>
      <c r="F40" s="188" t="s">
        <v>899</v>
      </c>
      <c r="G40">
        <v>202306</v>
      </c>
      <c r="H40" s="1">
        <v>978.53</v>
      </c>
    </row>
    <row r="41" spans="1:8">
      <c r="A41" s="188" t="s">
        <v>890</v>
      </c>
      <c r="B41" s="188" t="s">
        <v>891</v>
      </c>
      <c r="C41" s="188" t="s">
        <v>882</v>
      </c>
      <c r="D41" s="188" t="s">
        <v>894</v>
      </c>
      <c r="E41" s="188" t="s">
        <v>817</v>
      </c>
      <c r="F41" s="188" t="s">
        <v>899</v>
      </c>
      <c r="G41">
        <v>202307</v>
      </c>
      <c r="H41" s="1">
        <v>531.39</v>
      </c>
    </row>
    <row r="42" spans="1:8">
      <c r="A42" s="188" t="s">
        <v>890</v>
      </c>
      <c r="B42" s="188" t="s">
        <v>891</v>
      </c>
      <c r="C42" s="188" t="s">
        <v>882</v>
      </c>
      <c r="D42" s="188" t="s">
        <v>894</v>
      </c>
      <c r="E42" s="188" t="s">
        <v>817</v>
      </c>
      <c r="F42" s="188" t="s">
        <v>899</v>
      </c>
      <c r="G42">
        <v>202308</v>
      </c>
      <c r="H42" s="1">
        <v>358.56</v>
      </c>
    </row>
    <row r="43" spans="1:8">
      <c r="A43" s="188" t="s">
        <v>890</v>
      </c>
      <c r="B43" s="188" t="s">
        <v>891</v>
      </c>
      <c r="C43" s="188" t="s">
        <v>882</v>
      </c>
      <c r="D43" s="188" t="s">
        <v>894</v>
      </c>
      <c r="E43" s="188" t="s">
        <v>817</v>
      </c>
      <c r="F43" s="188" t="s">
        <v>899</v>
      </c>
      <c r="G43">
        <v>202309</v>
      </c>
      <c r="H43" s="1">
        <v>-31608.48</v>
      </c>
    </row>
    <row r="44" spans="1:8">
      <c r="A44" s="188" t="s">
        <v>890</v>
      </c>
      <c r="B44" s="188" t="s">
        <v>891</v>
      </c>
      <c r="C44" s="188" t="s">
        <v>882</v>
      </c>
      <c r="D44" s="188" t="s">
        <v>894</v>
      </c>
      <c r="E44" s="188" t="s">
        <v>817</v>
      </c>
      <c r="F44" s="188" t="s">
        <v>899</v>
      </c>
      <c r="G44">
        <v>202310</v>
      </c>
      <c r="H44" s="1">
        <v>403.3</v>
      </c>
    </row>
    <row r="45" spans="1:8">
      <c r="A45" s="188" t="s">
        <v>890</v>
      </c>
      <c r="B45" s="188" t="s">
        <v>891</v>
      </c>
      <c r="C45" s="188" t="s">
        <v>882</v>
      </c>
      <c r="D45" s="188" t="s">
        <v>894</v>
      </c>
      <c r="E45" s="188" t="s">
        <v>817</v>
      </c>
      <c r="F45" s="188" t="s">
        <v>899</v>
      </c>
      <c r="G45">
        <v>202311</v>
      </c>
      <c r="H45" s="1">
        <v>667.18</v>
      </c>
    </row>
    <row r="46" spans="1:8">
      <c r="A46" s="188" t="s">
        <v>890</v>
      </c>
      <c r="B46" s="188" t="s">
        <v>891</v>
      </c>
      <c r="C46" s="188" t="s">
        <v>882</v>
      </c>
      <c r="D46" s="188" t="s">
        <v>894</v>
      </c>
      <c r="E46" s="188" t="s">
        <v>817</v>
      </c>
      <c r="F46" s="188" t="s">
        <v>899</v>
      </c>
      <c r="G46">
        <v>202312</v>
      </c>
      <c r="H46" s="1">
        <v>914.52</v>
      </c>
    </row>
    <row r="47" spans="1:8">
      <c r="A47" s="188" t="s">
        <v>890</v>
      </c>
      <c r="B47" s="188" t="s">
        <v>891</v>
      </c>
      <c r="C47" s="188" t="s">
        <v>882</v>
      </c>
      <c r="D47" s="188" t="s">
        <v>894</v>
      </c>
      <c r="E47" s="188" t="s">
        <v>817</v>
      </c>
      <c r="F47" s="188" t="s">
        <v>899</v>
      </c>
      <c r="G47">
        <v>202401</v>
      </c>
      <c r="H47" s="1">
        <v>410.96</v>
      </c>
    </row>
    <row r="48" spans="1:8">
      <c r="A48" s="188" t="s">
        <v>890</v>
      </c>
      <c r="B48" s="188" t="s">
        <v>891</v>
      </c>
      <c r="C48" s="188" t="s">
        <v>882</v>
      </c>
      <c r="D48" s="188" t="s">
        <v>894</v>
      </c>
      <c r="E48" s="188" t="s">
        <v>817</v>
      </c>
      <c r="F48" s="188" t="s">
        <v>899</v>
      </c>
      <c r="G48">
        <v>202402</v>
      </c>
      <c r="H48" s="1">
        <v>606.16999999999996</v>
      </c>
    </row>
    <row r="49" spans="1:8">
      <c r="A49" s="188" t="s">
        <v>890</v>
      </c>
      <c r="B49" s="188" t="s">
        <v>891</v>
      </c>
      <c r="C49" s="188" t="s">
        <v>882</v>
      </c>
      <c r="D49" s="188" t="s">
        <v>894</v>
      </c>
      <c r="E49" s="188" t="s">
        <v>817</v>
      </c>
      <c r="F49" s="188" t="s">
        <v>899</v>
      </c>
      <c r="G49">
        <v>202403</v>
      </c>
      <c r="H49" s="1">
        <v>621.13</v>
      </c>
    </row>
    <row r="50" spans="1:8">
      <c r="A50" s="188" t="s">
        <v>890</v>
      </c>
      <c r="B50" s="188" t="s">
        <v>891</v>
      </c>
      <c r="C50" s="188" t="s">
        <v>882</v>
      </c>
      <c r="D50" s="188" t="s">
        <v>894</v>
      </c>
      <c r="E50" s="188" t="s">
        <v>817</v>
      </c>
      <c r="F50" s="188" t="s">
        <v>899</v>
      </c>
      <c r="G50">
        <v>202404</v>
      </c>
      <c r="H50" s="1">
        <v>570.4</v>
      </c>
    </row>
    <row r="51" spans="1:8">
      <c r="A51" s="188" t="s">
        <v>890</v>
      </c>
      <c r="B51" s="188" t="s">
        <v>891</v>
      </c>
      <c r="C51" s="188" t="s">
        <v>882</v>
      </c>
      <c r="D51" s="188" t="s">
        <v>894</v>
      </c>
      <c r="E51" s="188" t="s">
        <v>817</v>
      </c>
      <c r="F51" s="188" t="s">
        <v>899</v>
      </c>
      <c r="G51">
        <v>202405</v>
      </c>
      <c r="H51" s="1">
        <v>835.19</v>
      </c>
    </row>
    <row r="52" spans="1:8">
      <c r="A52" s="188" t="s">
        <v>890</v>
      </c>
      <c r="B52" s="188" t="s">
        <v>891</v>
      </c>
      <c r="C52" s="188" t="s">
        <v>882</v>
      </c>
      <c r="D52" s="188" t="s">
        <v>894</v>
      </c>
      <c r="E52" s="188" t="s">
        <v>817</v>
      </c>
      <c r="F52" s="188" t="s">
        <v>899</v>
      </c>
      <c r="G52">
        <v>202406</v>
      </c>
      <c r="H52" s="1">
        <v>664.4</v>
      </c>
    </row>
    <row r="53" spans="1:8">
      <c r="A53" s="188" t="s">
        <v>890</v>
      </c>
      <c r="B53" s="188" t="s">
        <v>891</v>
      </c>
      <c r="C53" s="188" t="s">
        <v>882</v>
      </c>
      <c r="D53" s="188" t="s">
        <v>894</v>
      </c>
      <c r="E53" s="188" t="s">
        <v>817</v>
      </c>
      <c r="F53" s="188" t="s">
        <v>899</v>
      </c>
      <c r="G53">
        <v>202407</v>
      </c>
      <c r="H53" s="1">
        <v>0</v>
      </c>
    </row>
    <row r="54" spans="1:8">
      <c r="A54" s="188" t="s">
        <v>890</v>
      </c>
      <c r="B54" s="188" t="s">
        <v>891</v>
      </c>
      <c r="C54" s="188" t="s">
        <v>882</v>
      </c>
      <c r="D54" s="188" t="s">
        <v>894</v>
      </c>
      <c r="E54" s="188" t="s">
        <v>818</v>
      </c>
      <c r="F54" s="188" t="s">
        <v>900</v>
      </c>
      <c r="G54">
        <v>202401</v>
      </c>
      <c r="H54" s="1">
        <v>6726022.79</v>
      </c>
    </row>
    <row r="55" spans="1:8">
      <c r="A55" s="188" t="s">
        <v>890</v>
      </c>
      <c r="B55" s="188" t="s">
        <v>891</v>
      </c>
      <c r="C55" s="188" t="s">
        <v>882</v>
      </c>
      <c r="D55" s="188" t="s">
        <v>894</v>
      </c>
      <c r="E55" s="188" t="s">
        <v>818</v>
      </c>
      <c r="F55" s="188" t="s">
        <v>900</v>
      </c>
      <c r="G55">
        <v>202402</v>
      </c>
      <c r="H55" s="1">
        <v>47404.82</v>
      </c>
    </row>
    <row r="56" spans="1:8">
      <c r="A56" s="188" t="s">
        <v>890</v>
      </c>
      <c r="B56" s="188" t="s">
        <v>891</v>
      </c>
      <c r="C56" s="188" t="s">
        <v>882</v>
      </c>
      <c r="D56" s="188" t="s">
        <v>894</v>
      </c>
      <c r="E56" s="188" t="s">
        <v>818</v>
      </c>
      <c r="F56" s="188" t="s">
        <v>900</v>
      </c>
      <c r="G56">
        <v>202403</v>
      </c>
      <c r="H56" s="1">
        <v>-30654.57</v>
      </c>
    </row>
    <row r="57" spans="1:8">
      <c r="A57" s="188" t="s">
        <v>890</v>
      </c>
      <c r="B57" s="188" t="s">
        <v>891</v>
      </c>
      <c r="C57" s="188" t="s">
        <v>882</v>
      </c>
      <c r="D57" s="188" t="s">
        <v>894</v>
      </c>
      <c r="E57" s="188" t="s">
        <v>818</v>
      </c>
      <c r="F57" s="188" t="s">
        <v>900</v>
      </c>
      <c r="G57">
        <v>202404</v>
      </c>
      <c r="H57" s="1">
        <v>-32552.23</v>
      </c>
    </row>
    <row r="58" spans="1:8">
      <c r="A58" s="188" t="s">
        <v>890</v>
      </c>
      <c r="B58" s="188" t="s">
        <v>891</v>
      </c>
      <c r="C58" s="188" t="s">
        <v>882</v>
      </c>
      <c r="D58" s="188" t="s">
        <v>894</v>
      </c>
      <c r="E58" s="188" t="s">
        <v>818</v>
      </c>
      <c r="F58" s="188" t="s">
        <v>900</v>
      </c>
      <c r="G58">
        <v>202405</v>
      </c>
      <c r="H58" s="1">
        <v>56864.9</v>
      </c>
    </row>
    <row r="59" spans="1:8">
      <c r="A59" s="188" t="s">
        <v>890</v>
      </c>
      <c r="B59" s="188" t="s">
        <v>891</v>
      </c>
      <c r="C59" s="188" t="s">
        <v>882</v>
      </c>
      <c r="D59" s="188" t="s">
        <v>894</v>
      </c>
      <c r="E59" s="188" t="s">
        <v>818</v>
      </c>
      <c r="F59" s="188" t="s">
        <v>900</v>
      </c>
      <c r="G59">
        <v>202406</v>
      </c>
      <c r="H59" s="1">
        <v>-50998.45</v>
      </c>
    </row>
    <row r="60" spans="1:8">
      <c r="A60" s="188" t="s">
        <v>890</v>
      </c>
      <c r="B60" s="188" t="s">
        <v>891</v>
      </c>
      <c r="C60" s="188" t="s">
        <v>882</v>
      </c>
      <c r="D60" s="188" t="s">
        <v>894</v>
      </c>
      <c r="E60" s="188" t="s">
        <v>818</v>
      </c>
      <c r="F60" s="188" t="s">
        <v>900</v>
      </c>
      <c r="G60">
        <v>202407</v>
      </c>
      <c r="H60" s="1">
        <v>-604.6</v>
      </c>
    </row>
    <row r="61" spans="1:8">
      <c r="A61" s="188" t="s">
        <v>890</v>
      </c>
      <c r="B61" s="188" t="s">
        <v>891</v>
      </c>
      <c r="C61" s="188" t="s">
        <v>882</v>
      </c>
      <c r="D61" s="188" t="s">
        <v>894</v>
      </c>
      <c r="E61" s="188" t="s">
        <v>818</v>
      </c>
      <c r="F61" s="188" t="s">
        <v>900</v>
      </c>
      <c r="G61">
        <v>202408</v>
      </c>
      <c r="H61" s="1">
        <v>18344.349999999999</v>
      </c>
    </row>
    <row r="62" spans="1:8">
      <c r="A62" s="188" t="s">
        <v>890</v>
      </c>
      <c r="B62" s="188" t="s">
        <v>891</v>
      </c>
      <c r="C62" s="188" t="s">
        <v>882</v>
      </c>
      <c r="D62" s="188" t="s">
        <v>894</v>
      </c>
      <c r="E62" s="188" t="s">
        <v>818</v>
      </c>
      <c r="F62" s="188" t="s">
        <v>900</v>
      </c>
      <c r="G62">
        <v>202409</v>
      </c>
      <c r="H62" s="1">
        <v>-17491.009999999998</v>
      </c>
    </row>
    <row r="63" spans="1:8">
      <c r="A63" s="188" t="s">
        <v>890</v>
      </c>
      <c r="B63" s="188" t="s">
        <v>891</v>
      </c>
      <c r="C63" s="188" t="s">
        <v>882</v>
      </c>
      <c r="D63" s="188" t="s">
        <v>894</v>
      </c>
      <c r="E63" s="188" t="s">
        <v>818</v>
      </c>
      <c r="F63" s="188" t="s">
        <v>900</v>
      </c>
      <c r="G63">
        <v>202411</v>
      </c>
      <c r="H63" s="1">
        <v>1524.28</v>
      </c>
    </row>
    <row r="64" spans="1:8">
      <c r="A64" s="188" t="s">
        <v>890</v>
      </c>
      <c r="B64" s="188" t="s">
        <v>891</v>
      </c>
      <c r="C64" s="188" t="s">
        <v>882</v>
      </c>
      <c r="D64" s="188" t="s">
        <v>894</v>
      </c>
      <c r="E64" s="188" t="s">
        <v>818</v>
      </c>
      <c r="F64" s="188" t="s">
        <v>900</v>
      </c>
      <c r="G64">
        <v>202412</v>
      </c>
      <c r="H64" s="1">
        <v>20737.14</v>
      </c>
    </row>
    <row r="65" spans="1:8">
      <c r="A65" s="188" t="s">
        <v>890</v>
      </c>
      <c r="B65" s="188" t="s">
        <v>891</v>
      </c>
      <c r="C65" s="188" t="s">
        <v>882</v>
      </c>
      <c r="D65" s="188" t="s">
        <v>894</v>
      </c>
      <c r="E65" s="188" t="s">
        <v>818</v>
      </c>
      <c r="F65" s="188" t="s">
        <v>900</v>
      </c>
      <c r="G65">
        <v>202501</v>
      </c>
      <c r="H65" s="1">
        <v>-17587.72</v>
      </c>
    </row>
    <row r="66" spans="1:8">
      <c r="A66" s="188" t="s">
        <v>890</v>
      </c>
      <c r="B66" s="188" t="s">
        <v>891</v>
      </c>
      <c r="C66" s="188" t="s">
        <v>882</v>
      </c>
      <c r="D66" s="188" t="s">
        <v>894</v>
      </c>
      <c r="E66" s="188" t="s">
        <v>818</v>
      </c>
      <c r="F66" s="188" t="s">
        <v>900</v>
      </c>
      <c r="G66">
        <v>202503</v>
      </c>
      <c r="H66" s="1">
        <v>5899.17</v>
      </c>
    </row>
    <row r="67" spans="1:8">
      <c r="A67" s="188" t="s">
        <v>890</v>
      </c>
      <c r="B67" s="188" t="s">
        <v>891</v>
      </c>
      <c r="C67" s="188" t="s">
        <v>882</v>
      </c>
      <c r="D67" s="188" t="s">
        <v>894</v>
      </c>
      <c r="E67" s="188" t="s">
        <v>818</v>
      </c>
      <c r="F67" s="188" t="s">
        <v>900</v>
      </c>
      <c r="G67">
        <v>202504</v>
      </c>
      <c r="H67" s="1">
        <v>-5899.17</v>
      </c>
    </row>
    <row r="68" spans="1:8">
      <c r="A68" s="188" t="s">
        <v>890</v>
      </c>
      <c r="B68" s="188" t="s">
        <v>891</v>
      </c>
      <c r="C68" s="188" t="s">
        <v>882</v>
      </c>
      <c r="D68" s="188" t="s">
        <v>894</v>
      </c>
      <c r="E68" s="188" t="s">
        <v>818</v>
      </c>
      <c r="F68" s="188" t="s">
        <v>900</v>
      </c>
      <c r="G68">
        <v>202505</v>
      </c>
      <c r="H68" s="1">
        <v>10654.4</v>
      </c>
    </row>
    <row r="69" spans="1:8">
      <c r="A69" s="188" t="s">
        <v>890</v>
      </c>
      <c r="B69" s="188" t="s">
        <v>891</v>
      </c>
      <c r="C69" s="188" t="s">
        <v>882</v>
      </c>
      <c r="D69" s="188" t="s">
        <v>894</v>
      </c>
      <c r="E69" s="188" t="s">
        <v>818</v>
      </c>
      <c r="F69" s="188" t="s">
        <v>900</v>
      </c>
      <c r="G69">
        <v>202506</v>
      </c>
      <c r="H69" s="1">
        <v>-8471.4500000000007</v>
      </c>
    </row>
    <row r="70" spans="1:8">
      <c r="A70" s="188" t="s">
        <v>890</v>
      </c>
      <c r="B70" s="188" t="s">
        <v>891</v>
      </c>
      <c r="C70" s="188" t="s">
        <v>882</v>
      </c>
      <c r="D70" s="188" t="s">
        <v>894</v>
      </c>
      <c r="E70" s="188" t="s">
        <v>818</v>
      </c>
      <c r="F70" s="188" t="s">
        <v>900</v>
      </c>
      <c r="G70">
        <v>202507</v>
      </c>
      <c r="H70" s="1">
        <v>1544.7</v>
      </c>
    </row>
    <row r="71" spans="1:8">
      <c r="A71" s="188" t="s">
        <v>890</v>
      </c>
      <c r="B71" s="188" t="s">
        <v>891</v>
      </c>
      <c r="C71" s="188" t="s">
        <v>882</v>
      </c>
      <c r="D71" s="188" t="s">
        <v>894</v>
      </c>
      <c r="E71" s="188" t="s">
        <v>818</v>
      </c>
      <c r="F71" s="188" t="s">
        <v>900</v>
      </c>
      <c r="G71">
        <v>202508</v>
      </c>
      <c r="H71" s="1">
        <v>-1544.7</v>
      </c>
    </row>
    <row r="72" spans="1:8">
      <c r="A72" s="188" t="s">
        <v>890</v>
      </c>
      <c r="B72" s="188" t="s">
        <v>891</v>
      </c>
      <c r="C72" s="188" t="s">
        <v>882</v>
      </c>
      <c r="D72" s="188" t="s">
        <v>894</v>
      </c>
      <c r="E72" s="188" t="s">
        <v>818</v>
      </c>
      <c r="F72" s="188" t="s">
        <v>900</v>
      </c>
      <c r="G72">
        <v>202511</v>
      </c>
      <c r="H72" s="1">
        <v>1727.7</v>
      </c>
    </row>
    <row r="73" spans="1:8">
      <c r="A73" s="188" t="s">
        <v>890</v>
      </c>
      <c r="B73" s="188" t="s">
        <v>891</v>
      </c>
      <c r="C73" s="188" t="s">
        <v>882</v>
      </c>
      <c r="D73" s="188" t="s">
        <v>894</v>
      </c>
      <c r="E73" s="188" t="s">
        <v>818</v>
      </c>
      <c r="F73" s="188" t="s">
        <v>900</v>
      </c>
      <c r="G73">
        <v>202512</v>
      </c>
      <c r="H73" s="1">
        <v>0</v>
      </c>
    </row>
    <row r="74" spans="1:8">
      <c r="A74" s="188" t="s">
        <v>890</v>
      </c>
      <c r="B74" s="188" t="s">
        <v>891</v>
      </c>
      <c r="C74" s="188" t="s">
        <v>882</v>
      </c>
      <c r="D74" s="188" t="s">
        <v>894</v>
      </c>
      <c r="E74" s="188" t="s">
        <v>818</v>
      </c>
      <c r="F74" s="188" t="s">
        <v>900</v>
      </c>
      <c r="G74">
        <v>202601</v>
      </c>
      <c r="H74" s="1">
        <v>47.3</v>
      </c>
    </row>
    <row r="75" spans="1:8">
      <c r="A75" s="188" t="s">
        <v>890</v>
      </c>
      <c r="B75" s="188" t="s">
        <v>891</v>
      </c>
      <c r="C75" s="188" t="s">
        <v>882</v>
      </c>
      <c r="D75" s="188" t="s">
        <v>894</v>
      </c>
      <c r="E75" s="188" t="s">
        <v>818</v>
      </c>
      <c r="F75" s="188" t="s">
        <v>900</v>
      </c>
      <c r="G75">
        <v>202602</v>
      </c>
      <c r="H75" s="1">
        <v>-591.9</v>
      </c>
    </row>
    <row r="76" spans="1:8">
      <c r="A76" s="188" t="s">
        <v>890</v>
      </c>
      <c r="B76" s="188" t="s">
        <v>891</v>
      </c>
      <c r="C76" s="188" t="s">
        <v>882</v>
      </c>
      <c r="D76" s="188" t="s">
        <v>894</v>
      </c>
      <c r="E76" s="188" t="s">
        <v>819</v>
      </c>
      <c r="F76" s="188" t="s">
        <v>901</v>
      </c>
      <c r="G76">
        <v>202402</v>
      </c>
      <c r="H76" s="1">
        <v>755709.8</v>
      </c>
    </row>
    <row r="77" spans="1:8">
      <c r="A77" s="188" t="s">
        <v>890</v>
      </c>
      <c r="B77" s="188" t="s">
        <v>891</v>
      </c>
      <c r="C77" s="188" t="s">
        <v>882</v>
      </c>
      <c r="D77" s="188" t="s">
        <v>894</v>
      </c>
      <c r="E77" s="188" t="s">
        <v>819</v>
      </c>
      <c r="F77" s="188" t="s">
        <v>901</v>
      </c>
      <c r="G77">
        <v>202403</v>
      </c>
      <c r="H77" s="1">
        <v>145626.01999999999</v>
      </c>
    </row>
    <row r="78" spans="1:8">
      <c r="A78" s="188" t="s">
        <v>890</v>
      </c>
      <c r="B78" s="188" t="s">
        <v>891</v>
      </c>
      <c r="C78" s="188" t="s">
        <v>882</v>
      </c>
      <c r="D78" s="188" t="s">
        <v>894</v>
      </c>
      <c r="E78" s="188" t="s">
        <v>819</v>
      </c>
      <c r="F78" s="188" t="s">
        <v>901</v>
      </c>
      <c r="G78">
        <v>202404</v>
      </c>
      <c r="H78" s="1">
        <v>-13302.83</v>
      </c>
    </row>
    <row r="79" spans="1:8">
      <c r="A79" s="188" t="s">
        <v>890</v>
      </c>
      <c r="B79" s="188" t="s">
        <v>891</v>
      </c>
      <c r="C79" s="188" t="s">
        <v>882</v>
      </c>
      <c r="D79" s="188" t="s">
        <v>894</v>
      </c>
      <c r="E79" s="188" t="s">
        <v>819</v>
      </c>
      <c r="F79" s="188" t="s">
        <v>901</v>
      </c>
      <c r="G79">
        <v>202405</v>
      </c>
      <c r="H79" s="1">
        <v>226015.99</v>
      </c>
    </row>
    <row r="80" spans="1:8">
      <c r="A80" s="188" t="s">
        <v>890</v>
      </c>
      <c r="B80" s="188" t="s">
        <v>891</v>
      </c>
      <c r="C80" s="188" t="s">
        <v>882</v>
      </c>
      <c r="D80" s="188" t="s">
        <v>894</v>
      </c>
      <c r="E80" s="188" t="s">
        <v>819</v>
      </c>
      <c r="F80" s="188" t="s">
        <v>901</v>
      </c>
      <c r="G80">
        <v>202406</v>
      </c>
      <c r="H80" s="1">
        <v>353400.36</v>
      </c>
    </row>
    <row r="81" spans="1:8">
      <c r="A81" s="188" t="s">
        <v>890</v>
      </c>
      <c r="B81" s="188" t="s">
        <v>891</v>
      </c>
      <c r="C81" s="188" t="s">
        <v>882</v>
      </c>
      <c r="D81" s="188" t="s">
        <v>894</v>
      </c>
      <c r="E81" s="188" t="s">
        <v>819</v>
      </c>
      <c r="F81" s="188" t="s">
        <v>901</v>
      </c>
      <c r="G81">
        <v>202407</v>
      </c>
      <c r="H81" s="1">
        <v>260421.33</v>
      </c>
    </row>
    <row r="82" spans="1:8">
      <c r="A82" s="188" t="s">
        <v>890</v>
      </c>
      <c r="B82" s="188" t="s">
        <v>891</v>
      </c>
      <c r="C82" s="188" t="s">
        <v>882</v>
      </c>
      <c r="D82" s="188" t="s">
        <v>894</v>
      </c>
      <c r="E82" s="188" t="s">
        <v>819</v>
      </c>
      <c r="F82" s="188" t="s">
        <v>901</v>
      </c>
      <c r="G82">
        <v>202408</v>
      </c>
      <c r="H82" s="1">
        <v>474290.94</v>
      </c>
    </row>
    <row r="83" spans="1:8">
      <c r="A83" s="188" t="s">
        <v>890</v>
      </c>
      <c r="B83" s="188" t="s">
        <v>891</v>
      </c>
      <c r="C83" s="188" t="s">
        <v>882</v>
      </c>
      <c r="D83" s="188" t="s">
        <v>894</v>
      </c>
      <c r="E83" s="188" t="s">
        <v>819</v>
      </c>
      <c r="F83" s="188" t="s">
        <v>901</v>
      </c>
      <c r="G83">
        <v>202409</v>
      </c>
      <c r="H83" s="1">
        <v>458345.43</v>
      </c>
    </row>
    <row r="84" spans="1:8">
      <c r="A84" s="188" t="s">
        <v>890</v>
      </c>
      <c r="B84" s="188" t="s">
        <v>891</v>
      </c>
      <c r="C84" s="188" t="s">
        <v>882</v>
      </c>
      <c r="D84" s="188" t="s">
        <v>894</v>
      </c>
      <c r="E84" s="188" t="s">
        <v>819</v>
      </c>
      <c r="F84" s="188" t="s">
        <v>901</v>
      </c>
      <c r="G84">
        <v>202410</v>
      </c>
      <c r="H84" s="1">
        <v>676259.48</v>
      </c>
    </row>
    <row r="85" spans="1:8">
      <c r="A85" s="188" t="s">
        <v>890</v>
      </c>
      <c r="B85" s="188" t="s">
        <v>891</v>
      </c>
      <c r="C85" s="188" t="s">
        <v>882</v>
      </c>
      <c r="D85" s="188" t="s">
        <v>894</v>
      </c>
      <c r="E85" s="188" t="s">
        <v>819</v>
      </c>
      <c r="F85" s="188" t="s">
        <v>901</v>
      </c>
      <c r="G85">
        <v>202411</v>
      </c>
      <c r="H85" s="1">
        <v>798132</v>
      </c>
    </row>
    <row r="86" spans="1:8">
      <c r="A86" s="188" t="s">
        <v>890</v>
      </c>
      <c r="B86" s="188" t="s">
        <v>891</v>
      </c>
      <c r="C86" s="188" t="s">
        <v>882</v>
      </c>
      <c r="D86" s="188" t="s">
        <v>894</v>
      </c>
      <c r="E86" s="188" t="s">
        <v>819</v>
      </c>
      <c r="F86" s="188" t="s">
        <v>901</v>
      </c>
      <c r="G86">
        <v>202412</v>
      </c>
      <c r="H86" s="1">
        <v>454041.07</v>
      </c>
    </row>
    <row r="87" spans="1:8">
      <c r="A87" s="188" t="s">
        <v>890</v>
      </c>
      <c r="B87" s="188" t="s">
        <v>891</v>
      </c>
      <c r="C87" s="188" t="s">
        <v>882</v>
      </c>
      <c r="D87" s="188" t="s">
        <v>894</v>
      </c>
      <c r="E87" s="188" t="s">
        <v>819</v>
      </c>
      <c r="F87" s="188" t="s">
        <v>901</v>
      </c>
      <c r="G87">
        <v>202501</v>
      </c>
      <c r="H87" s="1">
        <v>142135.57</v>
      </c>
    </row>
    <row r="88" spans="1:8">
      <c r="A88" s="188" t="s">
        <v>890</v>
      </c>
      <c r="B88" s="188" t="s">
        <v>891</v>
      </c>
      <c r="C88" s="188" t="s">
        <v>882</v>
      </c>
      <c r="D88" s="188" t="s">
        <v>894</v>
      </c>
      <c r="E88" s="188" t="s">
        <v>819</v>
      </c>
      <c r="F88" s="188" t="s">
        <v>901</v>
      </c>
      <c r="G88">
        <v>202502</v>
      </c>
      <c r="H88" s="1">
        <v>-114184.17</v>
      </c>
    </row>
    <row r="89" spans="1:8">
      <c r="A89" s="188" t="s">
        <v>890</v>
      </c>
      <c r="B89" s="188" t="s">
        <v>891</v>
      </c>
      <c r="C89" s="188" t="s">
        <v>882</v>
      </c>
      <c r="D89" s="188" t="s">
        <v>894</v>
      </c>
      <c r="E89" s="188" t="s">
        <v>819</v>
      </c>
      <c r="F89" s="188" t="s">
        <v>901</v>
      </c>
      <c r="G89">
        <v>202503</v>
      </c>
      <c r="H89" s="1">
        <v>67685.37</v>
      </c>
    </row>
    <row r="90" spans="1:8">
      <c r="A90" s="188" t="s">
        <v>890</v>
      </c>
      <c r="B90" s="188" t="s">
        <v>891</v>
      </c>
      <c r="C90" s="188" t="s">
        <v>882</v>
      </c>
      <c r="D90" s="188" t="s">
        <v>894</v>
      </c>
      <c r="E90" s="188" t="s">
        <v>819</v>
      </c>
      <c r="F90" s="188" t="s">
        <v>901</v>
      </c>
      <c r="G90">
        <v>202504</v>
      </c>
      <c r="H90" s="1">
        <v>-45108.01</v>
      </c>
    </row>
    <row r="91" spans="1:8">
      <c r="A91" s="188" t="s">
        <v>890</v>
      </c>
      <c r="B91" s="188" t="s">
        <v>891</v>
      </c>
      <c r="C91" s="188" t="s">
        <v>882</v>
      </c>
      <c r="D91" s="188" t="s">
        <v>894</v>
      </c>
      <c r="E91" s="188" t="s">
        <v>819</v>
      </c>
      <c r="F91" s="188" t="s">
        <v>901</v>
      </c>
      <c r="G91">
        <v>202505</v>
      </c>
      <c r="H91" s="1">
        <v>3840</v>
      </c>
    </row>
    <row r="92" spans="1:8">
      <c r="A92" s="188" t="s">
        <v>890</v>
      </c>
      <c r="B92" s="188" t="s">
        <v>891</v>
      </c>
      <c r="C92" s="188" t="s">
        <v>882</v>
      </c>
      <c r="D92" s="188" t="s">
        <v>894</v>
      </c>
      <c r="E92" s="188" t="s">
        <v>819</v>
      </c>
      <c r="F92" s="188" t="s">
        <v>901</v>
      </c>
      <c r="G92">
        <v>202506</v>
      </c>
      <c r="H92" s="1">
        <v>4657.96</v>
      </c>
    </row>
    <row r="93" spans="1:8">
      <c r="A93" s="188" t="s">
        <v>890</v>
      </c>
      <c r="B93" s="188" t="s">
        <v>891</v>
      </c>
      <c r="C93" s="188" t="s">
        <v>882</v>
      </c>
      <c r="D93" s="188" t="s">
        <v>894</v>
      </c>
      <c r="E93" s="188" t="s">
        <v>819</v>
      </c>
      <c r="F93" s="188" t="s">
        <v>901</v>
      </c>
      <c r="G93">
        <v>202507</v>
      </c>
      <c r="H93" s="1">
        <v>7916.56</v>
      </c>
    </row>
    <row r="94" spans="1:8">
      <c r="A94" s="188" t="s">
        <v>890</v>
      </c>
      <c r="B94" s="188" t="s">
        <v>891</v>
      </c>
      <c r="C94" s="188" t="s">
        <v>882</v>
      </c>
      <c r="D94" s="188" t="s">
        <v>894</v>
      </c>
      <c r="E94" s="188" t="s">
        <v>819</v>
      </c>
      <c r="F94" s="188" t="s">
        <v>901</v>
      </c>
      <c r="G94">
        <v>202508</v>
      </c>
      <c r="H94" s="1">
        <v>7833.24</v>
      </c>
    </row>
    <row r="95" spans="1:8">
      <c r="A95" s="188" t="s">
        <v>890</v>
      </c>
      <c r="B95" s="188" t="s">
        <v>891</v>
      </c>
      <c r="C95" s="188" t="s">
        <v>882</v>
      </c>
      <c r="D95" s="188" t="s">
        <v>894</v>
      </c>
      <c r="E95" s="188" t="s">
        <v>819</v>
      </c>
      <c r="F95" s="188" t="s">
        <v>901</v>
      </c>
      <c r="G95">
        <v>202509</v>
      </c>
      <c r="H95" s="1">
        <v>-4598.5200000000004</v>
      </c>
    </row>
    <row r="96" spans="1:8">
      <c r="A96" s="188" t="s">
        <v>890</v>
      </c>
      <c r="B96" s="188" t="s">
        <v>891</v>
      </c>
      <c r="C96" s="188" t="s">
        <v>882</v>
      </c>
      <c r="D96" s="188" t="s">
        <v>894</v>
      </c>
      <c r="E96" s="188" t="s">
        <v>819</v>
      </c>
      <c r="F96" s="188" t="s">
        <v>901</v>
      </c>
      <c r="G96">
        <v>202510</v>
      </c>
      <c r="H96" s="1">
        <v>3000.6</v>
      </c>
    </row>
    <row r="97" spans="1:8">
      <c r="A97" s="188" t="s">
        <v>890</v>
      </c>
      <c r="B97" s="188" t="s">
        <v>891</v>
      </c>
      <c r="C97" s="188" t="s">
        <v>882</v>
      </c>
      <c r="D97" s="188" t="s">
        <v>894</v>
      </c>
      <c r="E97" s="188" t="s">
        <v>819</v>
      </c>
      <c r="F97" s="188" t="s">
        <v>901</v>
      </c>
      <c r="G97">
        <v>202511</v>
      </c>
      <c r="H97" s="1">
        <v>3607.1</v>
      </c>
    </row>
    <row r="98" spans="1:8">
      <c r="A98" s="188" t="s">
        <v>890</v>
      </c>
      <c r="B98" s="188" t="s">
        <v>891</v>
      </c>
      <c r="C98" s="188" t="s">
        <v>882</v>
      </c>
      <c r="D98" s="188" t="s">
        <v>894</v>
      </c>
      <c r="E98" s="188" t="s">
        <v>819</v>
      </c>
      <c r="F98" s="188" t="s">
        <v>901</v>
      </c>
      <c r="G98">
        <v>202512</v>
      </c>
      <c r="H98" s="1">
        <v>1336.3</v>
      </c>
    </row>
    <row r="99" spans="1:8">
      <c r="A99" s="188" t="s">
        <v>890</v>
      </c>
      <c r="B99" s="188" t="s">
        <v>891</v>
      </c>
      <c r="C99" s="188" t="s">
        <v>882</v>
      </c>
      <c r="D99" s="188" t="s">
        <v>894</v>
      </c>
      <c r="E99" s="188" t="s">
        <v>819</v>
      </c>
      <c r="F99" s="188" t="s">
        <v>901</v>
      </c>
      <c r="G99">
        <v>202601</v>
      </c>
      <c r="H99" s="1">
        <v>1664</v>
      </c>
    </row>
    <row r="100" spans="1:8">
      <c r="A100" s="188" t="s">
        <v>890</v>
      </c>
      <c r="B100" s="188" t="s">
        <v>891</v>
      </c>
      <c r="C100" s="188" t="s">
        <v>882</v>
      </c>
      <c r="D100" s="188" t="s">
        <v>894</v>
      </c>
      <c r="E100" s="188" t="s">
        <v>819</v>
      </c>
      <c r="F100" s="188" t="s">
        <v>901</v>
      </c>
      <c r="G100">
        <v>202602</v>
      </c>
      <c r="H100" s="1">
        <v>2560</v>
      </c>
    </row>
    <row r="101" spans="1:8">
      <c r="A101" s="188" t="s">
        <v>890</v>
      </c>
      <c r="B101" s="188" t="s">
        <v>891</v>
      </c>
      <c r="C101" s="188" t="s">
        <v>882</v>
      </c>
      <c r="D101" s="188" t="s">
        <v>894</v>
      </c>
      <c r="E101" s="188" t="s">
        <v>820</v>
      </c>
      <c r="F101" s="188" t="s">
        <v>902</v>
      </c>
      <c r="G101">
        <v>202512</v>
      </c>
      <c r="H101" s="1">
        <v>18157875.41</v>
      </c>
    </row>
    <row r="102" spans="1:8">
      <c r="A102" s="188" t="s">
        <v>890</v>
      </c>
      <c r="B102" s="188" t="s">
        <v>891</v>
      </c>
      <c r="C102" s="188" t="s">
        <v>882</v>
      </c>
      <c r="D102" s="188" t="s">
        <v>894</v>
      </c>
      <c r="E102" s="188" t="s">
        <v>820</v>
      </c>
      <c r="F102" s="188" t="s">
        <v>902</v>
      </c>
      <c r="G102">
        <v>202601</v>
      </c>
      <c r="H102" s="1">
        <v>215578</v>
      </c>
    </row>
    <row r="103" spans="1:8">
      <c r="A103" s="188" t="s">
        <v>890</v>
      </c>
      <c r="B103" s="188" t="s">
        <v>891</v>
      </c>
      <c r="C103" s="188" t="s">
        <v>882</v>
      </c>
      <c r="D103" s="188" t="s">
        <v>894</v>
      </c>
      <c r="E103" s="188" t="s">
        <v>820</v>
      </c>
      <c r="F103" s="188" t="s">
        <v>902</v>
      </c>
      <c r="G103">
        <v>202602</v>
      </c>
      <c r="H103" s="1">
        <v>13415.64</v>
      </c>
    </row>
    <row r="104" spans="1:8">
      <c r="A104" s="188" t="s">
        <v>890</v>
      </c>
      <c r="B104" s="188" t="s">
        <v>891</v>
      </c>
      <c r="C104" s="188" t="s">
        <v>884</v>
      </c>
      <c r="D104" s="188" t="s">
        <v>892</v>
      </c>
      <c r="E104" s="188" t="s">
        <v>881</v>
      </c>
      <c r="F104" s="188" t="s">
        <v>827</v>
      </c>
      <c r="G104">
        <v>201803</v>
      </c>
      <c r="H104" s="1">
        <v>802438.52</v>
      </c>
    </row>
    <row r="105" spans="1:8">
      <c r="A105" s="188" t="s">
        <v>890</v>
      </c>
      <c r="B105" s="188" t="s">
        <v>891</v>
      </c>
      <c r="C105" s="188" t="s">
        <v>884</v>
      </c>
      <c r="D105" s="188" t="s">
        <v>892</v>
      </c>
      <c r="E105" s="188" t="s">
        <v>881</v>
      </c>
      <c r="F105" s="188" t="s">
        <v>827</v>
      </c>
      <c r="G105">
        <v>201804</v>
      </c>
      <c r="H105" s="1">
        <v>159643.56</v>
      </c>
    </row>
    <row r="106" spans="1:8">
      <c r="A106" s="188" t="s">
        <v>890</v>
      </c>
      <c r="B106" s="188" t="s">
        <v>891</v>
      </c>
      <c r="C106" s="188" t="s">
        <v>884</v>
      </c>
      <c r="D106" s="188" t="s">
        <v>892</v>
      </c>
      <c r="E106" s="188" t="s">
        <v>881</v>
      </c>
      <c r="F106" s="188" t="s">
        <v>827</v>
      </c>
      <c r="G106">
        <v>201805</v>
      </c>
      <c r="H106" s="1">
        <v>301546.87</v>
      </c>
    </row>
    <row r="107" spans="1:8">
      <c r="A107" s="188" t="s">
        <v>890</v>
      </c>
      <c r="B107" s="188" t="s">
        <v>891</v>
      </c>
      <c r="C107" s="188" t="s">
        <v>884</v>
      </c>
      <c r="D107" s="188" t="s">
        <v>892</v>
      </c>
      <c r="E107" s="188" t="s">
        <v>881</v>
      </c>
      <c r="F107" s="188" t="s">
        <v>827</v>
      </c>
      <c r="G107">
        <v>201806</v>
      </c>
      <c r="H107" s="1">
        <v>186398.46</v>
      </c>
    </row>
    <row r="108" spans="1:8">
      <c r="A108" s="188" t="s">
        <v>890</v>
      </c>
      <c r="B108" s="188" t="s">
        <v>891</v>
      </c>
      <c r="C108" s="188" t="s">
        <v>884</v>
      </c>
      <c r="D108" s="188" t="s">
        <v>892</v>
      </c>
      <c r="E108" s="188" t="s">
        <v>881</v>
      </c>
      <c r="F108" s="188" t="s">
        <v>827</v>
      </c>
      <c r="G108">
        <v>201807</v>
      </c>
      <c r="H108" s="1">
        <v>254307.01</v>
      </c>
    </row>
    <row r="109" spans="1:8">
      <c r="A109" s="188" t="s">
        <v>890</v>
      </c>
      <c r="B109" s="188" t="s">
        <v>891</v>
      </c>
      <c r="C109" s="188" t="s">
        <v>884</v>
      </c>
      <c r="D109" s="188" t="s">
        <v>892</v>
      </c>
      <c r="E109" s="188" t="s">
        <v>881</v>
      </c>
      <c r="F109" s="188" t="s">
        <v>827</v>
      </c>
      <c r="G109">
        <v>201808</v>
      </c>
      <c r="H109" s="1">
        <v>70881.39</v>
      </c>
    </row>
    <row r="110" spans="1:8">
      <c r="A110" s="188" t="s">
        <v>890</v>
      </c>
      <c r="B110" s="188" t="s">
        <v>891</v>
      </c>
      <c r="C110" s="188" t="s">
        <v>884</v>
      </c>
      <c r="D110" s="188" t="s">
        <v>892</v>
      </c>
      <c r="E110" s="188" t="s">
        <v>881</v>
      </c>
      <c r="F110" s="188" t="s">
        <v>827</v>
      </c>
      <c r="G110">
        <v>201809</v>
      </c>
      <c r="H110" s="1">
        <v>169633.29</v>
      </c>
    </row>
    <row r="111" spans="1:8">
      <c r="A111" s="188" t="s">
        <v>890</v>
      </c>
      <c r="B111" s="188" t="s">
        <v>891</v>
      </c>
      <c r="C111" s="188" t="s">
        <v>884</v>
      </c>
      <c r="D111" s="188" t="s">
        <v>892</v>
      </c>
      <c r="E111" s="188" t="s">
        <v>881</v>
      </c>
      <c r="F111" s="188" t="s">
        <v>827</v>
      </c>
      <c r="G111">
        <v>201810</v>
      </c>
      <c r="H111" s="1">
        <v>236019.58</v>
      </c>
    </row>
    <row r="112" spans="1:8">
      <c r="A112" s="188" t="s">
        <v>890</v>
      </c>
      <c r="B112" s="188" t="s">
        <v>891</v>
      </c>
      <c r="C112" s="188" t="s">
        <v>884</v>
      </c>
      <c r="D112" s="188" t="s">
        <v>892</v>
      </c>
      <c r="E112" s="188" t="s">
        <v>881</v>
      </c>
      <c r="F112" s="188" t="s">
        <v>827</v>
      </c>
      <c r="G112">
        <v>201811</v>
      </c>
      <c r="H112" s="1">
        <v>185030.5</v>
      </c>
    </row>
    <row r="113" spans="1:8">
      <c r="A113" s="188" t="s">
        <v>890</v>
      </c>
      <c r="B113" s="188" t="s">
        <v>891</v>
      </c>
      <c r="C113" s="188" t="s">
        <v>884</v>
      </c>
      <c r="D113" s="188" t="s">
        <v>892</v>
      </c>
      <c r="E113" s="188" t="s">
        <v>881</v>
      </c>
      <c r="F113" s="188" t="s">
        <v>827</v>
      </c>
      <c r="G113">
        <v>201812</v>
      </c>
      <c r="H113" s="1">
        <v>660980.27</v>
      </c>
    </row>
    <row r="114" spans="1:8">
      <c r="A114" s="188" t="s">
        <v>890</v>
      </c>
      <c r="B114" s="188" t="s">
        <v>891</v>
      </c>
      <c r="C114" s="188" t="s">
        <v>884</v>
      </c>
      <c r="D114" s="188" t="s">
        <v>892</v>
      </c>
      <c r="E114" s="188" t="s">
        <v>881</v>
      </c>
      <c r="F114" s="188" t="s">
        <v>827</v>
      </c>
      <c r="G114">
        <v>201901</v>
      </c>
      <c r="H114" s="1">
        <v>88905.3</v>
      </c>
    </row>
    <row r="115" spans="1:8">
      <c r="A115" s="188" t="s">
        <v>890</v>
      </c>
      <c r="B115" s="188" t="s">
        <v>891</v>
      </c>
      <c r="C115" s="188" t="s">
        <v>884</v>
      </c>
      <c r="D115" s="188" t="s">
        <v>892</v>
      </c>
      <c r="E115" s="188" t="s">
        <v>881</v>
      </c>
      <c r="F115" s="188" t="s">
        <v>827</v>
      </c>
      <c r="G115">
        <v>201902</v>
      </c>
      <c r="H115" s="1">
        <v>80169.91</v>
      </c>
    </row>
    <row r="116" spans="1:8">
      <c r="A116" s="188" t="s">
        <v>890</v>
      </c>
      <c r="B116" s="188" t="s">
        <v>891</v>
      </c>
      <c r="C116" s="188" t="s">
        <v>884</v>
      </c>
      <c r="D116" s="188" t="s">
        <v>892</v>
      </c>
      <c r="E116" s="188" t="s">
        <v>881</v>
      </c>
      <c r="F116" s="188" t="s">
        <v>827</v>
      </c>
      <c r="G116">
        <v>201903</v>
      </c>
      <c r="H116" s="1">
        <v>9143.0499999999993</v>
      </c>
    </row>
    <row r="117" spans="1:8">
      <c r="A117" s="188" t="s">
        <v>890</v>
      </c>
      <c r="B117" s="188" t="s">
        <v>891</v>
      </c>
      <c r="C117" s="188" t="s">
        <v>884</v>
      </c>
      <c r="D117" s="188" t="s">
        <v>892</v>
      </c>
      <c r="E117" s="188" t="s">
        <v>881</v>
      </c>
      <c r="F117" s="188" t="s">
        <v>827</v>
      </c>
      <c r="G117">
        <v>201904</v>
      </c>
      <c r="H117" s="1">
        <v>3046.48</v>
      </c>
    </row>
    <row r="118" spans="1:8">
      <c r="A118" s="188" t="s">
        <v>890</v>
      </c>
      <c r="B118" s="188" t="s">
        <v>891</v>
      </c>
      <c r="C118" s="188" t="s">
        <v>882</v>
      </c>
      <c r="D118" s="188" t="s">
        <v>894</v>
      </c>
      <c r="E118" s="188" t="s">
        <v>828</v>
      </c>
      <c r="F118" s="188" t="s">
        <v>903</v>
      </c>
      <c r="G118">
        <v>202005</v>
      </c>
      <c r="H118" s="1">
        <v>2923572.47</v>
      </c>
    </row>
    <row r="119" spans="1:8">
      <c r="A119" s="188" t="s">
        <v>890</v>
      </c>
      <c r="B119" s="188" t="s">
        <v>891</v>
      </c>
      <c r="C119" s="188" t="s">
        <v>882</v>
      </c>
      <c r="D119" s="188" t="s">
        <v>894</v>
      </c>
      <c r="E119" s="188" t="s">
        <v>828</v>
      </c>
      <c r="F119" s="188" t="s">
        <v>903</v>
      </c>
      <c r="G119">
        <v>202008</v>
      </c>
      <c r="H119" s="1">
        <v>2411.7600000000002</v>
      </c>
    </row>
    <row r="120" spans="1:8">
      <c r="A120" s="188" t="s">
        <v>890</v>
      </c>
      <c r="B120" s="188" t="s">
        <v>891</v>
      </c>
      <c r="C120" s="188" t="s">
        <v>882</v>
      </c>
      <c r="D120" s="188" t="s">
        <v>894</v>
      </c>
      <c r="E120" s="188" t="s">
        <v>828</v>
      </c>
      <c r="F120" s="188" t="s">
        <v>903</v>
      </c>
      <c r="G120">
        <v>202009</v>
      </c>
      <c r="H120" s="1">
        <v>-2411.7600000000002</v>
      </c>
    </row>
    <row r="121" spans="1:8">
      <c r="A121" s="188" t="s">
        <v>890</v>
      </c>
      <c r="B121" s="188" t="s">
        <v>891</v>
      </c>
      <c r="C121" s="188" t="s">
        <v>882</v>
      </c>
      <c r="D121" s="188" t="s">
        <v>894</v>
      </c>
      <c r="E121" s="188" t="s">
        <v>828</v>
      </c>
      <c r="F121" s="188" t="s">
        <v>903</v>
      </c>
      <c r="G121">
        <v>202201</v>
      </c>
      <c r="H121" s="1">
        <v>0</v>
      </c>
    </row>
    <row r="122" spans="1:8">
      <c r="A122" s="188" t="s">
        <v>890</v>
      </c>
      <c r="B122" s="188" t="s">
        <v>891</v>
      </c>
      <c r="C122" s="188" t="s">
        <v>884</v>
      </c>
      <c r="D122" s="188" t="s">
        <v>892</v>
      </c>
      <c r="E122" s="188" t="s">
        <v>828</v>
      </c>
      <c r="F122" s="188" t="s">
        <v>904</v>
      </c>
      <c r="G122">
        <v>202101</v>
      </c>
      <c r="H122" s="1">
        <v>3490941.81</v>
      </c>
    </row>
    <row r="123" spans="1:8">
      <c r="A123" s="188" t="s">
        <v>890</v>
      </c>
      <c r="B123" s="188" t="s">
        <v>891</v>
      </c>
      <c r="C123" s="188" t="s">
        <v>884</v>
      </c>
      <c r="D123" s="188" t="s">
        <v>892</v>
      </c>
      <c r="E123" s="188" t="s">
        <v>828</v>
      </c>
      <c r="F123" s="188" t="s">
        <v>904</v>
      </c>
      <c r="G123">
        <v>202102</v>
      </c>
      <c r="H123" s="1">
        <v>82799.22</v>
      </c>
    </row>
    <row r="124" spans="1:8">
      <c r="A124" s="188" t="s">
        <v>890</v>
      </c>
      <c r="B124" s="188" t="s">
        <v>891</v>
      </c>
      <c r="C124" s="188" t="s">
        <v>884</v>
      </c>
      <c r="D124" s="188" t="s">
        <v>892</v>
      </c>
      <c r="E124" s="188" t="s">
        <v>828</v>
      </c>
      <c r="F124" s="188" t="s">
        <v>904</v>
      </c>
      <c r="G124">
        <v>202104</v>
      </c>
      <c r="H124" s="1">
        <v>91.81</v>
      </c>
    </row>
    <row r="125" spans="1:8">
      <c r="A125" s="188" t="s">
        <v>890</v>
      </c>
      <c r="B125" s="188" t="s">
        <v>891</v>
      </c>
      <c r="C125" s="188" t="s">
        <v>884</v>
      </c>
      <c r="D125" s="188" t="s">
        <v>892</v>
      </c>
      <c r="E125" s="188" t="s">
        <v>828</v>
      </c>
      <c r="F125" s="188" t="s">
        <v>905</v>
      </c>
      <c r="G125">
        <v>202101</v>
      </c>
      <c r="H125" s="1">
        <v>168072.37</v>
      </c>
    </row>
    <row r="126" spans="1:8">
      <c r="A126" s="188" t="s">
        <v>890</v>
      </c>
      <c r="B126" s="188" t="s">
        <v>891</v>
      </c>
      <c r="C126" s="188" t="s">
        <v>884</v>
      </c>
      <c r="D126" s="188" t="s">
        <v>892</v>
      </c>
      <c r="E126" s="188" t="s">
        <v>828</v>
      </c>
      <c r="F126" s="188" t="s">
        <v>905</v>
      </c>
      <c r="G126">
        <v>202102</v>
      </c>
      <c r="H126" s="1">
        <v>84472.29</v>
      </c>
    </row>
    <row r="127" spans="1:8">
      <c r="A127" s="188" t="s">
        <v>890</v>
      </c>
      <c r="B127" s="188" t="s">
        <v>891</v>
      </c>
      <c r="C127" s="188" t="s">
        <v>884</v>
      </c>
      <c r="D127" s="188" t="s">
        <v>892</v>
      </c>
      <c r="E127" s="188" t="s">
        <v>828</v>
      </c>
      <c r="F127" s="188" t="s">
        <v>905</v>
      </c>
      <c r="G127">
        <v>202103</v>
      </c>
      <c r="H127" s="1">
        <v>217725.19</v>
      </c>
    </row>
    <row r="128" spans="1:8">
      <c r="A128" s="188" t="s">
        <v>890</v>
      </c>
      <c r="B128" s="188" t="s">
        <v>891</v>
      </c>
      <c r="C128" s="188" t="s">
        <v>884</v>
      </c>
      <c r="D128" s="188" t="s">
        <v>892</v>
      </c>
      <c r="E128" s="188" t="s">
        <v>828</v>
      </c>
      <c r="F128" s="188" t="s">
        <v>905</v>
      </c>
      <c r="G128">
        <v>202104</v>
      </c>
      <c r="H128" s="1">
        <v>136101.41</v>
      </c>
    </row>
    <row r="129" spans="1:8">
      <c r="A129" s="188" t="s">
        <v>890</v>
      </c>
      <c r="B129" s="188" t="s">
        <v>891</v>
      </c>
      <c r="C129" s="188" t="s">
        <v>884</v>
      </c>
      <c r="D129" s="188" t="s">
        <v>892</v>
      </c>
      <c r="E129" s="188" t="s">
        <v>828</v>
      </c>
      <c r="F129" s="188" t="s">
        <v>905</v>
      </c>
      <c r="G129">
        <v>202105</v>
      </c>
      <c r="H129" s="1">
        <v>208198.75</v>
      </c>
    </row>
    <row r="130" spans="1:8">
      <c r="A130" s="188" t="s">
        <v>890</v>
      </c>
      <c r="B130" s="188" t="s">
        <v>891</v>
      </c>
      <c r="C130" s="188" t="s">
        <v>884</v>
      </c>
      <c r="D130" s="188" t="s">
        <v>892</v>
      </c>
      <c r="E130" s="188" t="s">
        <v>828</v>
      </c>
      <c r="F130" s="188" t="s">
        <v>905</v>
      </c>
      <c r="G130">
        <v>202106</v>
      </c>
      <c r="H130" s="1">
        <v>167565.87</v>
      </c>
    </row>
    <row r="131" spans="1:8">
      <c r="A131" s="188" t="s">
        <v>890</v>
      </c>
      <c r="B131" s="188" t="s">
        <v>891</v>
      </c>
      <c r="C131" s="188" t="s">
        <v>884</v>
      </c>
      <c r="D131" s="188" t="s">
        <v>892</v>
      </c>
      <c r="E131" s="188" t="s">
        <v>828</v>
      </c>
      <c r="F131" s="188" t="s">
        <v>905</v>
      </c>
      <c r="G131">
        <v>202107</v>
      </c>
      <c r="H131" s="1">
        <v>215132.13</v>
      </c>
    </row>
    <row r="132" spans="1:8">
      <c r="A132" s="188" t="s">
        <v>890</v>
      </c>
      <c r="B132" s="188" t="s">
        <v>891</v>
      </c>
      <c r="C132" s="188" t="s">
        <v>884</v>
      </c>
      <c r="D132" s="188" t="s">
        <v>892</v>
      </c>
      <c r="E132" s="188" t="s">
        <v>828</v>
      </c>
      <c r="F132" s="188" t="s">
        <v>905</v>
      </c>
      <c r="G132">
        <v>202108</v>
      </c>
      <c r="H132" s="1">
        <v>199483.89</v>
      </c>
    </row>
    <row r="133" spans="1:8">
      <c r="A133" s="188" t="s">
        <v>890</v>
      </c>
      <c r="B133" s="188" t="s">
        <v>891</v>
      </c>
      <c r="C133" s="188" t="s">
        <v>884</v>
      </c>
      <c r="D133" s="188" t="s">
        <v>892</v>
      </c>
      <c r="E133" s="188" t="s">
        <v>828</v>
      </c>
      <c r="F133" s="188" t="s">
        <v>905</v>
      </c>
      <c r="G133">
        <v>202109</v>
      </c>
      <c r="H133" s="1">
        <v>313146.84999999998</v>
      </c>
    </row>
    <row r="134" spans="1:8">
      <c r="A134" s="188" t="s">
        <v>890</v>
      </c>
      <c r="B134" s="188" t="s">
        <v>891</v>
      </c>
      <c r="C134" s="188" t="s">
        <v>884</v>
      </c>
      <c r="D134" s="188" t="s">
        <v>892</v>
      </c>
      <c r="E134" s="188" t="s">
        <v>828</v>
      </c>
      <c r="F134" s="188" t="s">
        <v>905</v>
      </c>
      <c r="G134">
        <v>202110</v>
      </c>
      <c r="H134" s="1">
        <v>148655.5</v>
      </c>
    </row>
    <row r="135" spans="1:8">
      <c r="A135" s="188" t="s">
        <v>890</v>
      </c>
      <c r="B135" s="188" t="s">
        <v>891</v>
      </c>
      <c r="C135" s="188" t="s">
        <v>884</v>
      </c>
      <c r="D135" s="188" t="s">
        <v>892</v>
      </c>
      <c r="E135" s="188" t="s">
        <v>828</v>
      </c>
      <c r="F135" s="188" t="s">
        <v>905</v>
      </c>
      <c r="G135">
        <v>202111</v>
      </c>
      <c r="H135" s="1">
        <v>286410.01</v>
      </c>
    </row>
    <row r="136" spans="1:8">
      <c r="A136" s="188" t="s">
        <v>890</v>
      </c>
      <c r="B136" s="188" t="s">
        <v>891</v>
      </c>
      <c r="C136" s="188" t="s">
        <v>884</v>
      </c>
      <c r="D136" s="188" t="s">
        <v>892</v>
      </c>
      <c r="E136" s="188" t="s">
        <v>828</v>
      </c>
      <c r="F136" s="188" t="s">
        <v>905</v>
      </c>
      <c r="G136">
        <v>202112</v>
      </c>
      <c r="H136" s="1">
        <v>146342.59</v>
      </c>
    </row>
    <row r="137" spans="1:8">
      <c r="A137" s="188" t="s">
        <v>890</v>
      </c>
      <c r="B137" s="188" t="s">
        <v>891</v>
      </c>
      <c r="C137" s="188" t="s">
        <v>884</v>
      </c>
      <c r="D137" s="188" t="s">
        <v>892</v>
      </c>
      <c r="E137" s="188" t="s">
        <v>828</v>
      </c>
      <c r="F137" s="188" t="s">
        <v>905</v>
      </c>
      <c r="G137">
        <v>202201</v>
      </c>
      <c r="H137" s="1">
        <v>57666.28</v>
      </c>
    </row>
    <row r="138" spans="1:8">
      <c r="A138" s="188" t="s">
        <v>890</v>
      </c>
      <c r="B138" s="188" t="s">
        <v>891</v>
      </c>
      <c r="C138" s="188" t="s">
        <v>884</v>
      </c>
      <c r="D138" s="188" t="s">
        <v>892</v>
      </c>
      <c r="E138" s="188" t="s">
        <v>828</v>
      </c>
      <c r="F138" s="188" t="s">
        <v>905</v>
      </c>
      <c r="G138">
        <v>202202</v>
      </c>
      <c r="H138" s="1">
        <v>15194.69</v>
      </c>
    </row>
    <row r="139" spans="1:8">
      <c r="A139" s="188" t="s">
        <v>890</v>
      </c>
      <c r="B139" s="188" t="s">
        <v>891</v>
      </c>
      <c r="C139" s="188" t="s">
        <v>884</v>
      </c>
      <c r="D139" s="188" t="s">
        <v>892</v>
      </c>
      <c r="E139" s="188" t="s">
        <v>828</v>
      </c>
      <c r="F139" s="188" t="s">
        <v>905</v>
      </c>
      <c r="G139">
        <v>202203</v>
      </c>
      <c r="H139" s="1">
        <v>-6278.79</v>
      </c>
    </row>
    <row r="140" spans="1:8">
      <c r="A140" s="188" t="s">
        <v>890</v>
      </c>
      <c r="B140" s="188" t="s">
        <v>891</v>
      </c>
      <c r="C140" s="188" t="s">
        <v>884</v>
      </c>
      <c r="D140" s="188" t="s">
        <v>892</v>
      </c>
      <c r="E140" s="188" t="s">
        <v>828</v>
      </c>
      <c r="F140" s="188" t="s">
        <v>905</v>
      </c>
      <c r="G140">
        <v>202204</v>
      </c>
      <c r="H140" s="1">
        <v>89.77</v>
      </c>
    </row>
    <row r="141" spans="1:8">
      <c r="A141" s="188" t="s">
        <v>890</v>
      </c>
      <c r="B141" s="188" t="s">
        <v>891</v>
      </c>
      <c r="C141" s="188" t="s">
        <v>884</v>
      </c>
      <c r="D141" s="188" t="s">
        <v>892</v>
      </c>
      <c r="E141" s="188" t="s">
        <v>828</v>
      </c>
      <c r="F141" s="188" t="s">
        <v>905</v>
      </c>
      <c r="G141">
        <v>202205</v>
      </c>
      <c r="H141" s="1">
        <v>0.39</v>
      </c>
    </row>
    <row r="142" spans="1:8">
      <c r="A142" s="188" t="s">
        <v>890</v>
      </c>
      <c r="B142" s="188" t="s">
        <v>891</v>
      </c>
      <c r="C142" s="188" t="s">
        <v>884</v>
      </c>
      <c r="D142" s="188" t="s">
        <v>892</v>
      </c>
      <c r="E142" s="188" t="s">
        <v>828</v>
      </c>
      <c r="F142" s="188" t="s">
        <v>906</v>
      </c>
      <c r="G142">
        <v>202201</v>
      </c>
      <c r="H142" s="1">
        <v>101025.52</v>
      </c>
    </row>
    <row r="143" spans="1:8">
      <c r="A143" s="188" t="s">
        <v>890</v>
      </c>
      <c r="B143" s="188" t="s">
        <v>891</v>
      </c>
      <c r="C143" s="188" t="s">
        <v>884</v>
      </c>
      <c r="D143" s="188" t="s">
        <v>892</v>
      </c>
      <c r="E143" s="188" t="s">
        <v>828</v>
      </c>
      <c r="F143" s="188" t="s">
        <v>906</v>
      </c>
      <c r="G143">
        <v>202202</v>
      </c>
      <c r="H143" s="1">
        <v>157491.17000000001</v>
      </c>
    </row>
    <row r="144" spans="1:8">
      <c r="A144" s="188" t="s">
        <v>890</v>
      </c>
      <c r="B144" s="188" t="s">
        <v>891</v>
      </c>
      <c r="C144" s="188" t="s">
        <v>884</v>
      </c>
      <c r="D144" s="188" t="s">
        <v>892</v>
      </c>
      <c r="E144" s="188" t="s">
        <v>828</v>
      </c>
      <c r="F144" s="188" t="s">
        <v>906</v>
      </c>
      <c r="G144">
        <v>202203</v>
      </c>
      <c r="H144" s="1">
        <v>271613.75</v>
      </c>
    </row>
    <row r="145" spans="1:8">
      <c r="A145" s="188" t="s">
        <v>890</v>
      </c>
      <c r="B145" s="188" t="s">
        <v>891</v>
      </c>
      <c r="C145" s="188" t="s">
        <v>884</v>
      </c>
      <c r="D145" s="188" t="s">
        <v>892</v>
      </c>
      <c r="E145" s="188" t="s">
        <v>828</v>
      </c>
      <c r="F145" s="188" t="s">
        <v>906</v>
      </c>
      <c r="G145">
        <v>202204</v>
      </c>
      <c r="H145" s="1">
        <v>287936.48</v>
      </c>
    </row>
    <row r="146" spans="1:8">
      <c r="A146" s="188" t="s">
        <v>890</v>
      </c>
      <c r="B146" s="188" t="s">
        <v>891</v>
      </c>
      <c r="C146" s="188" t="s">
        <v>884</v>
      </c>
      <c r="D146" s="188" t="s">
        <v>892</v>
      </c>
      <c r="E146" s="188" t="s">
        <v>828</v>
      </c>
      <c r="F146" s="188" t="s">
        <v>906</v>
      </c>
      <c r="G146">
        <v>202205</v>
      </c>
      <c r="H146" s="1">
        <v>279667.32</v>
      </c>
    </row>
    <row r="147" spans="1:8">
      <c r="A147" s="188" t="s">
        <v>890</v>
      </c>
      <c r="B147" s="188" t="s">
        <v>891</v>
      </c>
      <c r="C147" s="188" t="s">
        <v>884</v>
      </c>
      <c r="D147" s="188" t="s">
        <v>892</v>
      </c>
      <c r="E147" s="188" t="s">
        <v>828</v>
      </c>
      <c r="F147" s="188" t="s">
        <v>906</v>
      </c>
      <c r="G147">
        <v>202206</v>
      </c>
      <c r="H147" s="1">
        <v>386216.68</v>
      </c>
    </row>
    <row r="148" spans="1:8">
      <c r="A148" s="188" t="s">
        <v>890</v>
      </c>
      <c r="B148" s="188" t="s">
        <v>891</v>
      </c>
      <c r="C148" s="188" t="s">
        <v>884</v>
      </c>
      <c r="D148" s="188" t="s">
        <v>892</v>
      </c>
      <c r="E148" s="188" t="s">
        <v>828</v>
      </c>
      <c r="F148" s="188" t="s">
        <v>906</v>
      </c>
      <c r="G148">
        <v>202207</v>
      </c>
      <c r="H148" s="1">
        <v>199592.11</v>
      </c>
    </row>
    <row r="149" spans="1:8">
      <c r="A149" s="188" t="s">
        <v>890</v>
      </c>
      <c r="B149" s="188" t="s">
        <v>891</v>
      </c>
      <c r="C149" s="188" t="s">
        <v>884</v>
      </c>
      <c r="D149" s="188" t="s">
        <v>892</v>
      </c>
      <c r="E149" s="188" t="s">
        <v>828</v>
      </c>
      <c r="F149" s="188" t="s">
        <v>906</v>
      </c>
      <c r="G149">
        <v>202208</v>
      </c>
      <c r="H149" s="1">
        <v>189315.13</v>
      </c>
    </row>
    <row r="150" spans="1:8">
      <c r="A150" s="188" t="s">
        <v>890</v>
      </c>
      <c r="B150" s="188" t="s">
        <v>891</v>
      </c>
      <c r="C150" s="188" t="s">
        <v>884</v>
      </c>
      <c r="D150" s="188" t="s">
        <v>892</v>
      </c>
      <c r="E150" s="188" t="s">
        <v>828</v>
      </c>
      <c r="F150" s="188" t="s">
        <v>906</v>
      </c>
      <c r="G150">
        <v>202209</v>
      </c>
      <c r="H150" s="1">
        <v>201230.11</v>
      </c>
    </row>
    <row r="151" spans="1:8">
      <c r="A151" s="188" t="s">
        <v>890</v>
      </c>
      <c r="B151" s="188" t="s">
        <v>891</v>
      </c>
      <c r="C151" s="188" t="s">
        <v>884</v>
      </c>
      <c r="D151" s="188" t="s">
        <v>892</v>
      </c>
      <c r="E151" s="188" t="s">
        <v>828</v>
      </c>
      <c r="F151" s="188" t="s">
        <v>906</v>
      </c>
      <c r="G151">
        <v>202210</v>
      </c>
      <c r="H151" s="1">
        <v>234815.04</v>
      </c>
    </row>
    <row r="152" spans="1:8">
      <c r="A152" s="188" t="s">
        <v>890</v>
      </c>
      <c r="B152" s="188" t="s">
        <v>891</v>
      </c>
      <c r="C152" s="188" t="s">
        <v>884</v>
      </c>
      <c r="D152" s="188" t="s">
        <v>892</v>
      </c>
      <c r="E152" s="188" t="s">
        <v>828</v>
      </c>
      <c r="F152" s="188" t="s">
        <v>906</v>
      </c>
      <c r="G152">
        <v>202211</v>
      </c>
      <c r="H152" s="1">
        <v>243316.73</v>
      </c>
    </row>
    <row r="153" spans="1:8">
      <c r="A153" s="188" t="s">
        <v>890</v>
      </c>
      <c r="B153" s="188" t="s">
        <v>891</v>
      </c>
      <c r="C153" s="188" t="s">
        <v>884</v>
      </c>
      <c r="D153" s="188" t="s">
        <v>892</v>
      </c>
      <c r="E153" s="188" t="s">
        <v>828</v>
      </c>
      <c r="F153" s="188" t="s">
        <v>906</v>
      </c>
      <c r="G153">
        <v>202212</v>
      </c>
      <c r="H153" s="1">
        <v>132709.62</v>
      </c>
    </row>
    <row r="154" spans="1:8">
      <c r="A154" s="188" t="s">
        <v>890</v>
      </c>
      <c r="B154" s="188" t="s">
        <v>891</v>
      </c>
      <c r="C154" s="188" t="s">
        <v>884</v>
      </c>
      <c r="D154" s="188" t="s">
        <v>892</v>
      </c>
      <c r="E154" s="188" t="s">
        <v>828</v>
      </c>
      <c r="F154" s="188" t="s">
        <v>906</v>
      </c>
      <c r="G154">
        <v>202301</v>
      </c>
      <c r="H154" s="1">
        <v>313996.43</v>
      </c>
    </row>
    <row r="155" spans="1:8">
      <c r="A155" s="188" t="s">
        <v>890</v>
      </c>
      <c r="B155" s="188" t="s">
        <v>891</v>
      </c>
      <c r="C155" s="188" t="s">
        <v>884</v>
      </c>
      <c r="D155" s="188" t="s">
        <v>892</v>
      </c>
      <c r="E155" s="188" t="s">
        <v>828</v>
      </c>
      <c r="F155" s="188" t="s">
        <v>906</v>
      </c>
      <c r="G155">
        <v>202302</v>
      </c>
      <c r="H155" s="1">
        <v>226271.46</v>
      </c>
    </row>
    <row r="156" spans="1:8">
      <c r="A156" s="188" t="s">
        <v>890</v>
      </c>
      <c r="B156" s="188" t="s">
        <v>891</v>
      </c>
      <c r="C156" s="188" t="s">
        <v>884</v>
      </c>
      <c r="D156" s="188" t="s">
        <v>892</v>
      </c>
      <c r="E156" s="188" t="s">
        <v>828</v>
      </c>
      <c r="F156" s="188" t="s">
        <v>906</v>
      </c>
      <c r="G156">
        <v>202303</v>
      </c>
      <c r="H156" s="1">
        <v>343246.03</v>
      </c>
    </row>
    <row r="157" spans="1:8">
      <c r="A157" s="188" t="s">
        <v>890</v>
      </c>
      <c r="B157" s="188" t="s">
        <v>891</v>
      </c>
      <c r="C157" s="188" t="s">
        <v>884</v>
      </c>
      <c r="D157" s="188" t="s">
        <v>892</v>
      </c>
      <c r="E157" s="188" t="s">
        <v>828</v>
      </c>
      <c r="F157" s="188" t="s">
        <v>906</v>
      </c>
      <c r="G157">
        <v>202304</v>
      </c>
      <c r="H157" s="1">
        <v>453265.93</v>
      </c>
    </row>
    <row r="158" spans="1:8">
      <c r="A158" s="188" t="s">
        <v>890</v>
      </c>
      <c r="B158" s="188" t="s">
        <v>891</v>
      </c>
      <c r="C158" s="188" t="s">
        <v>884</v>
      </c>
      <c r="D158" s="188" t="s">
        <v>892</v>
      </c>
      <c r="E158" s="188" t="s">
        <v>828</v>
      </c>
      <c r="F158" s="188" t="s">
        <v>906</v>
      </c>
      <c r="G158">
        <v>202305</v>
      </c>
      <c r="H158" s="1">
        <v>300879.88</v>
      </c>
    </row>
    <row r="159" spans="1:8">
      <c r="A159" s="188" t="s">
        <v>890</v>
      </c>
      <c r="B159" s="188" t="s">
        <v>891</v>
      </c>
      <c r="C159" s="188" t="s">
        <v>884</v>
      </c>
      <c r="D159" s="188" t="s">
        <v>892</v>
      </c>
      <c r="E159" s="188" t="s">
        <v>828</v>
      </c>
      <c r="F159" s="188" t="s">
        <v>906</v>
      </c>
      <c r="G159">
        <v>202306</v>
      </c>
      <c r="H159" s="1">
        <v>266585.61</v>
      </c>
    </row>
    <row r="160" spans="1:8">
      <c r="A160" s="188" t="s">
        <v>890</v>
      </c>
      <c r="B160" s="188" t="s">
        <v>891</v>
      </c>
      <c r="C160" s="188" t="s">
        <v>884</v>
      </c>
      <c r="D160" s="188" t="s">
        <v>892</v>
      </c>
      <c r="E160" s="188" t="s">
        <v>828</v>
      </c>
      <c r="F160" s="188" t="s">
        <v>906</v>
      </c>
      <c r="G160">
        <v>202307</v>
      </c>
      <c r="H160" s="1">
        <v>71720.78</v>
      </c>
    </row>
    <row r="161" spans="1:8">
      <c r="A161" s="188" t="s">
        <v>890</v>
      </c>
      <c r="B161" s="188" t="s">
        <v>891</v>
      </c>
      <c r="C161" s="188" t="s">
        <v>884</v>
      </c>
      <c r="D161" s="188" t="s">
        <v>892</v>
      </c>
      <c r="E161" s="188" t="s">
        <v>828</v>
      </c>
      <c r="F161" s="188" t="s">
        <v>906</v>
      </c>
      <c r="G161">
        <v>202308</v>
      </c>
      <c r="H161" s="1">
        <v>92529.02</v>
      </c>
    </row>
    <row r="162" spans="1:8">
      <c r="A162" s="188" t="s">
        <v>890</v>
      </c>
      <c r="B162" s="188" t="s">
        <v>891</v>
      </c>
      <c r="C162" s="188" t="s">
        <v>884</v>
      </c>
      <c r="D162" s="188" t="s">
        <v>892</v>
      </c>
      <c r="E162" s="188" t="s">
        <v>828</v>
      </c>
      <c r="F162" s="188" t="s">
        <v>906</v>
      </c>
      <c r="G162">
        <v>202309</v>
      </c>
      <c r="H162" s="1">
        <v>207786.62</v>
      </c>
    </row>
    <row r="163" spans="1:8">
      <c r="A163" s="188" t="s">
        <v>890</v>
      </c>
      <c r="B163" s="188" t="s">
        <v>891</v>
      </c>
      <c r="C163" s="188" t="s">
        <v>884</v>
      </c>
      <c r="D163" s="188" t="s">
        <v>892</v>
      </c>
      <c r="E163" s="188" t="s">
        <v>828</v>
      </c>
      <c r="F163" s="188" t="s">
        <v>906</v>
      </c>
      <c r="G163">
        <v>202310</v>
      </c>
      <c r="H163" s="1">
        <v>494727.62</v>
      </c>
    </row>
    <row r="164" spans="1:8">
      <c r="A164" s="188" t="s">
        <v>890</v>
      </c>
      <c r="B164" s="188" t="s">
        <v>891</v>
      </c>
      <c r="C164" s="188" t="s">
        <v>884</v>
      </c>
      <c r="D164" s="188" t="s">
        <v>892</v>
      </c>
      <c r="E164" s="188" t="s">
        <v>828</v>
      </c>
      <c r="F164" s="188" t="s">
        <v>906</v>
      </c>
      <c r="G164">
        <v>202311</v>
      </c>
      <c r="H164" s="1">
        <v>56781.38</v>
      </c>
    </row>
    <row r="165" spans="1:8">
      <c r="A165" s="188" t="s">
        <v>890</v>
      </c>
      <c r="B165" s="188" t="s">
        <v>891</v>
      </c>
      <c r="C165" s="188" t="s">
        <v>884</v>
      </c>
      <c r="D165" s="188" t="s">
        <v>892</v>
      </c>
      <c r="E165" s="188" t="s">
        <v>828</v>
      </c>
      <c r="F165" s="188" t="s">
        <v>906</v>
      </c>
      <c r="G165">
        <v>202312</v>
      </c>
      <c r="H165" s="1">
        <v>4220.9799999999996</v>
      </c>
    </row>
    <row r="166" spans="1:8">
      <c r="A166" s="188" t="s">
        <v>890</v>
      </c>
      <c r="B166" s="188" t="s">
        <v>891</v>
      </c>
      <c r="C166" s="188" t="s">
        <v>884</v>
      </c>
      <c r="D166" s="188" t="s">
        <v>892</v>
      </c>
      <c r="E166" s="188" t="s">
        <v>828</v>
      </c>
      <c r="F166" s="188" t="s">
        <v>906</v>
      </c>
      <c r="G166">
        <v>202401</v>
      </c>
      <c r="H166" s="1">
        <v>34659.07</v>
      </c>
    </row>
    <row r="167" spans="1:8">
      <c r="A167" s="188" t="s">
        <v>890</v>
      </c>
      <c r="B167" s="188" t="s">
        <v>891</v>
      </c>
      <c r="C167" s="188" t="s">
        <v>884</v>
      </c>
      <c r="D167" s="188" t="s">
        <v>892</v>
      </c>
      <c r="E167" s="188" t="s">
        <v>828</v>
      </c>
      <c r="F167" s="188" t="s">
        <v>906</v>
      </c>
      <c r="G167">
        <v>202402</v>
      </c>
      <c r="H167" s="1">
        <v>72498.39</v>
      </c>
    </row>
    <row r="168" spans="1:8">
      <c r="A168" s="188" t="s">
        <v>890</v>
      </c>
      <c r="B168" s="188" t="s">
        <v>891</v>
      </c>
      <c r="C168" s="188" t="s">
        <v>884</v>
      </c>
      <c r="D168" s="188" t="s">
        <v>892</v>
      </c>
      <c r="E168" s="188" t="s">
        <v>828</v>
      </c>
      <c r="F168" s="188" t="s">
        <v>906</v>
      </c>
      <c r="G168">
        <v>202403</v>
      </c>
      <c r="H168" s="1">
        <v>127034.67</v>
      </c>
    </row>
    <row r="169" spans="1:8">
      <c r="A169" s="188" t="s">
        <v>890</v>
      </c>
      <c r="B169" s="188" t="s">
        <v>891</v>
      </c>
      <c r="C169" s="188" t="s">
        <v>884</v>
      </c>
      <c r="D169" s="188" t="s">
        <v>892</v>
      </c>
      <c r="E169" s="188" t="s">
        <v>828</v>
      </c>
      <c r="F169" s="188" t="s">
        <v>906</v>
      </c>
      <c r="G169">
        <v>202404</v>
      </c>
      <c r="H169" s="1">
        <v>108767.9</v>
      </c>
    </row>
    <row r="170" spans="1:8">
      <c r="A170" s="188" t="s">
        <v>890</v>
      </c>
      <c r="B170" s="188" t="s">
        <v>891</v>
      </c>
      <c r="C170" s="188" t="s">
        <v>884</v>
      </c>
      <c r="D170" s="188" t="s">
        <v>892</v>
      </c>
      <c r="E170" s="188" t="s">
        <v>828</v>
      </c>
      <c r="F170" s="188" t="s">
        <v>906</v>
      </c>
      <c r="G170">
        <v>202405</v>
      </c>
      <c r="H170" s="1">
        <v>62435.74</v>
      </c>
    </row>
    <row r="171" spans="1:8">
      <c r="A171" s="188" t="s">
        <v>890</v>
      </c>
      <c r="B171" s="188" t="s">
        <v>891</v>
      </c>
      <c r="C171" s="188" t="s">
        <v>884</v>
      </c>
      <c r="D171" s="188" t="s">
        <v>892</v>
      </c>
      <c r="E171" s="188" t="s">
        <v>828</v>
      </c>
      <c r="F171" s="188" t="s">
        <v>906</v>
      </c>
      <c r="G171">
        <v>202406</v>
      </c>
      <c r="H171" s="1">
        <v>-13493.51</v>
      </c>
    </row>
    <row r="172" spans="1:8">
      <c r="A172" s="188" t="s">
        <v>890</v>
      </c>
      <c r="B172" s="188" t="s">
        <v>891</v>
      </c>
      <c r="C172" s="188" t="s">
        <v>884</v>
      </c>
      <c r="D172" s="188" t="s">
        <v>892</v>
      </c>
      <c r="E172" s="188" t="s">
        <v>828</v>
      </c>
      <c r="F172" s="188" t="s">
        <v>906</v>
      </c>
      <c r="G172">
        <v>202407</v>
      </c>
      <c r="H172" s="1">
        <v>46568.77</v>
      </c>
    </row>
    <row r="173" spans="1:8">
      <c r="A173" s="188" t="s">
        <v>890</v>
      </c>
      <c r="B173" s="188" t="s">
        <v>891</v>
      </c>
      <c r="C173" s="188" t="s">
        <v>884</v>
      </c>
      <c r="D173" s="188" t="s">
        <v>892</v>
      </c>
      <c r="E173" s="188" t="s">
        <v>828</v>
      </c>
      <c r="F173" s="188" t="s">
        <v>906</v>
      </c>
      <c r="G173">
        <v>202408</v>
      </c>
      <c r="H173" s="1">
        <v>167052.23000000001</v>
      </c>
    </row>
    <row r="174" spans="1:8">
      <c r="A174" s="188" t="s">
        <v>890</v>
      </c>
      <c r="B174" s="188" t="s">
        <v>891</v>
      </c>
      <c r="C174" s="188" t="s">
        <v>884</v>
      </c>
      <c r="D174" s="188" t="s">
        <v>892</v>
      </c>
      <c r="E174" s="188" t="s">
        <v>828</v>
      </c>
      <c r="F174" s="188" t="s">
        <v>906</v>
      </c>
      <c r="G174">
        <v>202409</v>
      </c>
      <c r="H174" s="1">
        <v>395240.08</v>
      </c>
    </row>
    <row r="175" spans="1:8">
      <c r="A175" s="188" t="s">
        <v>890</v>
      </c>
      <c r="B175" s="188" t="s">
        <v>891</v>
      </c>
      <c r="C175" s="188" t="s">
        <v>884</v>
      </c>
      <c r="D175" s="188" t="s">
        <v>892</v>
      </c>
      <c r="E175" s="188" t="s">
        <v>828</v>
      </c>
      <c r="F175" s="188" t="s">
        <v>906</v>
      </c>
      <c r="G175">
        <v>202410</v>
      </c>
      <c r="H175" s="1">
        <v>96781.89</v>
      </c>
    </row>
    <row r="176" spans="1:8">
      <c r="A176" s="188" t="s">
        <v>890</v>
      </c>
      <c r="B176" s="188" t="s">
        <v>891</v>
      </c>
      <c r="C176" s="188" t="s">
        <v>884</v>
      </c>
      <c r="D176" s="188" t="s">
        <v>892</v>
      </c>
      <c r="E176" s="188" t="s">
        <v>828</v>
      </c>
      <c r="F176" s="188" t="s">
        <v>906</v>
      </c>
      <c r="G176">
        <v>202411</v>
      </c>
      <c r="H176" s="1">
        <v>114760.52</v>
      </c>
    </row>
    <row r="177" spans="1:8">
      <c r="A177" s="188" t="s">
        <v>890</v>
      </c>
      <c r="B177" s="188" t="s">
        <v>891</v>
      </c>
      <c r="C177" s="188" t="s">
        <v>884</v>
      </c>
      <c r="D177" s="188" t="s">
        <v>892</v>
      </c>
      <c r="E177" s="188" t="s">
        <v>828</v>
      </c>
      <c r="F177" s="188" t="s">
        <v>906</v>
      </c>
      <c r="G177">
        <v>202412</v>
      </c>
      <c r="H177" s="1">
        <v>228872.85</v>
      </c>
    </row>
    <row r="178" spans="1:8">
      <c r="A178" s="188" t="s">
        <v>890</v>
      </c>
      <c r="B178" s="188" t="s">
        <v>891</v>
      </c>
      <c r="C178" s="188" t="s">
        <v>884</v>
      </c>
      <c r="D178" s="188" t="s">
        <v>892</v>
      </c>
      <c r="E178" s="188" t="s">
        <v>828</v>
      </c>
      <c r="F178" s="188" t="s">
        <v>906</v>
      </c>
      <c r="G178">
        <v>202501</v>
      </c>
      <c r="H178" s="1">
        <v>165573.39000000001</v>
      </c>
    </row>
    <row r="179" spans="1:8">
      <c r="A179" s="188" t="s">
        <v>890</v>
      </c>
      <c r="B179" s="188" t="s">
        <v>891</v>
      </c>
      <c r="C179" s="188" t="s">
        <v>884</v>
      </c>
      <c r="D179" s="188" t="s">
        <v>892</v>
      </c>
      <c r="E179" s="188" t="s">
        <v>828</v>
      </c>
      <c r="F179" s="188" t="s">
        <v>906</v>
      </c>
      <c r="G179">
        <v>202502</v>
      </c>
      <c r="H179" s="1">
        <v>160476.81</v>
      </c>
    </row>
    <row r="180" spans="1:8">
      <c r="A180" s="188" t="s">
        <v>890</v>
      </c>
      <c r="B180" s="188" t="s">
        <v>891</v>
      </c>
      <c r="C180" s="188" t="s">
        <v>884</v>
      </c>
      <c r="D180" s="188" t="s">
        <v>892</v>
      </c>
      <c r="E180" s="188" t="s">
        <v>828</v>
      </c>
      <c r="F180" s="188" t="s">
        <v>906</v>
      </c>
      <c r="G180">
        <v>202503</v>
      </c>
      <c r="H180" s="1">
        <v>127839.59</v>
      </c>
    </row>
    <row r="181" spans="1:8">
      <c r="A181" s="188" t="s">
        <v>890</v>
      </c>
      <c r="B181" s="188" t="s">
        <v>891</v>
      </c>
      <c r="C181" s="188" t="s">
        <v>884</v>
      </c>
      <c r="D181" s="188" t="s">
        <v>892</v>
      </c>
      <c r="E181" s="188" t="s">
        <v>828</v>
      </c>
      <c r="F181" s="188" t="s">
        <v>906</v>
      </c>
      <c r="G181">
        <v>202504</v>
      </c>
      <c r="H181" s="1">
        <v>100477.83</v>
      </c>
    </row>
    <row r="182" spans="1:8">
      <c r="A182" s="188" t="s">
        <v>890</v>
      </c>
      <c r="B182" s="188" t="s">
        <v>891</v>
      </c>
      <c r="C182" s="188" t="s">
        <v>884</v>
      </c>
      <c r="D182" s="188" t="s">
        <v>892</v>
      </c>
      <c r="E182" s="188" t="s">
        <v>828</v>
      </c>
      <c r="F182" s="188" t="s">
        <v>906</v>
      </c>
      <c r="G182">
        <v>202505</v>
      </c>
      <c r="H182" s="1">
        <v>72698.75</v>
      </c>
    </row>
    <row r="183" spans="1:8">
      <c r="A183" s="188" t="s">
        <v>890</v>
      </c>
      <c r="B183" s="188" t="s">
        <v>891</v>
      </c>
      <c r="C183" s="188" t="s">
        <v>884</v>
      </c>
      <c r="D183" s="188" t="s">
        <v>892</v>
      </c>
      <c r="E183" s="188" t="s">
        <v>828</v>
      </c>
      <c r="F183" s="188" t="s">
        <v>906</v>
      </c>
      <c r="G183">
        <v>202506</v>
      </c>
      <c r="H183" s="1">
        <v>56614.03</v>
      </c>
    </row>
    <row r="184" spans="1:8">
      <c r="A184" s="188" t="s">
        <v>890</v>
      </c>
      <c r="B184" s="188" t="s">
        <v>891</v>
      </c>
      <c r="C184" s="188" t="s">
        <v>884</v>
      </c>
      <c r="D184" s="188" t="s">
        <v>892</v>
      </c>
      <c r="E184" s="188" t="s">
        <v>828</v>
      </c>
      <c r="F184" s="188" t="s">
        <v>906</v>
      </c>
      <c r="G184">
        <v>202507</v>
      </c>
      <c r="H184" s="1">
        <v>107505.73</v>
      </c>
    </row>
    <row r="185" spans="1:8">
      <c r="A185" s="188" t="s">
        <v>890</v>
      </c>
      <c r="B185" s="188" t="s">
        <v>891</v>
      </c>
      <c r="C185" s="188" t="s">
        <v>884</v>
      </c>
      <c r="D185" s="188" t="s">
        <v>892</v>
      </c>
      <c r="E185" s="188" t="s">
        <v>828</v>
      </c>
      <c r="F185" s="188" t="s">
        <v>906</v>
      </c>
      <c r="G185">
        <v>202508</v>
      </c>
      <c r="H185" s="1">
        <v>234391.31</v>
      </c>
    </row>
    <row r="186" spans="1:8">
      <c r="A186" s="188" t="s">
        <v>890</v>
      </c>
      <c r="B186" s="188" t="s">
        <v>891</v>
      </c>
      <c r="C186" s="188" t="s">
        <v>884</v>
      </c>
      <c r="D186" s="188" t="s">
        <v>892</v>
      </c>
      <c r="E186" s="188" t="s">
        <v>828</v>
      </c>
      <c r="F186" s="188" t="s">
        <v>906</v>
      </c>
      <c r="G186">
        <v>202509</v>
      </c>
      <c r="H186" s="1">
        <v>234162.37</v>
      </c>
    </row>
    <row r="187" spans="1:8">
      <c r="A187" s="188" t="s">
        <v>890</v>
      </c>
      <c r="B187" s="188" t="s">
        <v>891</v>
      </c>
      <c r="C187" s="188" t="s">
        <v>884</v>
      </c>
      <c r="D187" s="188" t="s">
        <v>892</v>
      </c>
      <c r="E187" s="188" t="s">
        <v>828</v>
      </c>
      <c r="F187" s="188" t="s">
        <v>906</v>
      </c>
      <c r="G187">
        <v>202510</v>
      </c>
      <c r="H187" s="1">
        <v>187484.32</v>
      </c>
    </row>
    <row r="188" spans="1:8">
      <c r="A188" s="188" t="s">
        <v>890</v>
      </c>
      <c r="B188" s="188" t="s">
        <v>891</v>
      </c>
      <c r="C188" s="188" t="s">
        <v>884</v>
      </c>
      <c r="D188" s="188" t="s">
        <v>892</v>
      </c>
      <c r="E188" s="188" t="s">
        <v>828</v>
      </c>
      <c r="F188" s="188" t="s">
        <v>906</v>
      </c>
      <c r="G188">
        <v>202511</v>
      </c>
      <c r="H188" s="1">
        <v>338149.5</v>
      </c>
    </row>
    <row r="189" spans="1:8">
      <c r="A189" s="188" t="s">
        <v>890</v>
      </c>
      <c r="B189" s="188" t="s">
        <v>891</v>
      </c>
      <c r="C189" s="188" t="s">
        <v>884</v>
      </c>
      <c r="D189" s="188" t="s">
        <v>892</v>
      </c>
      <c r="E189" s="188" t="s">
        <v>828</v>
      </c>
      <c r="F189" s="188" t="s">
        <v>906</v>
      </c>
      <c r="G189">
        <v>202512</v>
      </c>
      <c r="H189" s="1">
        <v>171286.37</v>
      </c>
    </row>
    <row r="190" spans="1:8">
      <c r="A190" s="188" t="s">
        <v>890</v>
      </c>
      <c r="B190" s="188" t="s">
        <v>891</v>
      </c>
      <c r="C190" s="188" t="s">
        <v>884</v>
      </c>
      <c r="D190" s="188" t="s">
        <v>892</v>
      </c>
      <c r="E190" s="188" t="s">
        <v>828</v>
      </c>
      <c r="F190" s="188" t="s">
        <v>906</v>
      </c>
      <c r="G190">
        <v>202601</v>
      </c>
      <c r="H190" s="1">
        <v>70851.899999999994</v>
      </c>
    </row>
    <row r="191" spans="1:8">
      <c r="A191" s="188" t="s">
        <v>890</v>
      </c>
      <c r="B191" s="188" t="s">
        <v>891</v>
      </c>
      <c r="C191" s="188" t="s">
        <v>884</v>
      </c>
      <c r="D191" s="188" t="s">
        <v>892</v>
      </c>
      <c r="E191" s="188" t="s">
        <v>828</v>
      </c>
      <c r="F191" s="188" t="s">
        <v>906</v>
      </c>
      <c r="G191">
        <v>202602</v>
      </c>
      <c r="H191" s="1">
        <v>61627.76</v>
      </c>
    </row>
  </sheetData>
  <autoFilter ref="A1:H187" xr:uid="{00000000-0001-0000-0200-000000000000}"/>
  <sortState xmlns:xlrd2="http://schemas.microsoft.com/office/spreadsheetml/2017/richdata2" ref="A2:H192">
    <sortCondition ref="C2:C192"/>
    <sortCondition ref="E2:E192"/>
    <sortCondition ref="F2:F192"/>
    <sortCondition ref="G2:G192"/>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049995464e7bd8919604ce5b50842935">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d05b0b3c092d42dd81fdac30d210b6a3"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OriginalFileDate"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riginalFileDate" ma:index="23" nillable="true" ma:displayName="Original File Date" ma:format="DateOnly" ma:internalName="OriginalFileDate">
      <xsd:simpleType>
        <xsd:restriction base="dms:DateTime"/>
      </xsd:simpleType>
    </xsd:element>
    <xsd:element name="_Flow_SignoffStatus" ma:index="24" nillable="true" ma:displayName="Sign-off status" ma:internalName="_x0024_Resources_x003a_core_x002c_Signoff_Status">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OriginalFileDate xmlns="f88ffb1c-9230-4705-a789-27bae69f5829" xsi:nil="true"/>
    <Owner xmlns="f88ffb1c-9230-4705-a789-27bae69f5829">
      <UserInfo>
        <DisplayName/>
        <AccountId xsi:nil="true"/>
        <AccountType/>
      </UserInfo>
    </Owner>
    <_Flow_SignoffStatus xmlns="f88ffb1c-9230-4705-a789-27bae69f5829" xsi:nil="true"/>
  </documentManagement>
</p:properties>
</file>

<file path=customXml/item3.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e0ZFOUQyOTc5LTM1Q0QtNDk5Mi1BQjE0LTUxNTYwQjIyQjNENX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PC9zaXNsPjxVc2VyTmFtZT5DT1JQXHMyMTcwNDY8L1VzZXJOYW1lPjxEYXRlVGltZT40LzMwLzIwMjYgNTozNDoxOSBQTTwvRGF0ZVRpbWU+PExhYmVsU3RyaW5nPkFFUCBJbnRlcm5hbDwvTGFiZWxTdHJpbmc+PC9pdGVtPjwvbGFiZWxIaXN0b3J5Pg==</Value>
  <Signature xmlns="http://www.w3.org/2000/09/xmldsig#">
    <SignedInfo>
      <CanonicalizationMethod Algorithm="http://www.w3.org/TR/2001/REC-xml-c14n-20010315"/>
      <SignatureMethod Algorithm="http://www.w3.org/2001/04/xmldsig-more#rsa-sha256"/>
      <Reference URI="">
        <Transforms>
          <Transform Algorithm="http://www.w3.org/2000/09/xmldsig#enveloped-signature"/>
        </Transforms>
        <DigestMethod Algorithm="http://www.w3.org/2001/04/xmlenc#sha256"/>
        <DigestValue>AJKJV3eUfvpkSZvCDfJ8/TJbvcTTUjsml3tINpV9bek=</DigestValue>
      </Reference>
      <Reference URI="#CLASSIFICATIONHISTORY">
        <DigestMethod Algorithm="http://www.w3.org/2001/04/xmlenc#sha256"/>
        <DigestValue>n4XIbxaZd2BSoEq3l4e7zbWKF8S0UYQzyiuX6aYMoI8=</DigestValue>
      </Reference>
    </SignedInfo>
    <SignatureValue>U1tgYYM9Zgdihy7JkGKxaUqvB0VqKQVjE36SGkynZaMvvlOFAi233wmrVJtMIVJVyYqNP9CpFSl0j/IM7R2QKA==</SignatureValue>
    <Object Id="CLASSIFICATIONHISTORY">
      <ArrayOfString xmlns:xsd="http://www.w3.org/2001/XMLSchema" xmlns:xsi="http://www.w3.org/2001/XMLSchema-instance" xmlns="">
        <string>9AjUeWZfOqzMztgVWR+N5z5wn9S7yXwb</string>
      </ArrayOfString>
    </Object>
  </Signature>
</WrappedLabelHistor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element uid="d14f5c36-f44a-4315-b438-005cfe8f069f" value=""/>
</sisl>
</file>

<file path=customXml/itemProps1.xml><?xml version="1.0" encoding="utf-8"?>
<ds:datastoreItem xmlns:ds="http://schemas.openxmlformats.org/officeDocument/2006/customXml" ds:itemID="{FD71ED56-2AAE-4E92-92A2-99266469D7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55F6F7-CD8C-4243-87FA-F9B0156BA5DB}">
  <ds:schemaRefs>
    <ds:schemaRef ds:uri="http://purl.org/dc/terms/"/>
    <ds:schemaRef ds:uri="http://purl.org/dc/elements/1.1/"/>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dcmitype/"/>
    <ds:schemaRef ds:uri="f88ffb1c-9230-4705-a789-27bae69f5829"/>
    <ds:schemaRef ds:uri="http://schemas.openxmlformats.org/package/2006/metadata/core-properties"/>
    <ds:schemaRef ds:uri="b6888f76-1100-40b0-929b-1efe9044426d"/>
  </ds:schemaRefs>
</ds:datastoreItem>
</file>

<file path=customXml/itemProps3.xml><?xml version="1.0" encoding="utf-8"?>
<ds:datastoreItem xmlns:ds="http://schemas.openxmlformats.org/officeDocument/2006/customXml" ds:itemID="{FE9D2979-35CD-4992-AB14-51560B22B3D5}">
  <ds:schemaRefs>
    <ds:schemaRef ds:uri="http://www.w3.org/2001/XMLSchema"/>
    <ds:schemaRef ds:uri="http://www.boldonjames.com/2016/02/Classifier/internal/wrappedLabelHistory"/>
    <ds:schemaRef ds:uri="http://www.w3.org/2000/09/xmldsig#"/>
    <ds:schemaRef ds:uri=""/>
  </ds:schemaRefs>
</ds:datastoreItem>
</file>

<file path=customXml/itemProps4.xml><?xml version="1.0" encoding="utf-8"?>
<ds:datastoreItem xmlns:ds="http://schemas.openxmlformats.org/officeDocument/2006/customXml" ds:itemID="{8DC55A3A-46A9-4397-9812-CCEF502C6552}">
  <ds:schemaRefs>
    <ds:schemaRef ds:uri="http://schemas.microsoft.com/sharepoint/v3/contenttype/forms"/>
  </ds:schemaRefs>
</ds:datastoreItem>
</file>

<file path=customXml/itemProps5.xml><?xml version="1.0" encoding="utf-8"?>
<ds:datastoreItem xmlns:ds="http://schemas.openxmlformats.org/officeDocument/2006/customXml" ds:itemID="{037E1F94-1A31-4416-8D66-6B0B3794B5C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vt:i4>
      </vt:variant>
    </vt:vector>
  </HeadingPairs>
  <TitlesOfParts>
    <vt:vector size="22" baseType="lpstr">
      <vt:lpstr>Revenue Requirement Summary</vt:lpstr>
      <vt:lpstr>W21</vt:lpstr>
      <vt:lpstr>W30</vt:lpstr>
      <vt:lpstr>W50</vt:lpstr>
      <vt:lpstr>Sch 4</vt:lpstr>
      <vt:lpstr>Sch 5</vt:lpstr>
      <vt:lpstr>TOR TIR Rate Base &amp; JE</vt:lpstr>
      <vt:lpstr>Pivot</vt:lpstr>
      <vt:lpstr>Query</vt:lpstr>
      <vt:lpstr>WO Check</vt:lpstr>
      <vt:lpstr>TREEREL25 CWIP as of TYE</vt:lpstr>
      <vt:lpstr>TREEREL26 CWIP as of Feb 26</vt:lpstr>
      <vt:lpstr>WACC</vt:lpstr>
      <vt:lpstr>ADIT Summary</vt:lpstr>
      <vt:lpstr>ADIT Calc - TOR</vt:lpstr>
      <vt:lpstr>ADIT Calc - TIR</vt:lpstr>
      <vt:lpstr>Cumulative Through Feb 2026</vt:lpstr>
      <vt:lpstr>MACRS</vt:lpstr>
      <vt:lpstr>'Sch 4'!Print_Area</vt:lpstr>
      <vt:lpstr>'Sch 5'!Print_Area</vt:lpstr>
      <vt:lpstr>'Sch 4'!Print_Titles</vt:lpstr>
      <vt:lpstr>'Sch 5'!Print_Titles</vt:lpstr>
    </vt:vector>
  </TitlesOfParts>
  <Manager/>
  <Company>American Electric Power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s213167</dc:creator>
  <cp:keywords/>
  <dc:description/>
  <cp:lastModifiedBy>J.D. Cullop</cp:lastModifiedBy>
  <cp:revision/>
  <dcterms:created xsi:type="dcterms:W3CDTF">2023-05-18T13:02:59Z</dcterms:created>
  <dcterms:modified xsi:type="dcterms:W3CDTF">2026-05-08T19:45:50Z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a1987365-c02c-444a-8c8b-3a9d176f1661</vt:lpwstr>
  </property>
  <property fmtid="{D5CDD505-2E9C-101B-9397-08002B2CF9AE}" pid="3" name="bjSaver">
    <vt:lpwstr>gu2o5dNIpgK/IMCL1CU0RhwyV6FkKGq0</vt:lpwstr>
  </property>
  <property fmtid="{D5CDD505-2E9C-101B-9397-08002B2CF9AE}" pid="4"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5" name="bjDocumentLabelXML-0">
    <vt:lpwstr>ames.com/2008/01/sie/internal/label"&gt;&lt;element uid="50c31824-0780-4910-87d1-eaaffd182d42" value="" /&gt;&lt;element uid="d14f5c36-f44a-4315-b438-005cfe8f069f" value="" /&gt;&lt;/sisl&gt;</vt:lpwstr>
  </property>
  <property fmtid="{D5CDD505-2E9C-101B-9397-08002B2CF9AE}" pid="6" name="bjDocumentSecurityLabel">
    <vt:lpwstr>AEP Internal</vt:lpwstr>
  </property>
  <property fmtid="{D5CDD505-2E9C-101B-9397-08002B2CF9AE}" pid="7" name="MSIP_Label_69f43042-6bda-44b2-91eb-eca3d3d484f4_SiteId">
    <vt:lpwstr>15f3c881-6b03-4ff6-8559-77bf5177818f</vt:lpwstr>
  </property>
  <property fmtid="{D5CDD505-2E9C-101B-9397-08002B2CF9AE}" pid="8" name="MSIP_Label_69f43042-6bda-44b2-91eb-eca3d3d484f4_Name">
    <vt:lpwstr>AEP Internal</vt:lpwstr>
  </property>
  <property fmtid="{D5CDD505-2E9C-101B-9397-08002B2CF9AE}" pid="9" name="MSIP_Label_69f43042-6bda-44b2-91eb-eca3d3d484f4_Enabled">
    <vt:lpwstr>true</vt:lpwstr>
  </property>
  <property fmtid="{D5CDD505-2E9C-101B-9397-08002B2CF9AE}" pid="10" name="bjClsUserRVM">
    <vt:lpwstr>[]</vt:lpwstr>
  </property>
  <property fmtid="{D5CDD505-2E9C-101B-9397-08002B2CF9AE}" pid="11" name="bjpmDocIH">
    <vt:lpwstr>UlCBV6MZkbRiHma6CQZ9UtsxQkWfju0H</vt:lpwstr>
  </property>
  <property fmtid="{D5CDD505-2E9C-101B-9397-08002B2CF9AE}" pid="12" name="bjLabelHistoryID">
    <vt:lpwstr>{FE9D2979-35CD-4992-AB14-51560B22B3D5}</vt:lpwstr>
  </property>
  <property fmtid="{D5CDD505-2E9C-101B-9397-08002B2CF9AE}" pid="13" name="ContentTypeId">
    <vt:lpwstr>0x0101004DF805D1E1DA4A49A223477D3B105720</vt:lpwstr>
  </property>
  <property fmtid="{D5CDD505-2E9C-101B-9397-08002B2CF9AE}" pid="14" name="MediaServiceImageTags">
    <vt:lpwstr/>
  </property>
</Properties>
</file>