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2025-00257 Base Case/05 Discovery/POST HEARING DATA REQUESTS/STAFF/Staff Set 2/Attachments/"/>
    </mc:Choice>
  </mc:AlternateContent>
  <xr:revisionPtr revIDLastSave="0" documentId="8_{6620373E-0906-4B6E-BC7F-88365145D1CF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Zonal Rates" sheetId="1" r:id="rId1"/>
    <sheet name="Sch 1 Rates" sheetId="2" r:id="rId2"/>
  </sheets>
  <definedNames>
    <definedName name="ActExcessAmt">#REF!</definedName>
    <definedName name="ActGrTaxAmt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dminChg">#REF!</definedName>
    <definedName name="AEP">#REF!</definedName>
    <definedName name="APCO">#REF!</definedName>
    <definedName name="AVRGPWRFCTR">#REF!</definedName>
    <definedName name="B1HRSCRMO">#REF!</definedName>
    <definedName name="B2HRSCRMO">#REF!</definedName>
    <definedName name="BASERATECHG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DAMNT">#REF!</definedName>
    <definedName name="BLDDMND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TTrueUp">#REF!</definedName>
    <definedName name="BUNCCHG">#REF!</definedName>
    <definedName name="BUNDCHG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CALCPFCC">#REF!</definedName>
    <definedName name="CAPDEFA">#REF!</definedName>
    <definedName name="CBLKWH">#REF!</definedName>
    <definedName name="City">#REF!</definedName>
    <definedName name="CNTRCTDMND">#REF!</definedName>
    <definedName name="CoPhoneLine">#REF!</definedName>
    <definedName name="CRMOINTRPTHRS">#REF!</definedName>
    <definedName name="CRNTMOBTKWH">#REF!</definedName>
    <definedName name="CRNTMOFPKHRS">#REF!</definedName>
    <definedName name="CRNTMONPKHRS">#REF!</definedName>
    <definedName name="CRTLBLONPKHRS">#REF!</definedName>
    <definedName name="CRTLBLONPKKWH">#REF!</definedName>
    <definedName name="CSTMRCHG">#REF!</definedName>
    <definedName name="CurMoAddr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stAddr1">#REF!</definedName>
    <definedName name="CustAddr2">#REF!</definedName>
    <definedName name="CustCityStZip">#REF!</definedName>
    <definedName name="CustName2">#REF!</definedName>
    <definedName name="CustTable">#REF!</definedName>
    <definedName name="DetailTotCbl">#REF!</definedName>
    <definedName name="DetailTotChg">#REF!</definedName>
    <definedName name="DetailTotKw">#REF!</definedName>
    <definedName name="DetailTotMargin">#REF!</definedName>
    <definedName name="DIRPCCHG">#REF!</definedName>
    <definedName name="DIRPDCHG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XOfpKvaChg">#REF!</definedName>
    <definedName name="DisXOfpKwChg">#REF!</definedName>
    <definedName name="DSTCCHG">#REF!</definedName>
    <definedName name="DSTDCHG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EDRBASE">#REF!</definedName>
    <definedName name="EDRDATE">#REF!</definedName>
    <definedName name="EDRDSCNT">#REF!</definedName>
    <definedName name="EDRLVLPCT">#REF!</definedName>
    <definedName name="EDRTYPE">#REF!</definedName>
    <definedName name="EffDate">#REF!</definedName>
    <definedName name="ELKMCGN1">#REF!</definedName>
    <definedName name="ELKMCGN2">#REF!</definedName>
    <definedName name="ENDDTM">#REF!</definedName>
    <definedName name="ENDTIME">#REF!</definedName>
    <definedName name="EstExcessAmt">#REF!</definedName>
    <definedName name="EstGrTaxAmt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XCSKVACHG">#REF!</definedName>
    <definedName name="EXCSKVADMND">#REF!</definedName>
    <definedName name="EXCSKVAR">#REF!</definedName>
    <definedName name="FIRMKWH">#REF!</definedName>
    <definedName name="FIRSTDAY">#REF!</definedName>
    <definedName name="FRMCPCT">#REF!</definedName>
    <definedName name="FUELCHG">#REF!</definedName>
    <definedName name="FUELRATE">#REF!</definedName>
    <definedName name="GenBlkKwhChg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HIPREKW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IMCO">#REF!</definedName>
    <definedName name="InterruptCapacity">#REF!</definedName>
    <definedName name="InterruptOfpCapacity">#REF!</definedName>
    <definedName name="InterruptType">#REF!</definedName>
    <definedName name="INTRPBLCAP">#REF!</definedName>
    <definedName name="Invdetails">#REF!</definedName>
    <definedName name="KWCHG">#REF!</definedName>
    <definedName name="KWH1NOCMM">#REF!</definedName>
    <definedName name="KWH3NOCMM">#REF!</definedName>
    <definedName name="KWHCHG">#REF!</definedName>
    <definedName name="LASTDAY">#REF!</definedName>
    <definedName name="LASTFUEL">#REF!</definedName>
    <definedName name="LASTMSRR">#REF!</definedName>
    <definedName name="LASTPFCC">#REF!</definedName>
    <definedName name="LDFCTR">#REF!</definedName>
    <definedName name="LRCREDIT">#REF!</definedName>
    <definedName name="MACC1">#REF!</definedName>
    <definedName name="MACC2">#REF!</definedName>
    <definedName name="MAINTHRSCRMO">#REF!</definedName>
    <definedName name="MAINTKWH">#REF!</definedName>
    <definedName name="MinBillDem">#REF!</definedName>
    <definedName name="MinBillDem2">#REF!</definedName>
    <definedName name="MinBillDmd">#REF!</definedName>
    <definedName name="MSRRBLD">#REF!</definedName>
    <definedName name="MSRRCHG">#REF!</definedName>
    <definedName name="MTRMLTPLR1">#REF!</definedName>
    <definedName name="MTRMLTPLR2">#REF!</definedName>
    <definedName name="NETMRGCHG">#REF!</definedName>
    <definedName name="NODAYSINPRD">#REF!</definedName>
    <definedName name="NODELPOINTS">#REF!</definedName>
    <definedName name="NvsASD">"V2006-12-31"</definedName>
    <definedName name="NvsAutoDrillOk">"VN"</definedName>
    <definedName name="NvsElapsedTime">0.000231481484661344</definedName>
    <definedName name="NvsEndTime">39091.5909490741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"%,X,RZF..,CNF.."</definedName>
    <definedName name="NvsPanelBusUnit">"V100"</definedName>
    <definedName name="NvsPanelEffdt">"V2004-06-30"</definedName>
    <definedName name="NvsPanelSetid">"VAEP"</definedName>
    <definedName name="NvsReqBU">"VX999"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NPKBILLKWH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PCBLKW">#REF!</definedName>
    <definedName name="OPCO">#REF!</definedName>
    <definedName name="OPXCSKW">#REF!</definedName>
    <definedName name="OPXCSKWDT">#REF!</definedName>
    <definedName name="OPXCSKWH">#REF!</definedName>
    <definedName name="OPXCSKWTM">#REF!</definedName>
    <definedName name="OTHRTRNSKWH">#REF!</definedName>
    <definedName name="P1PENPERC">#REF!</definedName>
    <definedName name="P2PENPERC">#REF!</definedName>
    <definedName name="PeakDemandChg">#REF!</definedName>
    <definedName name="PenaltyDays">#REF!</definedName>
    <definedName name="PenaltyPct">#REF!</definedName>
    <definedName name="PENDAYS">#REF!</definedName>
    <definedName name="PENDAYS2">#REF!</definedName>
    <definedName name="PFCC">#REF!</definedName>
    <definedName name="PKKVAR">#REF!</definedName>
    <definedName name="PKKVARDATE">#REF!</definedName>
    <definedName name="PKKVARTIME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_xlnm.Print_Area" localSheetId="1">'Sch 1 Rates'!$A$1:$S$35</definedName>
    <definedName name="_xlnm.Print_Area" localSheetId="0">'Zonal Rates'!$A$1:$U$62</definedName>
    <definedName name="PRVCNT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VHIOFPCBL">#REF!</definedName>
    <definedName name="PVHIOPCBL">#REF!</definedName>
    <definedName name="RatchetFactor">#REF!</definedName>
    <definedName name="RCRDRID">#REF!</definedName>
    <definedName name="RCTVHRS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_xlnm.Recorder">#REF!</definedName>
    <definedName name="Reserved_Section">#REF!</definedName>
    <definedName name="RIDERS">#REF!</definedName>
    <definedName name="RKVAHRDNG">#REF!</definedName>
    <definedName name="RTCHTCNTRCTCPCT">#REF!</definedName>
    <definedName name="RTCHTFCTR">#REF!</definedName>
    <definedName name="RTCHTFCTR2">#REF!</definedName>
    <definedName name="RTCHTHIPREVKW">#REF!</definedName>
    <definedName name="RTP_Detail">#REF!</definedName>
    <definedName name="RTPLRKW">#REF!</definedName>
    <definedName name="SDI">#REF!</definedName>
    <definedName name="SHLDRPKKW">#REF!</definedName>
    <definedName name="SHLDRPKKWDT">#REF!</definedName>
    <definedName name="SHLDRPKKWTM">#REF!</definedName>
    <definedName name="SHRDTRNSKWH">#REF!</definedName>
    <definedName name="SRPLSKWH">#REF!</definedName>
    <definedName name="STARTDTM">#REF!</definedName>
    <definedName name="State">#REF!</definedName>
    <definedName name="STDKW">#REF!</definedName>
    <definedName name="STDKWDT">#REF!</definedName>
    <definedName name="STDKWTM">#REF!</definedName>
    <definedName name="STRTTIME">#REF!</definedName>
    <definedName name="SYSPKKW">#REF!</definedName>
    <definedName name="SYSPKKWDT">#REF!</definedName>
    <definedName name="SYSPKKWTM">#REF!</definedName>
    <definedName name="TARIFF1">#REF!</definedName>
    <definedName name="TARIFF2">#REF!</definedName>
    <definedName name="TariffCode">#REF!</definedName>
    <definedName name="TariffLongName">#REF!</definedName>
    <definedName name="TariffShortName">#REF!</definedName>
    <definedName name="TAXDATE">#REF!</definedName>
    <definedName name="TAXES">#REF!</definedName>
    <definedName name="TAXNAME">#REF!</definedName>
    <definedName name="TAXRATE">#REF!</definedName>
    <definedName name="TAXTYPE">#REF!</definedName>
    <definedName name="TCst">#REF!</definedName>
    <definedName name="TCst1">#REF!</definedName>
    <definedName name="TIRPCCHG">#REF!</definedName>
    <definedName name="TIRPDCHG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LsFctr">#REF!</definedName>
    <definedName name="TRCRDKWH">#REF!</definedName>
    <definedName name="TRCRDKWH2P">#REF!</definedName>
    <definedName name="TRFDATE1">#REF!</definedName>
    <definedName name="TRFDATE2">#REF!</definedName>
    <definedName name="TRFNAME1">#REF!</definedName>
    <definedName name="TRFNAME2">#REF!</definedName>
    <definedName name="TRFSHORTNM1">#REF!</definedName>
    <definedName name="TRFSHORTNM2">#REF!</definedName>
    <definedName name="TrnBlkKwhChg1">#REF!</definedName>
    <definedName name="TrnBlkKwhChg2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TLBSRATETTL">#REF!</definedName>
    <definedName name="TTLCOGENKWH">#REF!</definedName>
    <definedName name="UNBUNDIND">#REF!</definedName>
    <definedName name="Z_59817C1F_0731_403A_A1D5_70099C98272D_.wvu.PrintArea" localSheetId="1" hidden="1">'Sch 1 Rates'!$A$1:$S$35</definedName>
    <definedName name="Z_59817C1F_0731_403A_A1D5_70099C98272D_.wvu.PrintArea" localSheetId="0" hidden="1">'Zonal Rates'!$A$1:$U$57</definedName>
    <definedName name="Zip">#REF!</definedName>
  </definedNames>
  <calcPr calcId="191029"/>
  <customWorkbookViews>
    <customWorkbookView name="AEP - Personal View" guid="{51F5E52F-0ED7-45F8-995B-A008B15FCDF4}" mergeInterval="0" personalView="1" maximized="1" windowWidth="1020" windowHeight="553" tabRatio="941" activeSheetId="1"/>
    <customWorkbookView name="American Electric Power® - Personal View" guid="{59817C1F-0731-403A-A1D5-70099C98272D}" mergeInterval="0" personalView="1" maximized="1" windowWidth="1276" windowHeight="825" tabRatio="94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5" i="2" l="1"/>
  <c r="I38" i="1" l="1"/>
  <c r="D43" i="1" l="1"/>
  <c r="D33" i="2"/>
  <c r="I33" i="1"/>
  <c r="E24" i="2"/>
  <c r="I55" i="1"/>
  <c r="I28" i="1"/>
  <c r="I23" i="1"/>
  <c r="B17" i="1"/>
  <c r="B19" i="1" s="1"/>
  <c r="B21" i="1" s="1"/>
  <c r="B22" i="1" s="1"/>
  <c r="B23" i="1" s="1"/>
  <c r="B24" i="1" s="1"/>
  <c r="G32" i="1"/>
  <c r="D32" i="1"/>
  <c r="D33" i="1"/>
  <c r="D51" i="1"/>
  <c r="D50" i="1"/>
  <c r="D49" i="1"/>
  <c r="D48" i="1"/>
  <c r="D47" i="1"/>
  <c r="D46" i="1"/>
  <c r="D45" i="1"/>
  <c r="B16" i="2"/>
  <c r="B17" i="2" s="1"/>
  <c r="D24" i="2"/>
  <c r="D25" i="2"/>
  <c r="G23" i="1"/>
  <c r="G28" i="1"/>
  <c r="D54" i="1"/>
  <c r="G55" i="1"/>
  <c r="G25" i="2"/>
  <c r="G24" i="2"/>
  <c r="I32" i="1"/>
  <c r="E18" i="2" l="1"/>
  <c r="B18" i="2"/>
  <c r="B26" i="1"/>
  <c r="G54" i="1"/>
  <c r="G26" i="1"/>
  <c r="B20" i="2" l="1"/>
  <c r="B22" i="2" s="1"/>
  <c r="B28" i="1"/>
  <c r="B30" i="1" s="1"/>
  <c r="B26" i="2" l="1"/>
  <c r="B24" i="2"/>
  <c r="B25" i="2" s="1"/>
  <c r="E22" i="2"/>
  <c r="B32" i="1"/>
  <c r="B33" i="1" s="1"/>
  <c r="B34" i="1"/>
  <c r="B40" i="1" s="1"/>
  <c r="G30" i="1"/>
  <c r="B30" i="2" l="1"/>
  <c r="B28" i="2"/>
  <c r="B43" i="1"/>
  <c r="B45" i="1" s="1"/>
  <c r="G40" i="1"/>
  <c r="B33" i="2" l="1"/>
  <c r="B35" i="2" s="1"/>
  <c r="B46" i="1"/>
  <c r="B47" i="1" s="1"/>
  <c r="B48" i="1" s="1"/>
  <c r="B49" i="1" s="1"/>
  <c r="B50" i="1" s="1"/>
  <c r="B51" i="1" s="1"/>
  <c r="B54" i="1" s="1"/>
  <c r="B55" i="1" s="1"/>
  <c r="B56" i="1" s="1"/>
  <c r="B57" i="1" s="1"/>
  <c r="G49" i="1"/>
  <c r="G51" i="1"/>
  <c r="G48" i="1"/>
  <c r="G50" i="1"/>
  <c r="G47" i="1"/>
  <c r="G46" i="1"/>
  <c r="G45" i="1"/>
  <c r="E35" i="2" l="1"/>
  <c r="G20" i="2" l="1"/>
  <c r="Q18" i="2" l="1"/>
  <c r="Q22" i="2" s="1"/>
  <c r="S19" i="1" l="1"/>
  <c r="S24" i="1" l="1"/>
  <c r="S54" i="1" l="1"/>
  <c r="S26" i="1"/>
  <c r="S30" i="1" s="1"/>
  <c r="Q30" i="2" l="1"/>
  <c r="S40" i="1" l="1"/>
  <c r="S57" i="1" l="1"/>
  <c r="O24" i="1" l="1"/>
  <c r="O54" i="1" s="1"/>
  <c r="O57" i="1" s="1"/>
  <c r="M18" i="2" l="1"/>
  <c r="M22" i="2" s="1"/>
  <c r="O19" i="1" l="1"/>
  <c r="O26" i="1" s="1"/>
  <c r="O30" i="1" s="1"/>
  <c r="O18" i="2" l="1"/>
  <c r="O22" i="2" s="1"/>
  <c r="Q19" i="1" l="1"/>
  <c r="Q24" i="1" l="1"/>
  <c r="Q54" i="1" l="1"/>
  <c r="Q57" i="1" s="1"/>
  <c r="Q26" i="1"/>
  <c r="Q30" i="1" s="1"/>
  <c r="I36" i="1" l="1"/>
  <c r="K18" i="2" l="1"/>
  <c r="K22" i="2" s="1"/>
  <c r="I18" i="2" l="1"/>
  <c r="I22" i="2" s="1"/>
  <c r="K19" i="1" l="1"/>
  <c r="K24" i="1" l="1"/>
  <c r="K54" i="1" l="1"/>
  <c r="K26" i="1"/>
  <c r="K30" i="1" l="1"/>
  <c r="K57" i="1"/>
  <c r="I56" i="1" l="1"/>
  <c r="I17" i="1" l="1"/>
  <c r="G17" i="2" l="1"/>
  <c r="G16" i="2"/>
  <c r="S18" i="2" l="1"/>
  <c r="S22" i="2" s="1"/>
  <c r="G22" i="2" s="1"/>
  <c r="G15" i="2"/>
  <c r="G18" i="2" s="1"/>
  <c r="U19" i="1" l="1"/>
  <c r="U24" i="1" l="1"/>
  <c r="U54" i="1" l="1"/>
  <c r="U57" i="1" s="1"/>
  <c r="U26" i="1"/>
  <c r="U30" i="1" s="1"/>
  <c r="M19" i="1" l="1"/>
  <c r="I15" i="1"/>
  <c r="I19" i="1" l="1"/>
  <c r="M24" i="1" l="1"/>
  <c r="I22" i="1"/>
  <c r="I24" i="1" s="1"/>
  <c r="M54" i="1" l="1"/>
  <c r="M26" i="1"/>
  <c r="M30" i="1" l="1"/>
  <c r="I26" i="1"/>
  <c r="I30" i="1" s="1"/>
  <c r="M57" i="1"/>
  <c r="I54" i="1"/>
  <c r="I57" i="1" s="1"/>
  <c r="S30" i="2" l="1"/>
  <c r="I30" i="2" l="1"/>
  <c r="U40" i="1"/>
  <c r="M30" i="2" l="1"/>
  <c r="M40" i="1"/>
  <c r="K30" i="2" l="1"/>
  <c r="Q40" i="1"/>
  <c r="O40" i="1"/>
  <c r="O30" i="2"/>
  <c r="G26" i="2" l="1"/>
  <c r="G30" i="2"/>
  <c r="G35" i="2" s="1"/>
  <c r="I34" i="1" l="1"/>
  <c r="I40" i="1" s="1"/>
  <c r="I45" i="1" s="1"/>
  <c r="K40" i="1"/>
  <c r="I51" i="1" l="1"/>
  <c r="I46" i="1"/>
  <c r="I49" i="1"/>
  <c r="I48" i="1"/>
  <c r="I50" i="1"/>
  <c r="I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s273689</author>
  </authors>
  <commentList>
    <comment ref="U38" authorId="0" shapeId="0" xr:uid="{7F140B69-81EE-44F5-9427-13D198C44240}">
      <text>
        <r>
          <rPr>
            <b/>
            <sz val="9"/>
            <color indexed="81"/>
            <rFont val="Tahoma"/>
            <family val="2"/>
          </rPr>
          <t>JI-40 fix: 4560012 transmission balance was not picked up in 2022 true-up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s273689</author>
  </authors>
  <commentList>
    <comment ref="G33" authorId="0" shapeId="0" xr:uid="{E84BEE35-7840-427F-9E11-7D002D1E0211}">
      <text>
        <r>
          <rPr>
            <b/>
            <sz val="9"/>
            <color indexed="81"/>
            <rFont val="Tahoma"/>
            <family val="2"/>
          </rPr>
          <t xml:space="preserve">Comes from Randy Holiday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<sst xmlns="http://schemas.openxmlformats.org/spreadsheetml/2006/main" count="118" uniqueCount="65">
  <si>
    <t>AEP Annual</t>
  </si>
  <si>
    <t>Line</t>
  </si>
  <si>
    <t>Revenue</t>
  </si>
  <si>
    <t>No.</t>
  </si>
  <si>
    <t>Requirement</t>
  </si>
  <si>
    <t>A.</t>
  </si>
  <si>
    <t>Network Service</t>
  </si>
  <si>
    <t>REVENUE REQUIREMENT (w/o incentives)</t>
  </si>
  <si>
    <t>LESS: REVENUE CREDITS</t>
  </si>
  <si>
    <t>CURRENT YEAR ZONE 1 AEP NETWORK SERVICE REVENUE REQUIREMENT</t>
  </si>
  <si>
    <t xml:space="preserve">LESS:  REVENUE REQUIREMENTS INCLUDED IN LINE 1 FOR: </t>
  </si>
  <si>
    <t xml:space="preserve">      SUBTOTAL</t>
  </si>
  <si>
    <t xml:space="preserve"> </t>
  </si>
  <si>
    <t>EXISTING ZONAL ATRR (W/O INCENTIVES)</t>
  </si>
  <si>
    <t>INCENTIVE REVENUE REQUIREMENT FOR ZONAL PROJECTS</t>
  </si>
  <si>
    <t>EXISTING ZONAL ATRR (W/ INCENTIVES)</t>
  </si>
  <si>
    <t>Input from Prior Year</t>
  </si>
  <si>
    <t>INTEREST ON PRIOR YEAR TRUE UP</t>
  </si>
  <si>
    <t>B.</t>
  </si>
  <si>
    <t>Point-to-Point Service</t>
  </si>
  <si>
    <t>MW</t>
  </si>
  <si>
    <t>C.</t>
  </si>
  <si>
    <t>Less:  Load Disptach - Scheduling, System Control and Dispatch Services (321.88.b)</t>
  </si>
  <si>
    <t>Less:  Load Disptach - Reliability, Planning &amp; Standards Development Services (321.92.6)</t>
  </si>
  <si>
    <t>Total 561 Internally Developed Costs</t>
  </si>
  <si>
    <t>Less:  PTP Service Credit</t>
  </si>
  <si>
    <t xml:space="preserve">EXISTING ZONAL ARR </t>
  </si>
  <si>
    <t>APCo Annual</t>
  </si>
  <si>
    <t>I&amp;M Annual</t>
  </si>
  <si>
    <t>KPCo Annual</t>
  </si>
  <si>
    <t>KNG Annual</t>
  </si>
  <si>
    <t>OPCo Annual</t>
  </si>
  <si>
    <t>WPCo Annual</t>
  </si>
  <si>
    <t>PJM Regional Service</t>
  </si>
  <si>
    <t xml:space="preserve">      RTEP UPGRADES (W/O INCENTIVES)</t>
  </si>
  <si>
    <t>Schedule 1A ARR</t>
  </si>
  <si>
    <t xml:space="preserve">      OTHER ZONAL UPGRADES (W/O INCENTIVES)</t>
  </si>
  <si>
    <t>ADDITIONAL ATRR FOR FERC-APPROVED INCENTIVES ON RTEP</t>
  </si>
  <si>
    <t>Net Schedule 1A Revenue Requirement for Zone</t>
  </si>
  <si>
    <t>AEP EAST Companies  Transmission Formula Rate Revenue Requirement</t>
  </si>
  <si>
    <t>AEP Transmission Schedule 1A Revenue Requirements</t>
  </si>
  <si>
    <t xml:space="preserve">AEP Zone Transmission Service Revenue Requirement </t>
  </si>
  <si>
    <t>Schedule 1A Rate Calculations</t>
  </si>
  <si>
    <t>MWh</t>
  </si>
  <si>
    <t>AEP Zone Rate for Schedule 1A Service.</t>
  </si>
  <si>
    <t>(TCOS Ln 1 )</t>
  </si>
  <si>
    <t>(TCOS Ln 2 )</t>
  </si>
  <si>
    <t>(TCOS Ln 3 )</t>
  </si>
  <si>
    <t>TRUE-UP ADJUSTMENT INCLUDING INTEREST</t>
  </si>
  <si>
    <t>PRIOR YEAR TRUE-UP with Interest</t>
  </si>
  <si>
    <t>Total Load Dispatch &amp; Scheduling (Account 561) (TCOS Line 15)</t>
  </si>
  <si>
    <t>(TCOS Ln 5)</t>
  </si>
  <si>
    <t xml:space="preserve">   </t>
  </si>
  <si>
    <t>Utilizing Projected or FERC Form 1 Data</t>
  </si>
  <si>
    <t>(Worksheet Q)</t>
  </si>
  <si>
    <t xml:space="preserve">EXISTING ZONAL PTRR FOR PJM OATT </t>
  </si>
  <si>
    <t>RTEP PTRR FOR PJM COLLECTION UNDER SCHEDULE 12</t>
  </si>
  <si>
    <t>11a</t>
  </si>
  <si>
    <t>Facility Credits under PJM OATT Section 30.9</t>
  </si>
  <si>
    <t>(TCOS Ln 3)</t>
  </si>
  <si>
    <t xml:space="preserve">  </t>
  </si>
  <si>
    <t>11b</t>
  </si>
  <si>
    <t>Adjusments from prior Annual Updates</t>
  </si>
  <si>
    <t>Forecasted Costs Through December 31, 2024</t>
  </si>
  <si>
    <t>PRIOR YEAR TRUE-UP (2022 including interest)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</si>
</sst>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00"/>
    <numFmt numFmtId="171" formatCode="&quot;$&quot;#,##0.0000"/>
    <numFmt numFmtId="172" formatCode="[$-409]mmm\-yy;@"/>
  </numFmts>
  <fonts count="15">
    <font>
      <sz val="10"/>
      <name val="Arial"/>
    </font>
    <font>
      <sz val="10"/>
      <name val="Arial"/>
      <family val="2"/>
    </font>
    <font>
      <sz val="12"/>
      <name val="Arial MT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u/>
      <sz val="12"/>
      <name val="Arial MT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Protection="0"/>
    <xf numFmtId="9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</cellStyleXfs>
  <cellXfs count="102">
    <xf numFmtId="0" fontId="0" fillId="0" borderId="0" xfId="0"/>
    <xf numFmtId="166" fontId="5" fillId="0" borderId="0" xfId="3" applyFont="1"/>
    <xf numFmtId="0" fontId="5" fillId="0" borderId="0" xfId="3" applyNumberFormat="1" applyFont="1" applyAlignment="1" applyProtection="1">
      <alignment horizontal="right"/>
      <protection locked="0"/>
    </xf>
    <xf numFmtId="166" fontId="2" fillId="0" borderId="0" xfId="3" applyProtection="1">
      <protection locked="0"/>
    </xf>
    <xf numFmtId="166" fontId="5" fillId="0" borderId="0" xfId="3" applyFont="1" applyProtection="1">
      <protection locked="0"/>
    </xf>
    <xf numFmtId="0" fontId="5" fillId="0" borderId="0" xfId="0" applyFont="1" applyAlignment="1">
      <alignment horizontal="center"/>
    </xf>
    <xf numFmtId="0" fontId="5" fillId="0" borderId="0" xfId="3" applyNumberFormat="1" applyFont="1" applyProtection="1">
      <protection locked="0"/>
    </xf>
    <xf numFmtId="0" fontId="2" fillId="0" borderId="0" xfId="3" applyNumberFormat="1" applyAlignment="1" applyProtection="1">
      <alignment horizontal="center"/>
      <protection locked="0"/>
    </xf>
    <xf numFmtId="0" fontId="5" fillId="0" borderId="0" xfId="3" applyNumberFormat="1" applyFont="1" applyAlignment="1" applyProtection="1">
      <alignment horizontal="center"/>
      <protection locked="0"/>
    </xf>
    <xf numFmtId="49" fontId="5" fillId="0" borderId="0" xfId="3" applyNumberFormat="1" applyFont="1" applyAlignment="1" applyProtection="1">
      <alignment horizontal="center"/>
      <protection locked="0"/>
    </xf>
    <xf numFmtId="49" fontId="6" fillId="0" borderId="0" xfId="3" applyNumberFormat="1" applyFont="1" applyAlignment="1" applyProtection="1">
      <alignment horizontal="center"/>
      <protection locked="0"/>
    </xf>
    <xf numFmtId="49" fontId="5" fillId="0" borderId="0" xfId="3" applyNumberFormat="1" applyFont="1" applyProtection="1">
      <protection locked="0"/>
    </xf>
    <xf numFmtId="166" fontId="7" fillId="0" borderId="0" xfId="3" applyFont="1" applyAlignment="1">
      <alignment horizontal="center"/>
    </xf>
    <xf numFmtId="0" fontId="7" fillId="0" borderId="0" xfId="3" applyNumberFormat="1" applyFont="1" applyAlignment="1" applyProtection="1">
      <alignment horizontal="center"/>
      <protection locked="0"/>
    </xf>
    <xf numFmtId="0" fontId="2" fillId="0" borderId="1" xfId="3" applyNumberFormat="1" applyBorder="1" applyAlignment="1" applyProtection="1">
      <alignment horizontal="center"/>
      <protection locked="0"/>
    </xf>
    <xf numFmtId="0" fontId="8" fillId="0" borderId="0" xfId="3" applyNumberFormat="1" applyFont="1" applyAlignment="1" applyProtection="1">
      <alignment horizontal="left"/>
      <protection locked="0"/>
    </xf>
    <xf numFmtId="0" fontId="5" fillId="0" borderId="0" xfId="0" applyFont="1"/>
    <xf numFmtId="165" fontId="5" fillId="0" borderId="0" xfId="3" applyNumberFormat="1" applyFont="1"/>
    <xf numFmtId="165" fontId="5" fillId="0" borderId="0" xfId="3" applyNumberFormat="1" applyFont="1" applyProtection="1">
      <protection locked="0"/>
    </xf>
    <xf numFmtId="1" fontId="5" fillId="0" borderId="0" xfId="3" applyNumberFormat="1" applyFont="1" applyAlignment="1" applyProtection="1">
      <alignment horizontal="center"/>
      <protection locked="0"/>
    </xf>
    <xf numFmtId="167" fontId="5" fillId="0" borderId="0" xfId="1" applyNumberFormat="1" applyFont="1" applyAlignment="1" applyProtection="1">
      <protection locked="0"/>
    </xf>
    <xf numFmtId="0" fontId="5" fillId="0" borderId="0" xfId="0" applyFont="1" applyAlignment="1">
      <alignment horizontal="right"/>
    </xf>
    <xf numFmtId="166" fontId="5" fillId="0" borderId="0" xfId="3" applyFont="1" applyAlignment="1" applyProtection="1">
      <alignment horizontal="center"/>
      <protection locked="0"/>
    </xf>
    <xf numFmtId="166" fontId="2" fillId="0" borderId="0" xfId="3"/>
    <xf numFmtId="0" fontId="7" fillId="0" borderId="2" xfId="0" applyFont="1" applyBorder="1"/>
    <xf numFmtId="0" fontId="5" fillId="0" borderId="3" xfId="3" applyNumberFormat="1" applyFont="1" applyBorder="1" applyProtection="1">
      <protection locked="0"/>
    </xf>
    <xf numFmtId="166" fontId="5" fillId="0" borderId="3" xfId="3" applyFont="1" applyBorder="1"/>
    <xf numFmtId="1" fontId="5" fillId="0" borderId="3" xfId="3" applyNumberFormat="1" applyFont="1" applyBorder="1" applyAlignment="1" applyProtection="1">
      <alignment horizontal="center"/>
      <protection locked="0"/>
    </xf>
    <xf numFmtId="166" fontId="5" fillId="0" borderId="3" xfId="3" applyFont="1" applyBorder="1" applyProtection="1">
      <protection locked="0"/>
    </xf>
    <xf numFmtId="165" fontId="7" fillId="0" borderId="4" xfId="3" applyNumberFormat="1" applyFont="1" applyBorder="1" applyProtection="1">
      <protection locked="0"/>
    </xf>
    <xf numFmtId="165" fontId="5" fillId="0" borderId="5" xfId="3" applyNumberFormat="1" applyFont="1" applyBorder="1" applyProtection="1"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5" fillId="0" borderId="0" xfId="3" applyNumberFormat="1" applyFont="1"/>
    <xf numFmtId="0" fontId="5" fillId="0" borderId="0" xfId="0" applyFont="1" applyAlignment="1">
      <alignment horizontal="left"/>
    </xf>
    <xf numFmtId="166" fontId="5" fillId="0" borderId="0" xfId="3" applyFont="1" applyAlignment="1">
      <alignment horizontal="center"/>
    </xf>
    <xf numFmtId="0" fontId="2" fillId="0" borderId="0" xfId="0" applyFont="1" applyAlignment="1">
      <alignment horizontal="center"/>
    </xf>
    <xf numFmtId="167" fontId="5" fillId="0" borderId="0" xfId="3" applyNumberFormat="1" applyFont="1"/>
    <xf numFmtId="167" fontId="5" fillId="0" borderId="0" xfId="0" applyNumberFormat="1" applyFont="1"/>
    <xf numFmtId="0" fontId="5" fillId="0" borderId="3" xfId="0" applyFont="1" applyBorder="1"/>
    <xf numFmtId="168" fontId="7" fillId="0" borderId="4" xfId="2" applyNumberFormat="1" applyFont="1" applyBorder="1"/>
    <xf numFmtId="167" fontId="5" fillId="0" borderId="6" xfId="0" applyNumberFormat="1" applyFont="1" applyBorder="1"/>
    <xf numFmtId="170" fontId="5" fillId="0" borderId="0" xfId="0" applyNumberFormat="1" applyFont="1"/>
    <xf numFmtId="43" fontId="5" fillId="0" borderId="0" xfId="3" applyNumberFormat="1" applyFont="1"/>
    <xf numFmtId="42" fontId="5" fillId="0" borderId="0" xfId="0" applyNumberFormat="1" applyFont="1"/>
    <xf numFmtId="0" fontId="2" fillId="0" borderId="0" xfId="3" applyNumberFormat="1" applyProtection="1">
      <protection locked="0"/>
    </xf>
    <xf numFmtId="0" fontId="2" fillId="0" borderId="0" xfId="3" applyNumberFormat="1"/>
    <xf numFmtId="165" fontId="5" fillId="0" borderId="7" xfId="3" applyNumberFormat="1" applyFont="1" applyBorder="1" applyProtection="1">
      <protection locked="0"/>
    </xf>
    <xf numFmtId="0" fontId="5" fillId="0" borderId="2" xfId="0" applyFont="1" applyBorder="1"/>
    <xf numFmtId="165" fontId="5" fillId="0" borderId="4" xfId="3" applyNumberFormat="1" applyFont="1" applyBorder="1" applyProtection="1">
      <protection locked="0"/>
    </xf>
    <xf numFmtId="165" fontId="5" fillId="0" borderId="7" xfId="3" applyNumberFormat="1" applyFont="1" applyBorder="1"/>
    <xf numFmtId="166" fontId="10" fillId="0" borderId="2" xfId="3" applyFont="1" applyBorder="1"/>
    <xf numFmtId="171" fontId="5" fillId="0" borderId="0" xfId="3" applyNumberFormat="1" applyFont="1"/>
    <xf numFmtId="165" fontId="5" fillId="0" borderId="0" xfId="1" applyNumberFormat="1" applyFont="1" applyAlignment="1"/>
    <xf numFmtId="165" fontId="5" fillId="0" borderId="0" xfId="1" applyNumberFormat="1" applyFont="1" applyAlignment="1" applyProtection="1">
      <protection locked="0"/>
    </xf>
    <xf numFmtId="165" fontId="5" fillId="0" borderId="0" xfId="1" applyNumberFormat="1" applyFont="1" applyFill="1" applyAlignment="1" applyProtection="1">
      <protection locked="0"/>
    </xf>
    <xf numFmtId="165" fontId="5" fillId="0" borderId="7" xfId="1" applyNumberFormat="1" applyFont="1" applyBorder="1" applyAlignment="1" applyProtection="1">
      <protection locked="0"/>
    </xf>
    <xf numFmtId="165" fontId="5" fillId="0" borderId="7" xfId="1" applyNumberFormat="1" applyFont="1" applyFill="1" applyBorder="1" applyAlignment="1" applyProtection="1">
      <protection locked="0"/>
    </xf>
    <xf numFmtId="165" fontId="5" fillId="0" borderId="7" xfId="1" applyNumberFormat="1" applyFont="1" applyBorder="1" applyAlignment="1"/>
    <xf numFmtId="165" fontId="5" fillId="0" borderId="0" xfId="1" applyNumberFormat="1" applyFont="1" applyFill="1" applyAlignment="1"/>
    <xf numFmtId="0" fontId="5" fillId="0" borderId="0" xfId="1" applyNumberFormat="1" applyFont="1" applyAlignment="1"/>
    <xf numFmtId="165" fontId="9" fillId="3" borderId="0" xfId="3" applyNumberFormat="1" applyFont="1" applyFill="1"/>
    <xf numFmtId="165" fontId="9" fillId="0" borderId="0" xfId="3" applyNumberFormat="1" applyFont="1" applyProtection="1">
      <protection locked="0"/>
    </xf>
    <xf numFmtId="165" fontId="9" fillId="0" borderId="0" xfId="3" applyNumberFormat="1" applyFont="1"/>
    <xf numFmtId="165" fontId="9" fillId="3" borderId="0" xfId="1" applyNumberFormat="1" applyFont="1" applyFill="1" applyAlignment="1" applyProtection="1">
      <protection locked="0"/>
    </xf>
    <xf numFmtId="165" fontId="9" fillId="0" borderId="0" xfId="1" applyNumberFormat="1" applyFont="1" applyAlignment="1" applyProtection="1">
      <protection locked="0"/>
    </xf>
    <xf numFmtId="172" fontId="0" fillId="0" borderId="0" xfId="0" applyNumberFormat="1"/>
    <xf numFmtId="10" fontId="0" fillId="0" borderId="0" xfId="0" applyNumberFormat="1"/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center"/>
    </xf>
    <xf numFmtId="165" fontId="9" fillId="0" borderId="0" xfId="1" applyNumberFormat="1" applyFont="1" applyFill="1" applyBorder="1" applyAlignment="1" applyProtection="1">
      <protection locked="0"/>
    </xf>
    <xf numFmtId="165" fontId="5" fillId="0" borderId="7" xfId="1" applyNumberFormat="1" applyFont="1" applyFill="1" applyBorder="1" applyAlignment="1"/>
    <xf numFmtId="167" fontId="5" fillId="0" borderId="0" xfId="1" applyNumberFormat="1" applyFont="1" applyFill="1" applyAlignment="1" applyProtection="1">
      <protection locked="0"/>
    </xf>
    <xf numFmtId="167" fontId="5" fillId="0" borderId="0" xfId="1" applyNumberFormat="1" applyFont="1" applyFill="1"/>
    <xf numFmtId="165" fontId="9" fillId="4" borderId="0" xfId="3" applyNumberFormat="1" applyFont="1" applyFill="1"/>
    <xf numFmtId="165" fontId="9" fillId="4" borderId="0" xfId="1" applyNumberFormat="1" applyFont="1" applyFill="1" applyAlignment="1"/>
    <xf numFmtId="165" fontId="9" fillId="4" borderId="0" xfId="1" applyNumberFormat="1" applyFont="1" applyFill="1" applyBorder="1" applyAlignment="1"/>
    <xf numFmtId="165" fontId="9" fillId="4" borderId="7" xfId="1" applyNumberFormat="1" applyFont="1" applyFill="1" applyBorder="1" applyAlignment="1"/>
    <xf numFmtId="165" fontId="9" fillId="3" borderId="7" xfId="1" applyNumberFormat="1" applyFont="1" applyFill="1" applyBorder="1" applyAlignment="1" applyProtection="1">
      <protection locked="0"/>
    </xf>
    <xf numFmtId="1" fontId="5" fillId="0" borderId="3" xfId="3" applyNumberFormat="1" applyFont="1" applyBorder="1" applyAlignment="1" applyProtection="1">
      <alignment horizontal="right"/>
      <protection locked="0"/>
    </xf>
    <xf numFmtId="0" fontId="12" fillId="0" borderId="0" xfId="0" applyFont="1"/>
    <xf numFmtId="5" fontId="5" fillId="0" borderId="0" xfId="1" applyNumberFormat="1" applyFont="1" applyFill="1" applyAlignment="1"/>
    <xf numFmtId="165" fontId="5" fillId="5" borderId="0" xfId="3" applyNumberFormat="1" applyFont="1" applyFill="1"/>
    <xf numFmtId="165" fontId="5" fillId="5" borderId="0" xfId="3" applyNumberFormat="1" applyFont="1" applyFill="1" applyProtection="1">
      <protection locked="0"/>
    </xf>
    <xf numFmtId="165" fontId="9" fillId="5" borderId="0" xfId="3" applyNumberFormat="1" applyFont="1" applyFill="1"/>
    <xf numFmtId="165" fontId="9" fillId="5" borderId="0" xfId="3" applyNumberFormat="1" applyFont="1" applyFill="1" applyProtection="1">
      <protection locked="0"/>
    </xf>
    <xf numFmtId="165" fontId="5" fillId="5" borderId="7" xfId="3" applyNumberFormat="1" applyFont="1" applyFill="1" applyBorder="1"/>
    <xf numFmtId="165" fontId="5" fillId="5" borderId="7" xfId="1" applyNumberFormat="1" applyFont="1" applyFill="1" applyBorder="1" applyAlignment="1" applyProtection="1">
      <protection locked="0"/>
    </xf>
    <xf numFmtId="165" fontId="5" fillId="5" borderId="0" xfId="1" applyNumberFormat="1" applyFont="1" applyFill="1" applyAlignment="1" applyProtection="1">
      <protection locked="0"/>
    </xf>
    <xf numFmtId="0" fontId="5" fillId="5" borderId="0" xfId="0" applyFont="1" applyFill="1"/>
    <xf numFmtId="166" fontId="2" fillId="0" borderId="0" xfId="3" applyAlignment="1">
      <alignment horizontal="center"/>
    </xf>
    <xf numFmtId="169" fontId="9" fillId="5" borderId="0" xfId="1" applyNumberFormat="1" applyFont="1" applyFill="1" applyAlignment="1" applyProtection="1">
      <protection locked="0"/>
    </xf>
    <xf numFmtId="10" fontId="5" fillId="0" borderId="0" xfId="4" applyNumberFormat="1" applyFont="1" applyAlignment="1" applyProtection="1">
      <protection locked="0"/>
    </xf>
    <xf numFmtId="10" fontId="5" fillId="0" borderId="0" xfId="4" applyNumberFormat="1" applyFont="1" applyFill="1"/>
    <xf numFmtId="165" fontId="9" fillId="0" borderId="0" xfId="1" applyNumberFormat="1" applyFont="1" applyFill="1" applyAlignment="1"/>
    <xf numFmtId="167" fontId="9" fillId="0" borderId="0" xfId="1" applyNumberFormat="1" applyFont="1" applyFill="1" applyAlignment="1" applyProtection="1">
      <protection locked="0"/>
    </xf>
    <xf numFmtId="5" fontId="5" fillId="0" borderId="0" xfId="1" applyNumberFormat="1" applyFont="1" applyAlignment="1" applyProtection="1">
      <protection locked="0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49" fontId="6" fillId="0" borderId="0" xfId="3" applyNumberFormat="1" applyFont="1" applyAlignment="1" applyProtection="1">
      <alignment horizontal="center"/>
      <protection locked="0"/>
    </xf>
  </cellXfs>
  <cellStyles count="11">
    <cellStyle name="Comma" xfId="1" builtinId="3"/>
    <cellStyle name="Currency" xfId="2" builtinId="4"/>
    <cellStyle name="Normal" xfId="0" builtinId="0"/>
    <cellStyle name="Normal_FN1 Ratebase Draft SPP template (6-11-04) v2" xfId="3" xr:uid="{00000000-0005-0000-0000-000003000000}"/>
    <cellStyle name="Percent" xfId="4" builtinId="5"/>
    <cellStyle name="PSChar" xfId="5" xr:uid="{00000000-0005-0000-0000-000005000000}"/>
    <cellStyle name="PSDate" xfId="6" xr:uid="{00000000-0005-0000-0000-000006000000}"/>
    <cellStyle name="PSDec" xfId="7" xr:uid="{00000000-0005-0000-0000-000007000000}"/>
    <cellStyle name="PSHeading" xfId="8" xr:uid="{00000000-0005-0000-0000-000008000000}"/>
    <cellStyle name="PSInt" xfId="9" xr:uid="{00000000-0005-0000-0000-000009000000}"/>
    <cellStyle name="PSSpacer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A1:AB128"/>
  <sheetViews>
    <sheetView tabSelected="1" zoomScale="85" zoomScaleNormal="85" workbookViewId="0">
      <selection activeCell="J37" sqref="J37"/>
    </sheetView>
  </sheetViews>
  <sheetFormatPr defaultColWidth="11.42578125" defaultRowHeight="15"/>
  <cols>
    <col min="1" max="1" width="4.140625" style="1" customWidth="1"/>
    <col min="2" max="2" width="5.85546875" style="23" bestFit="1" customWidth="1"/>
    <col min="3" max="3" width="2" style="1" customWidth="1"/>
    <col min="4" max="4" width="62.5703125" style="1" customWidth="1"/>
    <col min="5" max="5" width="18.85546875" style="1" customWidth="1"/>
    <col min="6" max="6" width="8.5703125" style="1" customWidth="1"/>
    <col min="7" max="7" width="18.5703125" style="1" customWidth="1"/>
    <col min="8" max="8" width="4.42578125" style="1" customWidth="1"/>
    <col min="9" max="9" width="20.85546875" style="1" customWidth="1"/>
    <col min="10" max="10" width="3.140625" style="1" customWidth="1"/>
    <col min="11" max="11" width="18.42578125" style="1" bestFit="1" customWidth="1"/>
    <col min="12" max="12" width="3.42578125" style="1" customWidth="1"/>
    <col min="13" max="13" width="16" style="1" bestFit="1" customWidth="1"/>
    <col min="14" max="14" width="3.85546875" style="1" customWidth="1"/>
    <col min="15" max="15" width="16.5703125" style="1" bestFit="1" customWidth="1"/>
    <col min="16" max="16" width="4.85546875" style="1" customWidth="1"/>
    <col min="17" max="17" width="15.85546875" style="1" bestFit="1" customWidth="1"/>
    <col min="18" max="18" width="4.140625" style="1" customWidth="1"/>
    <col min="19" max="19" width="16.5703125" style="1" bestFit="1" customWidth="1"/>
    <col min="20" max="20" width="3.42578125" style="1" customWidth="1"/>
    <col min="21" max="21" width="16.5703125" style="1" customWidth="1"/>
    <col min="22" max="23" width="11.42578125" style="1" customWidth="1"/>
    <col min="24" max="24" width="11.140625" style="1" bestFit="1" customWidth="1"/>
    <col min="25" max="25" width="9.85546875" style="1" bestFit="1" customWidth="1"/>
    <col min="26" max="26" width="10.5703125" style="1" bestFit="1" customWidth="1"/>
    <col min="27" max="27" width="10.85546875" style="1" bestFit="1" customWidth="1"/>
    <col min="28" max="28" width="10.42578125" style="1" bestFit="1" customWidth="1"/>
    <col min="29" max="16384" width="11.42578125" style="1"/>
  </cols>
  <sheetData>
    <row r="1" spans="1:22">
      <c r="A1"/>
      <c r="B1"/>
      <c r="C1"/>
      <c r="D1"/>
      <c r="E1"/>
      <c r="F1"/>
      <c r="G1"/>
      <c r="H1"/>
      <c r="J1"/>
      <c r="K1"/>
      <c r="L1"/>
      <c r="U1" s="2"/>
      <c r="V1" s="33">
        <v>2024</v>
      </c>
    </row>
    <row r="2" spans="1:22">
      <c r="B2" s="3"/>
      <c r="C2" s="4"/>
      <c r="D2" s="4"/>
      <c r="E2" s="4"/>
      <c r="F2" s="4"/>
      <c r="G2" s="4"/>
      <c r="H2" s="4"/>
      <c r="J2" s="4"/>
      <c r="K2" s="4"/>
      <c r="L2" s="4"/>
      <c r="U2" s="2"/>
    </row>
    <row r="3" spans="1:22">
      <c r="A3" s="99" t="s">
        <v>39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2">
      <c r="A4" s="100" t="s">
        <v>63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</row>
    <row r="5" spans="1:22">
      <c r="A5" s="99" t="str">
        <f>"For rates effective January 1, 2024"</f>
        <v>For rates effective January 1, 2024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</row>
    <row r="6" spans="1:2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2" ht="15.75">
      <c r="A8" s="101" t="s">
        <v>41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</row>
    <row r="9" spans="1:22">
      <c r="B9" s="7"/>
      <c r="C9" s="8"/>
      <c r="D9" s="6"/>
      <c r="E9" s="6"/>
      <c r="G9" s="11"/>
      <c r="H9" s="6"/>
      <c r="J9" s="6"/>
      <c r="K9" s="6"/>
      <c r="L9" s="6"/>
    </row>
    <row r="10" spans="1:22" ht="15.75">
      <c r="B10" s="7"/>
      <c r="C10" s="8"/>
      <c r="D10" s="6"/>
      <c r="E10" s="6"/>
      <c r="F10" s="9"/>
      <c r="G10" s="11"/>
      <c r="H10" s="6"/>
      <c r="I10" s="12" t="s">
        <v>0</v>
      </c>
      <c r="J10" s="6"/>
      <c r="K10" s="13" t="s">
        <v>27</v>
      </c>
      <c r="L10" s="13"/>
      <c r="M10" s="13" t="s">
        <v>28</v>
      </c>
      <c r="O10" s="13" t="s">
        <v>29</v>
      </c>
      <c r="Q10" s="13" t="s">
        <v>30</v>
      </c>
      <c r="S10" s="13" t="s">
        <v>31</v>
      </c>
      <c r="U10" s="13" t="s">
        <v>32</v>
      </c>
    </row>
    <row r="11" spans="1:22" ht="15.75">
      <c r="B11" s="7" t="s">
        <v>1</v>
      </c>
      <c r="C11" s="8"/>
      <c r="D11" s="6"/>
      <c r="E11" s="6"/>
      <c r="F11" s="6"/>
      <c r="G11" s="11"/>
      <c r="H11" s="6"/>
      <c r="I11" s="12" t="s">
        <v>2</v>
      </c>
      <c r="J11" s="6"/>
      <c r="K11" s="13" t="s">
        <v>2</v>
      </c>
      <c r="L11" s="13"/>
      <c r="M11" s="13" t="s">
        <v>2</v>
      </c>
      <c r="O11" s="13" t="s">
        <v>2</v>
      </c>
      <c r="Q11" s="13" t="s">
        <v>2</v>
      </c>
      <c r="S11" s="13" t="s">
        <v>2</v>
      </c>
      <c r="U11" s="13" t="s">
        <v>2</v>
      </c>
    </row>
    <row r="12" spans="1:22" ht="16.5" thickBot="1">
      <c r="B12" s="14" t="s">
        <v>3</v>
      </c>
      <c r="C12" s="8"/>
      <c r="D12" s="6"/>
      <c r="E12" s="8"/>
      <c r="F12" s="6"/>
      <c r="G12" s="6"/>
      <c r="H12" s="6"/>
      <c r="I12" s="12" t="s">
        <v>4</v>
      </c>
      <c r="J12" s="6"/>
      <c r="K12" s="12" t="s">
        <v>4</v>
      </c>
      <c r="L12" s="13"/>
      <c r="M12" s="12" t="s">
        <v>4</v>
      </c>
      <c r="O12" s="12" t="s">
        <v>4</v>
      </c>
      <c r="Q12" s="12" t="s">
        <v>4</v>
      </c>
      <c r="S12" s="12" t="s">
        <v>4</v>
      </c>
      <c r="U12" s="12" t="s">
        <v>4</v>
      </c>
    </row>
    <row r="13" spans="1:22">
      <c r="B13" s="7"/>
      <c r="C13" s="8"/>
      <c r="D13" s="6"/>
      <c r="E13" s="8"/>
      <c r="F13" s="6"/>
      <c r="G13" s="6"/>
      <c r="H13" s="6"/>
      <c r="J13" s="6"/>
      <c r="L13" s="6"/>
    </row>
    <row r="14" spans="1:22" ht="15.75">
      <c r="A14" s="12" t="s">
        <v>5</v>
      </c>
      <c r="B14" s="15" t="s">
        <v>6</v>
      </c>
      <c r="C14" s="8"/>
      <c r="D14" s="6"/>
      <c r="E14" s="8"/>
      <c r="F14" s="6"/>
      <c r="G14" s="6"/>
      <c r="H14" s="6"/>
      <c r="J14" s="6"/>
      <c r="L14" s="6"/>
    </row>
    <row r="15" spans="1:22" ht="15.75">
      <c r="A15" s="12"/>
      <c r="B15" s="7">
        <v>1</v>
      </c>
      <c r="C15" s="8"/>
      <c r="D15" s="16" t="s">
        <v>7</v>
      </c>
      <c r="E15" s="8"/>
      <c r="F15" s="6"/>
      <c r="G15" s="8" t="s">
        <v>45</v>
      </c>
      <c r="H15" s="6"/>
      <c r="I15" s="53">
        <f>SUM(K15,M15,O15,Q15,S15,U15)</f>
        <v>1330026071.1621084</v>
      </c>
      <c r="J15" s="18"/>
      <c r="K15" s="74">
        <v>528866071.91909486</v>
      </c>
      <c r="L15" s="62"/>
      <c r="M15" s="61">
        <v>213878314.48301473</v>
      </c>
      <c r="N15" s="63"/>
      <c r="O15" s="61">
        <v>94527053.690176606</v>
      </c>
      <c r="P15" s="63"/>
      <c r="Q15" s="61">
        <v>8320652.5449483693</v>
      </c>
      <c r="R15" s="63"/>
      <c r="S15" s="61">
        <v>467758949.14008033</v>
      </c>
      <c r="T15" s="63"/>
      <c r="U15" s="61">
        <v>16675029.384793425</v>
      </c>
    </row>
    <row r="16" spans="1:22" ht="15.75">
      <c r="A16" s="12"/>
      <c r="B16" s="7"/>
      <c r="C16" s="8"/>
      <c r="D16" s="16"/>
      <c r="E16" s="8"/>
      <c r="F16" s="6"/>
      <c r="G16" s="6"/>
      <c r="H16" s="6"/>
      <c r="I16" s="53"/>
      <c r="J16" s="18"/>
      <c r="K16" s="63"/>
      <c r="L16" s="62"/>
      <c r="M16" s="63"/>
      <c r="N16" s="63"/>
      <c r="O16" s="63"/>
      <c r="P16" s="63"/>
      <c r="Q16" s="63"/>
      <c r="R16" s="63"/>
      <c r="S16" s="63"/>
      <c r="T16" s="63"/>
      <c r="U16" s="63"/>
    </row>
    <row r="17" spans="1:21" ht="15.75">
      <c r="A17" s="12"/>
      <c r="B17" s="7">
        <f>+B15+1</f>
        <v>2</v>
      </c>
      <c r="C17" s="8"/>
      <c r="D17" s="6" t="s">
        <v>8</v>
      </c>
      <c r="E17" s="8"/>
      <c r="F17" s="6"/>
      <c r="G17" s="8" t="s">
        <v>46</v>
      </c>
      <c r="H17" s="6"/>
      <c r="I17" s="53">
        <f>SUM(K17,M17,O17,Q17,S17,U17)</f>
        <v>33462633.921508182</v>
      </c>
      <c r="J17" s="18"/>
      <c r="K17" s="61">
        <v>7762202.9773377925</v>
      </c>
      <c r="L17" s="62"/>
      <c r="M17" s="61">
        <v>7405741.817584387</v>
      </c>
      <c r="N17" s="63"/>
      <c r="O17" s="61">
        <v>584494.84190223506</v>
      </c>
      <c r="P17" s="63"/>
      <c r="Q17" s="61">
        <v>184765.83912304364</v>
      </c>
      <c r="R17" s="63"/>
      <c r="S17" s="61">
        <v>14486305.919459464</v>
      </c>
      <c r="T17" s="63"/>
      <c r="U17" s="61">
        <v>3039122.5261012567</v>
      </c>
    </row>
    <row r="18" spans="1:21" ht="15.75">
      <c r="A18" s="12"/>
      <c r="B18" s="15"/>
      <c r="C18" s="8"/>
      <c r="D18" s="6"/>
      <c r="E18" s="8"/>
      <c r="F18" s="6"/>
      <c r="G18" s="6"/>
      <c r="H18" s="6"/>
      <c r="I18" s="50"/>
      <c r="J18" s="18"/>
      <c r="K18" s="50"/>
      <c r="L18" s="18"/>
      <c r="M18" s="50"/>
      <c r="N18" s="17"/>
      <c r="O18" s="50"/>
      <c r="P18" s="17"/>
      <c r="Q18" s="50"/>
      <c r="R18" s="17"/>
      <c r="S18" s="50"/>
      <c r="T18" s="17"/>
      <c r="U18" s="50"/>
    </row>
    <row r="19" spans="1:21" ht="33.75" customHeight="1">
      <c r="B19" s="7">
        <f>+B17+1</f>
        <v>3</v>
      </c>
      <c r="C19" s="8"/>
      <c r="D19" s="97" t="s">
        <v>9</v>
      </c>
      <c r="E19" s="98"/>
      <c r="F19" s="19"/>
      <c r="G19" s="8" t="s">
        <v>47</v>
      </c>
      <c r="H19" s="4"/>
      <c r="I19" s="17">
        <f>SUM(K19,M19,O19,Q19,S19,U19)</f>
        <v>1296563437.2406001</v>
      </c>
      <c r="J19" s="18"/>
      <c r="K19" s="18">
        <f>+K15-K17</f>
        <v>521103868.94175708</v>
      </c>
      <c r="L19" s="18"/>
      <c r="M19" s="18">
        <f>+M15-M17</f>
        <v>206472572.66543034</v>
      </c>
      <c r="N19" s="17"/>
      <c r="O19" s="18">
        <f>+O15-O17</f>
        <v>93942558.848274365</v>
      </c>
      <c r="P19" s="17"/>
      <c r="Q19" s="18">
        <f>+Q15-Q17</f>
        <v>8135886.705825326</v>
      </c>
      <c r="R19" s="17"/>
      <c r="S19" s="18">
        <f>+S15-S17</f>
        <v>453272643.22062087</v>
      </c>
      <c r="T19" s="17"/>
      <c r="U19" s="18">
        <f>+U15-U17</f>
        <v>13635906.858692169</v>
      </c>
    </row>
    <row r="20" spans="1:21">
      <c r="B20" s="7"/>
      <c r="C20" s="8"/>
      <c r="D20" s="16"/>
      <c r="E20" s="6"/>
      <c r="F20" s="19"/>
      <c r="G20" s="4"/>
      <c r="H20" s="4"/>
      <c r="I20" s="17"/>
      <c r="J20" s="18"/>
      <c r="K20" s="18"/>
      <c r="L20" s="18"/>
      <c r="M20" s="18"/>
      <c r="N20" s="17"/>
      <c r="O20" s="18"/>
      <c r="P20" s="17"/>
      <c r="Q20" s="18"/>
      <c r="R20" s="17"/>
      <c r="S20" s="18"/>
      <c r="T20" s="17"/>
      <c r="U20" s="18"/>
    </row>
    <row r="21" spans="1:21">
      <c r="B21" s="7">
        <f>+B19+1</f>
        <v>4</v>
      </c>
      <c r="C21" s="8"/>
      <c r="D21" s="16" t="s">
        <v>10</v>
      </c>
      <c r="E21" s="6"/>
      <c r="F21" s="19"/>
      <c r="G21" s="4"/>
      <c r="H21" s="4"/>
      <c r="I21" s="17"/>
      <c r="J21" s="18"/>
      <c r="K21" s="17"/>
      <c r="L21" s="18"/>
      <c r="M21" s="17"/>
      <c r="N21" s="17"/>
      <c r="O21" s="17"/>
      <c r="P21" s="17"/>
      <c r="Q21" s="17"/>
      <c r="R21" s="17"/>
      <c r="S21" s="17"/>
      <c r="T21" s="17"/>
      <c r="U21" s="17"/>
    </row>
    <row r="22" spans="1:21">
      <c r="B22" s="7">
        <f>+B21+1</f>
        <v>5</v>
      </c>
      <c r="C22" s="8"/>
      <c r="D22" s="16" t="s">
        <v>34</v>
      </c>
      <c r="E22" s="6"/>
      <c r="F22" s="19"/>
      <c r="G22" s="8" t="s">
        <v>51</v>
      </c>
      <c r="H22" s="4"/>
      <c r="I22" s="82">
        <f>SUM(K22,M22,O22,Q22,S22,U22)</f>
        <v>46126664.189607754</v>
      </c>
      <c r="J22" s="83"/>
      <c r="K22" s="84">
        <v>28118028.103649396</v>
      </c>
      <c r="L22" s="85"/>
      <c r="M22" s="84">
        <v>8503771.6334173065</v>
      </c>
      <c r="N22" s="84"/>
      <c r="O22" s="84">
        <v>0</v>
      </c>
      <c r="P22" s="84"/>
      <c r="Q22" s="84">
        <v>0</v>
      </c>
      <c r="R22" s="84"/>
      <c r="S22" s="84">
        <v>9385627.6812635344</v>
      </c>
      <c r="T22" s="84"/>
      <c r="U22" s="84">
        <v>119236.77127751833</v>
      </c>
    </row>
    <row r="23" spans="1:21">
      <c r="B23" s="7">
        <f>+B22+1</f>
        <v>6</v>
      </c>
      <c r="C23" s="8"/>
      <c r="D23" s="16" t="s">
        <v>36</v>
      </c>
      <c r="E23" s="6"/>
      <c r="F23" s="19"/>
      <c r="G23" s="8" t="str">
        <f>"(Worksheet J)"</f>
        <v>(Worksheet J)</v>
      </c>
      <c r="H23" s="4"/>
      <c r="I23" s="86">
        <f>SUM(K23,M23,O23,Q23,S23,U23)</f>
        <v>0</v>
      </c>
      <c r="J23" s="83"/>
      <c r="K23" s="87">
        <v>0</v>
      </c>
      <c r="L23" s="88"/>
      <c r="M23" s="87">
        <v>0</v>
      </c>
      <c r="N23" s="82"/>
      <c r="O23" s="87">
        <v>0</v>
      </c>
      <c r="P23" s="82"/>
      <c r="Q23" s="87">
        <v>0</v>
      </c>
      <c r="R23" s="82"/>
      <c r="S23" s="87">
        <v>0</v>
      </c>
      <c r="T23" s="82"/>
      <c r="U23" s="87">
        <v>0</v>
      </c>
    </row>
    <row r="24" spans="1:21">
      <c r="B24" s="7">
        <f>+B23+1</f>
        <v>7</v>
      </c>
      <c r="C24" s="8"/>
      <c r="D24" s="21" t="s">
        <v>11</v>
      </c>
      <c r="E24" s="6" t="s">
        <v>12</v>
      </c>
      <c r="F24" s="19"/>
      <c r="G24" s="4"/>
      <c r="H24" s="4"/>
      <c r="I24" s="88">
        <f>+I23+I22</f>
        <v>46126664.189607754</v>
      </c>
      <c r="J24" s="83"/>
      <c r="K24" s="88">
        <f>+K23+K22</f>
        <v>28118028.103649396</v>
      </c>
      <c r="L24" s="88"/>
      <c r="M24" s="88">
        <f>+M23+M22</f>
        <v>8503771.6334173065</v>
      </c>
      <c r="N24" s="82"/>
      <c r="O24" s="88">
        <f>+O23+O22</f>
        <v>0</v>
      </c>
      <c r="P24" s="82"/>
      <c r="Q24" s="88">
        <f>+Q23+Q22</f>
        <v>0</v>
      </c>
      <c r="R24" s="82"/>
      <c r="S24" s="88">
        <f>+S23+S22</f>
        <v>9385627.6812635344</v>
      </c>
      <c r="T24" s="82"/>
      <c r="U24" s="88">
        <f>+U23+U22</f>
        <v>119236.77127751833</v>
      </c>
    </row>
    <row r="25" spans="1:21">
      <c r="B25" s="7"/>
      <c r="C25" s="8"/>
      <c r="D25" s="16"/>
      <c r="E25" s="6"/>
      <c r="F25" s="19"/>
      <c r="G25" s="4"/>
      <c r="H25" s="4"/>
      <c r="I25" s="58"/>
      <c r="J25" s="18"/>
      <c r="K25" s="56"/>
      <c r="L25" s="54"/>
      <c r="M25" s="56"/>
      <c r="N25" s="17"/>
      <c r="O25" s="56"/>
      <c r="P25" s="17"/>
      <c r="Q25" s="56"/>
      <c r="R25" s="17"/>
      <c r="S25" s="57"/>
      <c r="T25" s="17"/>
      <c r="U25" s="56"/>
    </row>
    <row r="26" spans="1:21">
      <c r="B26" s="7">
        <f>+B24+1</f>
        <v>8</v>
      </c>
      <c r="C26" s="8"/>
      <c r="D26" s="16" t="s">
        <v>13</v>
      </c>
      <c r="E26" s="6"/>
      <c r="G26" s="19" t="str">
        <f>"(Ln "&amp;B19&amp;"- Ln "&amp;B24&amp;")"</f>
        <v>(Ln 3- Ln 7)</v>
      </c>
      <c r="H26" s="4"/>
      <c r="I26" s="17">
        <f>SUM(K26,M26,O26,Q26,S26,U26)</f>
        <v>1250436773.0509925</v>
      </c>
      <c r="J26" s="18"/>
      <c r="K26" s="54">
        <f>+K19-K24</f>
        <v>492985840.83810771</v>
      </c>
      <c r="L26" s="54"/>
      <c r="M26" s="54">
        <f>+M19-M24</f>
        <v>197968801.03201303</v>
      </c>
      <c r="N26" s="17"/>
      <c r="O26" s="54">
        <f>+O19-O24</f>
        <v>93942558.848274365</v>
      </c>
      <c r="P26" s="17"/>
      <c r="Q26" s="54">
        <f>+Q19-Q24</f>
        <v>8135886.705825326</v>
      </c>
      <c r="R26" s="17"/>
      <c r="S26" s="55">
        <f>+S19-S24</f>
        <v>443887015.53935736</v>
      </c>
      <c r="T26" s="17"/>
      <c r="U26" s="54">
        <f>+U19-U24</f>
        <v>13516670.08741465</v>
      </c>
    </row>
    <row r="27" spans="1:21">
      <c r="B27" s="1"/>
      <c r="C27" s="8"/>
      <c r="E27" s="6"/>
      <c r="G27" s="4"/>
      <c r="H27" s="4"/>
      <c r="I27" s="17"/>
      <c r="J27" s="18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>
      <c r="B28" s="7">
        <f>+B26+1</f>
        <v>9</v>
      </c>
      <c r="C28" s="8"/>
      <c r="D28" s="16" t="s">
        <v>14</v>
      </c>
      <c r="E28" s="6"/>
      <c r="F28" s="19"/>
      <c r="G28" s="8" t="str">
        <f>"(Worksheet J)"</f>
        <v>(Worksheet J)</v>
      </c>
      <c r="H28" s="4"/>
      <c r="I28" s="53">
        <f>SUM(K28,M28,O28,Q28,S28,U28)</f>
        <v>0</v>
      </c>
      <c r="J28" s="18"/>
      <c r="K28" s="64">
        <v>0</v>
      </c>
      <c r="L28" s="65"/>
      <c r="M28" s="64">
        <v>0</v>
      </c>
      <c r="N28" s="63"/>
      <c r="O28" s="64">
        <v>0</v>
      </c>
      <c r="P28" s="63"/>
      <c r="Q28" s="64">
        <v>0</v>
      </c>
      <c r="R28" s="63"/>
      <c r="S28" s="64">
        <v>0</v>
      </c>
      <c r="T28" s="63"/>
      <c r="U28" s="64">
        <v>0</v>
      </c>
    </row>
    <row r="29" spans="1:21">
      <c r="B29" s="7"/>
      <c r="C29" s="8"/>
      <c r="D29" s="16"/>
      <c r="E29" s="6"/>
      <c r="F29" s="19"/>
      <c r="G29" s="4"/>
      <c r="H29" s="4"/>
      <c r="I29" s="58"/>
      <c r="J29" s="18"/>
      <c r="K29" s="56"/>
      <c r="L29" s="54"/>
      <c r="M29" s="57"/>
      <c r="N29" s="17"/>
      <c r="O29" s="56"/>
      <c r="P29" s="17"/>
      <c r="Q29" s="56"/>
      <c r="R29" s="17"/>
      <c r="S29" s="57"/>
      <c r="T29" s="17"/>
      <c r="U29" s="56"/>
    </row>
    <row r="30" spans="1:21">
      <c r="B30" s="7">
        <f>+B28+1</f>
        <v>10</v>
      </c>
      <c r="C30" s="8"/>
      <c r="D30" s="16" t="s">
        <v>15</v>
      </c>
      <c r="E30" s="6"/>
      <c r="G30" s="19" t="str">
        <f>"(Ln "&amp;B26&amp;" + Ln "&amp;B28&amp;")"</f>
        <v>(Ln 8 + Ln 9)</v>
      </c>
      <c r="H30" s="4"/>
      <c r="I30" s="53">
        <f>+I26+I28</f>
        <v>1250436773.0509925</v>
      </c>
      <c r="J30" s="18"/>
      <c r="K30" s="54">
        <f>+K26+K28</f>
        <v>492985840.83810771</v>
      </c>
      <c r="L30" s="54"/>
      <c r="M30" s="55">
        <f>+M26+M28</f>
        <v>197968801.03201303</v>
      </c>
      <c r="N30" s="17"/>
      <c r="O30" s="54">
        <f>+O26+O28</f>
        <v>93942558.848274365</v>
      </c>
      <c r="P30" s="17"/>
      <c r="Q30" s="54">
        <f>+Q26+Q28</f>
        <v>8135886.705825326</v>
      </c>
      <c r="R30" s="17"/>
      <c r="S30" s="55">
        <f>+S26+S28</f>
        <v>443887015.53935736</v>
      </c>
      <c r="T30" s="17"/>
      <c r="U30" s="54">
        <f>+U26+U28</f>
        <v>13516670.08741465</v>
      </c>
    </row>
    <row r="31" spans="1:21"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hidden="1">
      <c r="B32" s="7">
        <f>+B30+1</f>
        <v>11</v>
      </c>
      <c r="C32" s="8"/>
      <c r="D32" s="16" t="str">
        <f>"BILLED HISTORICAL YEAR ("&amp;V1-1&amp;") ACTUAL ATRR"</f>
        <v>BILLED HISTORICAL YEAR (2023) ACTUAL ATRR</v>
      </c>
      <c r="E32" s="6"/>
      <c r="F32" s="19"/>
      <c r="G32" s="22" t="str">
        <f>"Input from "&amp;V1-1&amp;" True-up"</f>
        <v>Input from 2023 True-up</v>
      </c>
      <c r="H32" s="4"/>
      <c r="I32" s="59">
        <f>SUM(K32,M32,O32,Q32,S32,U32)</f>
        <v>0</v>
      </c>
      <c r="J32" s="18"/>
      <c r="K32" s="64">
        <v>0</v>
      </c>
      <c r="L32" s="65"/>
      <c r="M32" s="64">
        <v>0</v>
      </c>
      <c r="N32" s="63"/>
      <c r="O32" s="64">
        <v>0</v>
      </c>
      <c r="P32" s="63"/>
      <c r="Q32" s="64">
        <v>0</v>
      </c>
      <c r="R32" s="63"/>
      <c r="S32" s="64">
        <v>0</v>
      </c>
      <c r="T32" s="63"/>
      <c r="U32" s="64">
        <v>0</v>
      </c>
    </row>
    <row r="33" spans="1:28" hidden="1">
      <c r="B33" s="7">
        <f>+B32+1</f>
        <v>12</v>
      </c>
      <c r="C33" s="8"/>
      <c r="D33" s="16" t="str">
        <f>"BILLED PROJECTED ("&amp;V1-1&amp;") ATRR FROM PRIOR YEAR"</f>
        <v>BILLED PROJECTED (2023) ATRR FROM PRIOR YEAR</v>
      </c>
      <c r="E33" s="6"/>
      <c r="F33" s="19"/>
      <c r="G33" s="22" t="s">
        <v>16</v>
      </c>
      <c r="H33" s="4"/>
      <c r="I33" s="71">
        <f>SUM(K33,M33,O33,Q33,S33,U33)</f>
        <v>0</v>
      </c>
      <c r="J33" s="18"/>
      <c r="K33" s="78">
        <v>0</v>
      </c>
      <c r="L33" s="65"/>
      <c r="M33" s="78">
        <v>0</v>
      </c>
      <c r="N33" s="63"/>
      <c r="O33" s="78">
        <v>0</v>
      </c>
      <c r="P33" s="63"/>
      <c r="Q33" s="78">
        <v>0</v>
      </c>
      <c r="R33" s="63"/>
      <c r="S33" s="78">
        <v>0</v>
      </c>
      <c r="T33" s="63"/>
      <c r="U33" s="78">
        <v>0</v>
      </c>
    </row>
    <row r="34" spans="1:28">
      <c r="B34" s="7">
        <f>+B30+1</f>
        <v>11</v>
      </c>
      <c r="C34" s="8"/>
      <c r="D34" s="16" t="s">
        <v>64</v>
      </c>
      <c r="E34" s="6"/>
      <c r="F34" s="19"/>
      <c r="G34" s="19" t="s">
        <v>54</v>
      </c>
      <c r="H34" s="4"/>
      <c r="I34" s="17">
        <f>SUM(K34,M34,O34,Q34,S34,U34)</f>
        <v>27103722.071108952</v>
      </c>
      <c r="J34" s="81"/>
      <c r="K34" s="81">
        <v>2144321.2126320335</v>
      </c>
      <c r="L34" s="81"/>
      <c r="M34" s="81">
        <v>7127301.9528713273</v>
      </c>
      <c r="N34" s="81"/>
      <c r="O34" s="81">
        <v>-3307682.3580298689</v>
      </c>
      <c r="P34" s="81"/>
      <c r="Q34" s="81">
        <v>294647.59012273583</v>
      </c>
      <c r="R34" s="81"/>
      <c r="S34" s="81">
        <v>20363896.659231056</v>
      </c>
      <c r="T34" s="81"/>
      <c r="U34" s="81">
        <v>481237.01428166608</v>
      </c>
    </row>
    <row r="35" spans="1:28">
      <c r="B35" s="7"/>
      <c r="C35" s="8"/>
      <c r="D35" s="16"/>
      <c r="E35" s="6"/>
      <c r="F35" s="19"/>
      <c r="G35" s="19"/>
      <c r="H35" s="4"/>
      <c r="I35" s="17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</row>
    <row r="36" spans="1:28">
      <c r="B36" s="90" t="s">
        <v>57</v>
      </c>
      <c r="D36" s="16" t="s">
        <v>58</v>
      </c>
      <c r="E36" s="6"/>
      <c r="F36" s="19"/>
      <c r="G36" s="22" t="s">
        <v>59</v>
      </c>
      <c r="H36" s="4"/>
      <c r="I36" s="17">
        <f>SUM(K36,M36,O36,Q36,S36,U36)</f>
        <v>9714282</v>
      </c>
      <c r="J36" s="18"/>
      <c r="K36" s="54"/>
      <c r="L36" s="54"/>
      <c r="M36" s="55">
        <v>0</v>
      </c>
      <c r="N36" s="17"/>
      <c r="O36" s="54"/>
      <c r="P36" s="17"/>
      <c r="Q36" s="54"/>
      <c r="R36" s="17"/>
      <c r="S36" s="55">
        <v>9714282</v>
      </c>
      <c r="T36" s="17"/>
      <c r="U36" s="54"/>
    </row>
    <row r="37" spans="1:28">
      <c r="B37" s="90"/>
      <c r="D37" s="16"/>
      <c r="E37" s="6"/>
      <c r="F37" s="19"/>
      <c r="G37" s="22"/>
      <c r="H37" s="4"/>
      <c r="I37" s="53"/>
      <c r="J37" s="18"/>
      <c r="K37" s="54"/>
      <c r="L37" s="54"/>
      <c r="M37" s="55"/>
      <c r="N37" s="17"/>
      <c r="O37" s="54"/>
      <c r="P37" s="17"/>
      <c r="Q37" s="54"/>
      <c r="R37" s="17"/>
      <c r="S37" s="55"/>
      <c r="T37" s="17"/>
      <c r="U37" s="54"/>
    </row>
    <row r="38" spans="1:28">
      <c r="B38" s="90" t="s">
        <v>61</v>
      </c>
      <c r="D38" s="16" t="s">
        <v>62</v>
      </c>
      <c r="E38" s="6"/>
      <c r="F38" s="19"/>
      <c r="G38" s="22"/>
      <c r="H38" s="4"/>
      <c r="I38" s="96">
        <f>SUM(K38,M38,O38,Q38,S38,U38)</f>
        <v>-199997.07</v>
      </c>
      <c r="J38" s="18"/>
      <c r="K38" s="54"/>
      <c r="L38" s="54"/>
      <c r="M38" s="55"/>
      <c r="N38" s="17"/>
      <c r="O38" s="54"/>
      <c r="P38" s="17"/>
      <c r="Q38" s="54"/>
      <c r="R38" s="17"/>
      <c r="S38" s="55"/>
      <c r="T38" s="17"/>
      <c r="U38" s="96">
        <v>-199997.07</v>
      </c>
    </row>
    <row r="39" spans="1:28" ht="15" customHeight="1" thickBot="1">
      <c r="B39" s="90"/>
      <c r="D39" s="16"/>
      <c r="E39" s="6"/>
      <c r="F39" s="19"/>
      <c r="G39" s="22"/>
      <c r="H39" s="4"/>
      <c r="I39" s="53"/>
      <c r="J39" s="18"/>
      <c r="K39" s="54"/>
      <c r="L39" s="54"/>
      <c r="M39" s="55"/>
      <c r="N39" s="17"/>
      <c r="O39" s="54"/>
      <c r="P39" s="17"/>
      <c r="Q39" s="54"/>
      <c r="R39" s="17"/>
      <c r="S39" s="55"/>
      <c r="T39" s="17"/>
      <c r="U39" s="54"/>
    </row>
    <row r="40" spans="1:28" ht="16.5" thickBot="1">
      <c r="B40" s="7">
        <f>+B34+1</f>
        <v>12</v>
      </c>
      <c r="C40" s="8"/>
      <c r="D40" s="24" t="s">
        <v>55</v>
      </c>
      <c r="E40" s="25"/>
      <c r="F40" s="26"/>
      <c r="G40" s="79" t="str">
        <f>"(Ln "&amp;B30&amp;" + Ln "&amp;B34&amp;")"</f>
        <v>(Ln 10 + Ln 11)</v>
      </c>
      <c r="H40" s="28"/>
      <c r="I40" s="29">
        <f>+I30+I34+I36+I38</f>
        <v>1287054780.0521016</v>
      </c>
      <c r="J40" s="18"/>
      <c r="K40" s="29">
        <f>+K30+K34+K36+K38</f>
        <v>495130162.05073977</v>
      </c>
      <c r="L40" s="18"/>
      <c r="M40" s="29">
        <f>+M30+M34+M36+M38</f>
        <v>205096102.98488435</v>
      </c>
      <c r="N40" s="17"/>
      <c r="O40" s="29">
        <f>+O30+O34+O36+O38</f>
        <v>90634876.490244493</v>
      </c>
      <c r="P40" s="17"/>
      <c r="Q40" s="29">
        <f>+Q30+Q34+Q36+Q38</f>
        <v>8430534.2959480621</v>
      </c>
      <c r="R40" s="17"/>
      <c r="S40" s="29">
        <f>+S30+S34+S36+S38</f>
        <v>473965194.19858843</v>
      </c>
      <c r="T40" s="17"/>
      <c r="U40" s="29">
        <f>+U30+U34+U36+U38</f>
        <v>13797910.031696316</v>
      </c>
      <c r="W40" s="66"/>
      <c r="X40" s="67"/>
      <c r="Y40" s="67"/>
      <c r="Z40" s="67"/>
      <c r="AA40" s="67"/>
      <c r="AB40" s="67"/>
    </row>
    <row r="41" spans="1:28">
      <c r="B41" s="7"/>
      <c r="C41" s="8"/>
      <c r="D41" s="16"/>
      <c r="E41" s="6"/>
      <c r="G41" s="19"/>
      <c r="H41" s="4"/>
      <c r="I41" s="18"/>
      <c r="J41" s="4"/>
      <c r="L41" s="18"/>
      <c r="N41" s="18"/>
      <c r="P41" s="66"/>
      <c r="Q41" s="67"/>
      <c r="R41" s="67"/>
      <c r="S41" s="67"/>
      <c r="T41" s="67"/>
      <c r="U41" s="67"/>
    </row>
    <row r="42" spans="1:28" ht="15.75">
      <c r="A42" s="12" t="s">
        <v>18</v>
      </c>
      <c r="B42" s="15" t="s">
        <v>19</v>
      </c>
      <c r="C42" s="8"/>
      <c r="D42" s="6"/>
      <c r="E42" s="80" t="s">
        <v>12</v>
      </c>
      <c r="F42" s="6"/>
      <c r="G42" s="6"/>
      <c r="H42" s="6"/>
      <c r="I42" s="18"/>
      <c r="J42" s="6"/>
      <c r="K42" s="63"/>
      <c r="L42" s="70"/>
      <c r="M42" s="63"/>
      <c r="N42" s="70"/>
      <c r="P42" s="66"/>
      <c r="Q42" s="67"/>
      <c r="R42" s="67"/>
      <c r="S42" s="67"/>
      <c r="T42" s="67"/>
      <c r="U42" s="67"/>
    </row>
    <row r="43" spans="1:28">
      <c r="B43" s="7">
        <f>+B40+1</f>
        <v>13</v>
      </c>
      <c r="C43" s="8"/>
      <c r="D43" s="16" t="str">
        <f>""&amp;V1&amp;" AEP East Zone Network Service Peak Load (1 CP)"</f>
        <v>2024 AEP East Zone Network Service Peak Load (1 CP)</v>
      </c>
      <c r="E43" s="6"/>
      <c r="F43" s="19"/>
      <c r="G43" s="22"/>
      <c r="H43" s="4"/>
      <c r="I43" s="91">
        <v>22825.599999999999</v>
      </c>
      <c r="J43" s="4" t="s">
        <v>20</v>
      </c>
      <c r="L43" s="18"/>
      <c r="N43" s="18"/>
      <c r="P43" s="66"/>
      <c r="Q43" s="67"/>
      <c r="R43" s="67"/>
      <c r="S43" s="67"/>
      <c r="T43" s="67"/>
      <c r="U43" s="67"/>
    </row>
    <row r="44" spans="1:28">
      <c r="B44" s="31"/>
      <c r="C44" s="16"/>
      <c r="D44" s="16"/>
      <c r="E44"/>
      <c r="F44"/>
      <c r="G44" s="32"/>
      <c r="H44"/>
      <c r="I44" s="33"/>
      <c r="J44"/>
      <c r="K44"/>
      <c r="L44"/>
      <c r="M44"/>
      <c r="N44"/>
      <c r="O44"/>
      <c r="P44" s="66"/>
      <c r="Q44" s="67"/>
      <c r="R44" s="67"/>
      <c r="S44" s="67"/>
      <c r="T44" s="67"/>
      <c r="U44" s="67"/>
    </row>
    <row r="45" spans="1:28">
      <c r="B45" s="7">
        <f>+B43+1</f>
        <v>14</v>
      </c>
      <c r="C45" s="16"/>
      <c r="D45" s="16" t="str">
        <f>"Annual Point-to-Point Rate in $/MW - Year"</f>
        <v>Annual Point-to-Point Rate in $/MW - Year</v>
      </c>
      <c r="E45" s="16"/>
      <c r="F45" s="16"/>
      <c r="G45" s="34" t="str">
        <f>"(Ln "&amp;B40&amp;" / Ln "&amp;B43&amp;")"</f>
        <v>(Ln 12 / Ln 13)</v>
      </c>
      <c r="H45" s="16"/>
      <c r="I45" s="1">
        <f>ROUND(+I40/I43,4)</f>
        <v>56386.459900000002</v>
      </c>
      <c r="J45" s="16"/>
      <c r="K45"/>
      <c r="L45"/>
      <c r="M45"/>
      <c r="N45"/>
      <c r="O45"/>
      <c r="P45" s="66"/>
      <c r="Q45" s="67"/>
      <c r="R45" s="67"/>
      <c r="S45" s="67"/>
      <c r="T45" s="67"/>
      <c r="U45" s="67"/>
    </row>
    <row r="46" spans="1:28">
      <c r="B46" s="7">
        <f t="shared" ref="B46:B51" si="0">+B45+1</f>
        <v>15</v>
      </c>
      <c r="C46" s="16"/>
      <c r="D46" s="16" t="str">
        <f>"Monthly Point-to-Point Rate in $/MW - Month"</f>
        <v>Monthly Point-to-Point Rate in $/MW - Month</v>
      </c>
      <c r="E46" s="16"/>
      <c r="F46" s="16"/>
      <c r="G46" s="34" t="str">
        <f>"(Ln "&amp;B45&amp;" / 12)"</f>
        <v>(Ln 14 / 12)</v>
      </c>
      <c r="H46" s="16"/>
      <c r="I46" s="1">
        <f>ROUND(+I$45/12,4)</f>
        <v>4698.8716999999997</v>
      </c>
      <c r="J46" s="16"/>
      <c r="K46"/>
      <c r="L46"/>
      <c r="M46"/>
      <c r="N46"/>
      <c r="O46"/>
      <c r="P46" s="66"/>
      <c r="Q46" s="67"/>
      <c r="R46" s="67"/>
      <c r="S46" s="67"/>
      <c r="T46" s="67"/>
      <c r="U46" s="67"/>
    </row>
    <row r="47" spans="1:28">
      <c r="B47" s="7">
        <f t="shared" si="0"/>
        <v>16</v>
      </c>
      <c r="C47" s="16"/>
      <c r="D47" s="16" t="str">
        <f>"Weekly Point-to-Point Rate in $/MW - Weekly"</f>
        <v>Weekly Point-to-Point Rate in $/MW - Weekly</v>
      </c>
      <c r="E47" s="16"/>
      <c r="F47" s="16"/>
      <c r="G47" s="34" t="str">
        <f>"(Ln "&amp;B45&amp;" / 52)"</f>
        <v>(Ln 14 / 52)</v>
      </c>
      <c r="H47" s="16"/>
      <c r="I47" s="1">
        <f>ROUND(+I45/52,4)</f>
        <v>1084.355</v>
      </c>
      <c r="J47" s="16"/>
      <c r="K47"/>
      <c r="L47"/>
      <c r="M47"/>
      <c r="N47"/>
      <c r="O47"/>
      <c r="P47" s="66"/>
      <c r="Q47" s="67"/>
      <c r="R47" s="67"/>
      <c r="S47" s="67"/>
      <c r="T47" s="67"/>
      <c r="U47" s="67"/>
    </row>
    <row r="48" spans="1:28">
      <c r="B48" s="7">
        <f t="shared" si="0"/>
        <v>17</v>
      </c>
      <c r="C48" s="16"/>
      <c r="D48" s="16" t="str">
        <f>"Daily On-Peak Point-to-Point Rate in $/MW - Day"</f>
        <v>Daily On-Peak Point-to-Point Rate in $/MW - Day</v>
      </c>
      <c r="E48" s="16"/>
      <c r="F48" s="16"/>
      <c r="G48" s="34" t="str">
        <f>"(Ln "&amp;B45&amp;" / 260)"</f>
        <v>(Ln 14 / 260)</v>
      </c>
      <c r="H48" s="16"/>
      <c r="I48" s="1">
        <f>ROUND(+I45/260,4)</f>
        <v>216.87100000000001</v>
      </c>
      <c r="J48" s="16"/>
      <c r="K48"/>
      <c r="L48"/>
      <c r="M48"/>
      <c r="N48"/>
      <c r="O48"/>
      <c r="P48" s="66"/>
      <c r="Q48" s="67"/>
      <c r="R48" s="67"/>
      <c r="S48" s="67"/>
      <c r="T48" s="67"/>
      <c r="U48" s="67"/>
    </row>
    <row r="49" spans="1:28">
      <c r="B49" s="7">
        <f t="shared" si="0"/>
        <v>18</v>
      </c>
      <c r="C49" s="16"/>
      <c r="D49" s="16" t="str">
        <f>"Daily Off-Peak Point-to-Point Rate in $/MW - Day"</f>
        <v>Daily Off-Peak Point-to-Point Rate in $/MW - Day</v>
      </c>
      <c r="E49" s="16"/>
      <c r="F49" s="16"/>
      <c r="G49" s="34" t="str">
        <f>"(Ln "&amp;B45&amp;" / 365)"</f>
        <v>(Ln 14 / 365)</v>
      </c>
      <c r="H49" s="16"/>
      <c r="I49" s="1">
        <f>ROUND(+I45/365,4)</f>
        <v>154.48349999999999</v>
      </c>
      <c r="J49" s="16"/>
      <c r="K49"/>
      <c r="L49"/>
      <c r="M49"/>
      <c r="N49"/>
      <c r="O49"/>
      <c r="P49" s="66"/>
      <c r="Q49" s="67"/>
      <c r="R49" s="67"/>
      <c r="S49" s="67"/>
      <c r="T49" s="67"/>
      <c r="U49" s="67"/>
    </row>
    <row r="50" spans="1:28">
      <c r="B50" s="7">
        <f t="shared" si="0"/>
        <v>19</v>
      </c>
      <c r="C50" s="16"/>
      <c r="D50" s="16" t="str">
        <f>"Hourly On-Peak Point-to-Point Rate in $/MW - Hour"</f>
        <v>Hourly On-Peak Point-to-Point Rate in $/MW - Hour</v>
      </c>
      <c r="E50" s="16"/>
      <c r="F50" s="16"/>
      <c r="G50" s="34" t="str">
        <f>"(Ln "&amp;B45&amp;" / 4160)"</f>
        <v>(Ln 14 / 4160)</v>
      </c>
      <c r="H50" s="16"/>
      <c r="I50" s="1">
        <f>ROUND(+I45/4160,4)</f>
        <v>13.554399999999999</v>
      </c>
      <c r="J50" s="16"/>
      <c r="K50"/>
      <c r="L50"/>
      <c r="M50"/>
      <c r="N50"/>
      <c r="O50"/>
      <c r="P50" s="66"/>
      <c r="Q50" s="67"/>
      <c r="R50" s="67"/>
      <c r="S50" s="67"/>
      <c r="T50" s="67"/>
      <c r="U50" s="67"/>
    </row>
    <row r="51" spans="1:28">
      <c r="B51" s="7">
        <f t="shared" si="0"/>
        <v>20</v>
      </c>
      <c r="C51" s="16"/>
      <c r="D51" s="16" t="str">
        <f>"Hourly Off-Peak Point-to-Point Rate in $/MW - Hour"</f>
        <v>Hourly Off-Peak Point-to-Point Rate in $/MW - Hour</v>
      </c>
      <c r="E51" s="16"/>
      <c r="F51" s="16"/>
      <c r="G51" s="34" t="str">
        <f>"(Ln "&amp;B45&amp;" / 8760)"</f>
        <v>(Ln 14 / 8760)</v>
      </c>
      <c r="H51" s="16"/>
      <c r="I51" s="1">
        <f>ROUND(+I45/8760,4)</f>
        <v>6.4367999999999999</v>
      </c>
      <c r="J51" s="16"/>
      <c r="K51"/>
      <c r="L51"/>
      <c r="M51"/>
      <c r="N51"/>
      <c r="O51"/>
      <c r="P51" s="66"/>
      <c r="Q51" s="67"/>
      <c r="R51" s="67"/>
      <c r="S51" s="67"/>
      <c r="T51" s="67"/>
      <c r="U51" s="67"/>
    </row>
    <row r="52" spans="1:28">
      <c r="G52" s="35"/>
      <c r="H52" s="4"/>
      <c r="J52" s="4"/>
      <c r="K52"/>
      <c r="L52"/>
      <c r="M52"/>
      <c r="N52"/>
      <c r="O52"/>
      <c r="P52"/>
      <c r="Q52"/>
      <c r="R52"/>
      <c r="S52"/>
      <c r="T52"/>
      <c r="U52"/>
      <c r="V52"/>
      <c r="W52" s="68"/>
      <c r="X52" s="69"/>
      <c r="Y52" s="69"/>
      <c r="Z52" s="69"/>
      <c r="AA52" s="69"/>
      <c r="AB52" s="69"/>
    </row>
    <row r="53" spans="1:28" ht="15.75">
      <c r="A53" s="12" t="s">
        <v>21</v>
      </c>
      <c r="B53" s="15" t="s">
        <v>33</v>
      </c>
      <c r="C53" s="8"/>
      <c r="D53" s="6"/>
      <c r="E53" s="8"/>
      <c r="F53" s="6"/>
      <c r="G53" s="8"/>
      <c r="H53" s="6"/>
      <c r="J53" s="6"/>
      <c r="L53" s="6"/>
    </row>
    <row r="54" spans="1:28">
      <c r="B54" s="36">
        <f>+B51+1</f>
        <v>21</v>
      </c>
      <c r="C54" s="16"/>
      <c r="D54" s="16" t="str">
        <f>"RTEP UPGRADE ATRR W/O INCENTIVES"</f>
        <v>RTEP UPGRADE ATRR W/O INCENTIVES</v>
      </c>
      <c r="G54" s="19" t="str">
        <f>"(Ln "&amp;B24&amp;")"</f>
        <v>(Ln 7)</v>
      </c>
      <c r="H54" s="16"/>
      <c r="I54" s="37">
        <f>SUM(K54,M54,O54,Q54,S54,U54)</f>
        <v>46126664.189607754</v>
      </c>
      <c r="J54" s="16"/>
      <c r="K54" s="38">
        <f>K24</f>
        <v>28118028.103649396</v>
      </c>
      <c r="L54" s="16"/>
      <c r="M54" s="38">
        <f>M24</f>
        <v>8503771.6334173065</v>
      </c>
      <c r="N54" s="33"/>
      <c r="O54" s="38">
        <f>O24</f>
        <v>0</v>
      </c>
      <c r="P54" s="33"/>
      <c r="Q54" s="38">
        <f>Q24</f>
        <v>0</v>
      </c>
      <c r="R54" s="33"/>
      <c r="S54" s="38">
        <f>S24</f>
        <v>9385627.6812635344</v>
      </c>
      <c r="T54" s="33"/>
      <c r="U54" s="38">
        <f>U24</f>
        <v>119236.77127751833</v>
      </c>
      <c r="Y54"/>
      <c r="AA54"/>
    </row>
    <row r="55" spans="1:28">
      <c r="B55" s="36">
        <f>+B54+1</f>
        <v>22</v>
      </c>
      <c r="C55" s="16"/>
      <c r="D55" s="1" t="s">
        <v>37</v>
      </c>
      <c r="G55" s="22" t="str">
        <f>"(Worksheet J)"</f>
        <v>(Worksheet J)</v>
      </c>
      <c r="H55" s="16"/>
      <c r="I55" s="37">
        <f>SUM(K55,M55,O55,Q55,S55,U55)</f>
        <v>0</v>
      </c>
      <c r="J55" s="16"/>
      <c r="K55" s="20">
        <v>0</v>
      </c>
      <c r="L55" s="16"/>
      <c r="M55" s="20">
        <v>0</v>
      </c>
      <c r="N55" s="33"/>
      <c r="O55" s="20">
        <v>0</v>
      </c>
      <c r="P55" s="33"/>
      <c r="Q55" s="20">
        <v>0</v>
      </c>
      <c r="R55" s="33"/>
      <c r="S55" s="20">
        <v>0</v>
      </c>
      <c r="T55" s="33"/>
      <c r="U55" s="20">
        <v>0</v>
      </c>
    </row>
    <row r="56" spans="1:28" ht="15.75" thickBot="1">
      <c r="B56" s="36">
        <f>+B55+1</f>
        <v>23</v>
      </c>
      <c r="C56" s="16"/>
      <c r="D56" s="1" t="s">
        <v>48</v>
      </c>
      <c r="G56" s="19" t="s">
        <v>54</v>
      </c>
      <c r="H56" s="16"/>
      <c r="I56" s="37">
        <f>SUM(K56,M56,O56,Q56,S56,U56)</f>
        <v>2648841.2928028344</v>
      </c>
      <c r="J56" s="16"/>
      <c r="K56" s="72">
        <v>1544472.4206093932</v>
      </c>
      <c r="L56" s="38"/>
      <c r="M56" s="73">
        <v>441692.55724387709</v>
      </c>
      <c r="N56" s="37"/>
      <c r="O56" s="73">
        <v>0</v>
      </c>
      <c r="P56" s="37"/>
      <c r="Q56" s="73">
        <v>0</v>
      </c>
      <c r="R56" s="37"/>
      <c r="S56" s="73">
        <v>666959.1984343332</v>
      </c>
      <c r="T56" s="37"/>
      <c r="U56" s="73">
        <v>-4282.883484769095</v>
      </c>
    </row>
    <row r="57" spans="1:28" ht="16.5" thickBot="1">
      <c r="B57" s="36">
        <f>+B56+1</f>
        <v>24</v>
      </c>
      <c r="C57" s="16"/>
      <c r="D57" s="51" t="s">
        <v>56</v>
      </c>
      <c r="E57" s="26"/>
      <c r="F57" s="26"/>
      <c r="G57" s="39"/>
      <c r="H57" s="39"/>
      <c r="I57" s="40">
        <f>+I54+I55+I56</f>
        <v>48775505.482410587</v>
      </c>
      <c r="J57" s="16"/>
      <c r="K57" s="41">
        <f>+K54+K55+K56</f>
        <v>29662500.524258789</v>
      </c>
      <c r="L57" s="16"/>
      <c r="M57" s="41">
        <f>+M54+M55+M56</f>
        <v>8945464.1906611845</v>
      </c>
      <c r="N57" s="33"/>
      <c r="O57" s="41">
        <f>+O54+O55+O56</f>
        <v>0</v>
      </c>
      <c r="P57" s="33"/>
      <c r="Q57" s="41">
        <f>+Q54+Q55+Q56</f>
        <v>0</v>
      </c>
      <c r="R57" s="33"/>
      <c r="S57" s="41">
        <f>+S54+S55+S56</f>
        <v>10052586.879697867</v>
      </c>
      <c r="T57" s="33"/>
      <c r="U57" s="41">
        <f>+U54+U55+U56</f>
        <v>114953.88779274924</v>
      </c>
    </row>
    <row r="58" spans="1:28">
      <c r="B58" s="31"/>
      <c r="C58" s="16"/>
      <c r="D58" s="16"/>
      <c r="E58" s="16"/>
      <c r="F58" s="16"/>
      <c r="G58" s="16"/>
      <c r="H58" s="16"/>
      <c r="I58" s="33"/>
      <c r="J58" s="16"/>
      <c r="K58" s="16"/>
      <c r="L58" s="16"/>
      <c r="M58" s="16"/>
      <c r="N58" s="33"/>
      <c r="O58" s="16"/>
      <c r="P58" s="33"/>
      <c r="Q58" s="16"/>
      <c r="R58" s="33"/>
      <c r="S58" s="16"/>
      <c r="T58" s="33"/>
      <c r="U58" s="16"/>
    </row>
    <row r="59" spans="1:28">
      <c r="B59" s="31"/>
      <c r="C59" s="16"/>
      <c r="D59" s="16" t="s">
        <v>12</v>
      </c>
      <c r="E59" s="42" t="s">
        <v>12</v>
      </c>
      <c r="F59" s="16"/>
      <c r="G59" s="16"/>
      <c r="H59" s="16"/>
      <c r="I59" s="33"/>
      <c r="J59" s="16"/>
      <c r="K59" s="16"/>
      <c r="L59" s="16"/>
      <c r="M59" s="16"/>
      <c r="N59" s="33"/>
      <c r="O59" s="16"/>
      <c r="P59" s="33"/>
      <c r="Q59" s="16"/>
      <c r="R59" s="33"/>
      <c r="S59" s="16"/>
      <c r="T59" s="33"/>
      <c r="U59" s="16"/>
    </row>
    <row r="60" spans="1:28">
      <c r="B60" s="31"/>
      <c r="C60" s="16"/>
      <c r="D60" s="16" t="s">
        <v>52</v>
      </c>
      <c r="E60" s="42" t="s">
        <v>12</v>
      </c>
      <c r="F60" s="16"/>
      <c r="G60" s="16"/>
      <c r="H60" s="16"/>
      <c r="I60" s="43"/>
      <c r="J60" s="16"/>
      <c r="K60" s="16"/>
      <c r="L60" s="16"/>
      <c r="M60" s="16"/>
      <c r="N60" s="33"/>
      <c r="O60" s="16"/>
      <c r="P60" s="33"/>
      <c r="Q60" s="16"/>
      <c r="R60" s="33"/>
      <c r="S60" s="16"/>
      <c r="T60" s="33"/>
      <c r="U60" s="16"/>
    </row>
    <row r="61" spans="1:28">
      <c r="B61" s="31"/>
      <c r="C61" s="16"/>
      <c r="D61" s="16"/>
      <c r="E61" s="16"/>
      <c r="F61" s="16"/>
      <c r="G61" s="44" t="s">
        <v>12</v>
      </c>
      <c r="H61" s="16"/>
      <c r="I61" s="33"/>
      <c r="J61" s="16"/>
      <c r="K61" s="16"/>
      <c r="L61" s="16"/>
      <c r="M61" s="16"/>
      <c r="N61" s="33"/>
      <c r="O61" s="16"/>
      <c r="P61" s="33"/>
      <c r="Q61" s="16"/>
      <c r="R61" s="33"/>
      <c r="S61" s="16"/>
      <c r="T61" s="33"/>
      <c r="U61" s="16"/>
    </row>
    <row r="62" spans="1:28">
      <c r="B62" s="45"/>
      <c r="C62" s="6"/>
      <c r="D62" s="6"/>
      <c r="E62" s="6"/>
      <c r="F62" s="6"/>
      <c r="G62" s="6"/>
      <c r="H62" s="6"/>
      <c r="I62" s="33"/>
      <c r="J62" s="6"/>
      <c r="K62" s="6"/>
      <c r="L62" s="6"/>
      <c r="M62" s="6"/>
      <c r="N62" s="33"/>
      <c r="O62" s="6"/>
      <c r="P62" s="33"/>
      <c r="Q62" s="6"/>
      <c r="R62" s="33"/>
      <c r="S62" s="6"/>
      <c r="T62" s="33"/>
      <c r="U62" s="6"/>
    </row>
    <row r="63" spans="1:28">
      <c r="B63" s="45"/>
      <c r="C63" s="6"/>
      <c r="D63" s="6"/>
      <c r="E63" s="6"/>
      <c r="F63" s="6"/>
      <c r="G63" s="6"/>
      <c r="H63" s="6"/>
      <c r="I63" s="33"/>
      <c r="J63" s="6"/>
      <c r="K63" s="6"/>
      <c r="L63" s="6"/>
      <c r="M63" s="6"/>
      <c r="N63" s="33"/>
      <c r="O63" s="6"/>
      <c r="P63" s="33"/>
      <c r="Q63" s="6"/>
      <c r="R63" s="33"/>
      <c r="S63" s="6"/>
      <c r="T63" s="33"/>
      <c r="U63" s="6"/>
    </row>
    <row r="64" spans="1:28">
      <c r="B64" s="45"/>
      <c r="C64" s="6" t="s">
        <v>12</v>
      </c>
      <c r="D64" s="6" t="s">
        <v>12</v>
      </c>
      <c r="E64" s="6"/>
      <c r="F64" s="6"/>
      <c r="G64" s="6"/>
      <c r="H64" s="6"/>
      <c r="I64" s="33"/>
      <c r="J64" s="6"/>
      <c r="K64" s="6"/>
      <c r="L64" s="6"/>
      <c r="M64" s="33"/>
      <c r="N64" s="33"/>
      <c r="O64" s="33"/>
      <c r="P64" s="33"/>
      <c r="Q64" s="33"/>
      <c r="R64" s="33"/>
      <c r="S64" s="33"/>
      <c r="T64" s="33"/>
      <c r="U64" s="33"/>
    </row>
    <row r="65" spans="2:21">
      <c r="B65" s="45"/>
      <c r="C65" s="6"/>
      <c r="D65" s="6" t="s">
        <v>12</v>
      </c>
      <c r="E65" s="6"/>
      <c r="F65" s="6"/>
      <c r="G65" s="6"/>
      <c r="H65" s="6"/>
      <c r="I65" s="33"/>
      <c r="J65" s="6"/>
      <c r="K65" s="6"/>
      <c r="L65" s="6"/>
      <c r="M65" s="33"/>
      <c r="N65" s="33"/>
      <c r="O65" s="33"/>
      <c r="P65" s="33"/>
      <c r="Q65" s="33"/>
      <c r="R65" s="33"/>
      <c r="S65" s="33"/>
      <c r="T65" s="33"/>
      <c r="U65" s="33"/>
    </row>
    <row r="66" spans="2:21">
      <c r="B66" s="45"/>
      <c r="C66" s="6"/>
      <c r="D66" s="6" t="s">
        <v>12</v>
      </c>
      <c r="E66" s="6"/>
      <c r="F66" s="6"/>
      <c r="G66" s="6"/>
      <c r="H66" s="6"/>
      <c r="I66" s="33"/>
      <c r="J66" s="6"/>
      <c r="K66" s="6"/>
      <c r="L66" s="6"/>
      <c r="M66" s="33"/>
      <c r="N66" s="33"/>
      <c r="O66" s="33"/>
      <c r="P66" s="33"/>
      <c r="Q66" s="33"/>
      <c r="R66" s="33"/>
      <c r="S66" s="33"/>
      <c r="T66" s="33"/>
      <c r="U66" s="33"/>
    </row>
    <row r="67" spans="2:21">
      <c r="B67" s="45"/>
      <c r="C67" s="6"/>
      <c r="D67" s="6" t="s">
        <v>12</v>
      </c>
      <c r="E67" s="6"/>
      <c r="F67" s="6"/>
      <c r="G67" s="6"/>
      <c r="H67" s="6"/>
      <c r="I67" s="33"/>
      <c r="J67" s="6"/>
      <c r="K67" s="6"/>
      <c r="L67" s="6"/>
      <c r="M67" s="33"/>
      <c r="N67" s="33"/>
      <c r="O67" s="33"/>
      <c r="P67" s="33"/>
      <c r="Q67" s="33"/>
      <c r="R67" s="33"/>
      <c r="S67" s="33"/>
      <c r="T67" s="33"/>
      <c r="U67" s="33"/>
    </row>
    <row r="68" spans="2:21">
      <c r="B68" s="45"/>
      <c r="C68" s="6"/>
      <c r="D68" s="6" t="s">
        <v>12</v>
      </c>
      <c r="E68" s="6"/>
      <c r="F68" s="6"/>
      <c r="G68" s="6"/>
      <c r="H68" s="6"/>
      <c r="I68" s="33"/>
      <c r="J68" s="6"/>
      <c r="K68" s="6"/>
      <c r="L68" s="6"/>
      <c r="M68" s="33"/>
      <c r="N68" s="33"/>
      <c r="O68" s="33"/>
      <c r="P68" s="33"/>
      <c r="Q68" s="33"/>
      <c r="R68" s="33"/>
      <c r="S68" s="33"/>
      <c r="T68" s="33"/>
      <c r="U68" s="33"/>
    </row>
    <row r="69" spans="2:21">
      <c r="B69" s="46"/>
      <c r="C69" s="33"/>
      <c r="D69" s="33" t="s">
        <v>60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</row>
    <row r="70" spans="2:21">
      <c r="B70" s="46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</row>
    <row r="71" spans="2:21">
      <c r="B71" s="46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</row>
    <row r="72" spans="2:21">
      <c r="B72" s="46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2:21">
      <c r="B73" s="46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</row>
    <row r="74" spans="2:21">
      <c r="B74" s="46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</row>
    <row r="75" spans="2:21">
      <c r="B75" s="46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</row>
    <row r="76" spans="2:21">
      <c r="B76" s="46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</row>
    <row r="77" spans="2:21">
      <c r="B77" s="46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</row>
    <row r="78" spans="2:21">
      <c r="B78" s="46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2:21">
      <c r="B79" s="46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2:21">
      <c r="B80" s="46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2:21">
      <c r="B81" s="46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2:21">
      <c r="B82" s="46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2:21">
      <c r="B83" s="46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2:21">
      <c r="B84" s="46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2:21">
      <c r="B85" s="46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</row>
    <row r="86" spans="2:21">
      <c r="B86" s="46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</row>
    <row r="87" spans="2:21">
      <c r="B87" s="46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</row>
    <row r="88" spans="2:21">
      <c r="B88" s="46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</row>
    <row r="89" spans="2:21">
      <c r="B89" s="46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</row>
    <row r="90" spans="2:21">
      <c r="B90" s="46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</row>
    <row r="91" spans="2:21">
      <c r="B91" s="46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</row>
    <row r="92" spans="2:21">
      <c r="B92" s="46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</row>
    <row r="93" spans="2:21">
      <c r="B93" s="46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</row>
    <row r="94" spans="2:21">
      <c r="B94" s="46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</row>
    <row r="95" spans="2:21">
      <c r="B95" s="46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</row>
    <row r="96" spans="2:21">
      <c r="B96" s="46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</row>
    <row r="97" spans="2:21">
      <c r="B97" s="46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</row>
    <row r="98" spans="2:21">
      <c r="B98" s="46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</row>
    <row r="99" spans="2:21">
      <c r="B99" s="46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</row>
    <row r="100" spans="2:21">
      <c r="B100" s="46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</row>
    <row r="101" spans="2:21">
      <c r="B101" s="46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</row>
    <row r="102" spans="2:21">
      <c r="B102" s="46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</row>
    <row r="103" spans="2:21">
      <c r="B103" s="46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</row>
    <row r="104" spans="2:21">
      <c r="B104" s="46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</row>
    <row r="105" spans="2:21">
      <c r="B105" s="46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</row>
    <row r="106" spans="2:21">
      <c r="B106" s="46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</row>
    <row r="107" spans="2:21">
      <c r="B107" s="46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</row>
    <row r="108" spans="2:21">
      <c r="B108" s="46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</row>
    <row r="109" spans="2:21">
      <c r="B109" s="46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</row>
    <row r="110" spans="2:21">
      <c r="B110" s="46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</row>
    <row r="111" spans="2:21">
      <c r="B111" s="46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</row>
    <row r="112" spans="2:21">
      <c r="B112" s="46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</row>
    <row r="113" spans="2:21">
      <c r="B113" s="46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</row>
    <row r="114" spans="2:21">
      <c r="B114" s="46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</row>
    <row r="115" spans="2:21">
      <c r="B115" s="46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</row>
    <row r="116" spans="2:21">
      <c r="B116" s="46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</row>
    <row r="117" spans="2:21">
      <c r="B117" s="46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</row>
    <row r="118" spans="2:21">
      <c r="B118" s="46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</row>
    <row r="119" spans="2:21">
      <c r="B119" s="46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</row>
    <row r="120" spans="2:21">
      <c r="B120" s="46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</row>
    <row r="121" spans="2:21">
      <c r="B121" s="46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</row>
    <row r="122" spans="2:21">
      <c r="B122" s="46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</row>
    <row r="123" spans="2:21">
      <c r="B123" s="46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</row>
    <row r="124" spans="2:21">
      <c r="B124" s="46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</row>
    <row r="125" spans="2:21">
      <c r="B125" s="46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</row>
    <row r="126" spans="2:21">
      <c r="B126" s="46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</row>
    <row r="127" spans="2:21">
      <c r="B127" s="46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</row>
    <row r="128" spans="2:21">
      <c r="B128" s="46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</row>
  </sheetData>
  <customSheetViews>
    <customSheetView guid="{51F5E52F-0ED7-45F8-995B-A008B15FCDF4}" scale="75" showPageBreaks="1" fitToPage="1" showRuler="0">
      <pageMargins left="0.41" right="0.23" top="1.75" bottom="0.33" header="1.25" footer="0.17"/>
      <printOptions horizontalCentered="1"/>
      <pageSetup scale="48" orientation="landscape" r:id="rId1"/>
      <headerFooter alignWithMargins="0">
        <oddHeader>&amp;R&amp;18Transmission Service ATRR
Page 1 of 2</oddHeader>
        <oddFooter xml:space="preserve">&amp;C &amp;R </oddFooter>
      </headerFooter>
    </customSheetView>
    <customSheetView guid="{59817C1F-0731-403A-A1D5-70099C98272D}" scale="65" fitToPage="1" showRuler="0">
      <selection activeCell="I22" sqref="I22"/>
      <pageMargins left="0.41" right="0.23" top="1.75" bottom="0.33" header="1.25" footer="0.17"/>
      <printOptions horizontalCentered="1"/>
      <pageSetup scale="50" orientation="landscape" r:id="rId2"/>
      <headerFooter alignWithMargins="0">
        <oddHeader>&amp;R&amp;18Transmission Service ATRR
Page 1 of 2</oddHeader>
        <oddFooter xml:space="preserve">&amp;C &amp;R </oddFooter>
      </headerFooter>
    </customSheetView>
  </customSheetViews>
  <mergeCells count="5">
    <mergeCell ref="D19:E19"/>
    <mergeCell ref="A3:U3"/>
    <mergeCell ref="A4:U4"/>
    <mergeCell ref="A5:U5"/>
    <mergeCell ref="A8:U8"/>
  </mergeCells>
  <phoneticPr fontId="0" type="noConversion"/>
  <printOptions horizontalCentered="1"/>
  <pageMargins left="0.41" right="0.23" top="1.75" bottom="0.33" header="1.25" footer="0.17"/>
  <pageSetup scale="50" orientation="landscape" r:id="rId3"/>
  <headerFooter alignWithMargins="0">
    <oddFooter>&amp;Z&amp;F&amp;RPage &amp;P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109"/>
  <sheetViews>
    <sheetView zoomScale="75" zoomScaleNormal="75" workbookViewId="0">
      <selection activeCell="G42" sqref="G42"/>
    </sheetView>
  </sheetViews>
  <sheetFormatPr defaultColWidth="11.42578125" defaultRowHeight="15"/>
  <cols>
    <col min="1" max="1" width="4.85546875" style="1" customWidth="1"/>
    <col min="2" max="2" width="5.85546875" style="23" bestFit="1" customWidth="1"/>
    <col min="3" max="3" width="2" style="1" customWidth="1"/>
    <col min="4" max="4" width="71.140625" style="1" customWidth="1"/>
    <col min="5" max="5" width="23.140625" style="1" customWidth="1"/>
    <col min="6" max="6" width="2.5703125" style="1" customWidth="1"/>
    <col min="7" max="7" width="19.42578125" style="1" bestFit="1" customWidth="1"/>
    <col min="8" max="8" width="2.5703125" style="1" customWidth="1"/>
    <col min="9" max="9" width="17.85546875" style="1" customWidth="1"/>
    <col min="10" max="10" width="2.5703125" style="1" customWidth="1"/>
    <col min="11" max="11" width="17.85546875" style="1" customWidth="1"/>
    <col min="12" max="12" width="2.5703125" style="1" customWidth="1"/>
    <col min="13" max="13" width="17.85546875" style="1" customWidth="1"/>
    <col min="14" max="14" width="2.5703125" style="1" customWidth="1"/>
    <col min="15" max="15" width="17.85546875" style="1" customWidth="1"/>
    <col min="16" max="16" width="2.42578125" style="1" customWidth="1"/>
    <col min="17" max="17" width="17.85546875" style="1" customWidth="1"/>
    <col min="18" max="18" width="2.5703125" style="1" customWidth="1"/>
    <col min="19" max="19" width="17.85546875" style="1" customWidth="1"/>
    <col min="20" max="16384" width="11.42578125" style="1"/>
  </cols>
  <sheetData>
    <row r="1" spans="1:21">
      <c r="A1"/>
      <c r="B1"/>
      <c r="C1"/>
      <c r="D1"/>
      <c r="E1"/>
      <c r="F1"/>
      <c r="H1" s="4"/>
      <c r="I1"/>
      <c r="J1"/>
      <c r="S1" s="2"/>
      <c r="T1" s="60">
        <v>2024</v>
      </c>
    </row>
    <row r="2" spans="1:21">
      <c r="B2" s="3"/>
      <c r="C2" s="4"/>
      <c r="D2" s="4"/>
      <c r="E2" s="4"/>
      <c r="F2" s="4"/>
      <c r="H2" s="4"/>
      <c r="I2" s="4"/>
      <c r="J2" s="4"/>
      <c r="S2" s="2"/>
      <c r="T2" s="33"/>
    </row>
    <row r="3" spans="1:21">
      <c r="A3" s="99" t="s">
        <v>39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21">
      <c r="A4" s="100" t="s">
        <v>53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</row>
    <row r="5" spans="1:21">
      <c r="A5" s="99" t="str">
        <f>"For rates effective January 1, 2024"</f>
        <v>For rates effective January 1, 2024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5"/>
      <c r="U5" s="5"/>
    </row>
    <row r="6" spans="1:21">
      <c r="B6" s="7"/>
      <c r="C6" s="8"/>
      <c r="D6" s="6"/>
      <c r="H6" s="6"/>
      <c r="I6" s="9"/>
      <c r="J6" s="9"/>
    </row>
    <row r="7" spans="1:21" ht="15.75">
      <c r="A7" s="101" t="s">
        <v>40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21" ht="15.75">
      <c r="A8" s="10"/>
      <c r="B8" s="7"/>
      <c r="C8" s="8"/>
      <c r="D8" s="6"/>
      <c r="H8" s="6"/>
      <c r="I8" s="6"/>
      <c r="J8" s="6"/>
    </row>
    <row r="9" spans="1:21" ht="15.75">
      <c r="B9" s="7"/>
      <c r="C9" s="8"/>
      <c r="D9" s="6"/>
      <c r="E9" s="6"/>
      <c r="F9" s="9"/>
      <c r="G9" s="12" t="s">
        <v>0</v>
      </c>
      <c r="H9" s="13"/>
      <c r="I9" s="13" t="s">
        <v>27</v>
      </c>
      <c r="J9" s="13"/>
      <c r="K9" s="13" t="s">
        <v>28</v>
      </c>
      <c r="M9" s="13" t="s">
        <v>29</v>
      </c>
      <c r="O9" s="13" t="s">
        <v>30</v>
      </c>
      <c r="Q9" s="13" t="s">
        <v>31</v>
      </c>
      <c r="S9" s="13" t="s">
        <v>32</v>
      </c>
    </row>
    <row r="10" spans="1:21" ht="15.75">
      <c r="B10" s="7" t="s">
        <v>1</v>
      </c>
      <c r="C10" s="8"/>
      <c r="D10" s="6"/>
      <c r="E10" s="6"/>
      <c r="F10" s="6"/>
      <c r="G10" s="12" t="s">
        <v>2</v>
      </c>
      <c r="H10" s="13"/>
      <c r="I10" s="13" t="s">
        <v>2</v>
      </c>
      <c r="J10" s="13"/>
      <c r="K10" s="13" t="s">
        <v>2</v>
      </c>
      <c r="M10" s="13" t="s">
        <v>2</v>
      </c>
      <c r="O10" s="13" t="s">
        <v>2</v>
      </c>
      <c r="Q10" s="13" t="s">
        <v>2</v>
      </c>
      <c r="S10" s="13" t="s">
        <v>2</v>
      </c>
    </row>
    <row r="11" spans="1:21" ht="16.5" thickBot="1">
      <c r="B11" s="14" t="s">
        <v>3</v>
      </c>
      <c r="C11" s="8"/>
      <c r="D11" s="6"/>
      <c r="E11" s="8"/>
      <c r="F11" s="6"/>
      <c r="G11" s="12" t="s">
        <v>4</v>
      </c>
      <c r="H11" s="13"/>
      <c r="I11" s="12" t="s">
        <v>4</v>
      </c>
      <c r="J11" s="13"/>
      <c r="K11" s="12" t="s">
        <v>4</v>
      </c>
      <c r="M11" s="12" t="s">
        <v>4</v>
      </c>
      <c r="O11" s="12" t="s">
        <v>4</v>
      </c>
      <c r="Q11" s="12" t="s">
        <v>4</v>
      </c>
      <c r="S11" s="12" t="s">
        <v>4</v>
      </c>
    </row>
    <row r="12" spans="1:21">
      <c r="B12" s="7"/>
      <c r="C12" s="8"/>
      <c r="D12" s="16"/>
      <c r="E12" s="8"/>
      <c r="F12" s="6"/>
      <c r="H12" s="6"/>
      <c r="J12" s="6"/>
    </row>
    <row r="13" spans="1:21">
      <c r="B13" s="7"/>
      <c r="C13" s="8"/>
      <c r="D13" s="6"/>
      <c r="E13" s="8"/>
      <c r="F13" s="6"/>
      <c r="H13" s="6"/>
      <c r="J13" s="6"/>
    </row>
    <row r="14" spans="1:21" ht="15.75">
      <c r="A14" s="12" t="s">
        <v>5</v>
      </c>
      <c r="B14" s="15" t="s">
        <v>35</v>
      </c>
      <c r="C14" s="8"/>
      <c r="D14" s="6"/>
      <c r="E14" s="8"/>
      <c r="F14" s="6"/>
      <c r="H14" s="6"/>
      <c r="I14" s="6"/>
      <c r="J14" s="6"/>
    </row>
    <row r="15" spans="1:21">
      <c r="B15" s="7">
        <v>1</v>
      </c>
      <c r="C15" s="8"/>
      <c r="D15" s="16" t="s">
        <v>50</v>
      </c>
      <c r="E15" s="6"/>
      <c r="F15" s="19"/>
      <c r="G15" s="18">
        <f>SUM(I15,K15,M15,O15,Q15,S15)</f>
        <v>28644121.420287639</v>
      </c>
      <c r="H15" s="18"/>
      <c r="I15" s="18">
        <v>15729607.898989998</v>
      </c>
      <c r="J15" s="18"/>
      <c r="K15" s="18">
        <v>8476506.5712502804</v>
      </c>
      <c r="L15" s="17"/>
      <c r="M15" s="18">
        <v>2177193.7139449101</v>
      </c>
      <c r="N15" s="17"/>
      <c r="O15" s="18">
        <v>18209.906720449697</v>
      </c>
      <c r="P15" s="17"/>
      <c r="Q15" s="18">
        <v>680606.27002427808</v>
      </c>
      <c r="R15" s="17"/>
      <c r="S15" s="18">
        <v>1561997.05935772</v>
      </c>
    </row>
    <row r="16" spans="1:21">
      <c r="B16" s="7">
        <f>+B15+1</f>
        <v>2</v>
      </c>
      <c r="C16" s="8"/>
      <c r="D16" s="16" t="s">
        <v>22</v>
      </c>
      <c r="E16" s="6"/>
      <c r="F16" s="19"/>
      <c r="G16" s="18">
        <f>SUM(I16,K16,M16,O16,Q16,S16)</f>
        <v>18144767.905675225</v>
      </c>
      <c r="H16" s="18"/>
      <c r="I16" s="18">
        <v>9410664.1922369488</v>
      </c>
      <c r="J16" s="18"/>
      <c r="K16" s="18">
        <v>6006930.5867340891</v>
      </c>
      <c r="L16" s="17"/>
      <c r="M16" s="18">
        <v>1400744.43728405</v>
      </c>
      <c r="N16" s="17"/>
      <c r="O16" s="18">
        <v>-8.6794411287540077E-2</v>
      </c>
      <c r="P16" s="17"/>
      <c r="Q16" s="18">
        <v>143769.12909584015</v>
      </c>
      <c r="R16" s="17"/>
      <c r="S16" s="18">
        <v>1182659.6471187049</v>
      </c>
    </row>
    <row r="17" spans="1:19">
      <c r="B17" s="7">
        <f>+B16+1</f>
        <v>3</v>
      </c>
      <c r="C17" s="8"/>
      <c r="D17" s="16" t="s">
        <v>23</v>
      </c>
      <c r="E17" s="6"/>
      <c r="F17" s="19"/>
      <c r="G17" s="47">
        <f>SUM(I17,K17,M17,O17,Q17,S17)</f>
        <v>5152606.8768741712</v>
      </c>
      <c r="H17" s="18"/>
      <c r="I17" s="47">
        <v>2699093.7716291365</v>
      </c>
      <c r="J17" s="18"/>
      <c r="K17" s="47">
        <v>1749841.435160062</v>
      </c>
      <c r="L17" s="17"/>
      <c r="M17" s="47">
        <v>367280.1166116675</v>
      </c>
      <c r="N17" s="17"/>
      <c r="O17" s="47">
        <v>0</v>
      </c>
      <c r="P17" s="17"/>
      <c r="Q17" s="47">
        <v>0</v>
      </c>
      <c r="R17" s="17"/>
      <c r="S17" s="47">
        <v>336391.55347330496</v>
      </c>
    </row>
    <row r="18" spans="1:19">
      <c r="B18" s="7">
        <f>+B17+1</f>
        <v>4</v>
      </c>
      <c r="C18" s="8"/>
      <c r="D18" s="16" t="s">
        <v>24</v>
      </c>
      <c r="E18" s="8" t="str">
        <f>"(Ln "&amp;B15&amp;" - Ln "&amp;B16&amp;" - Ln "&amp;B17&amp;")"</f>
        <v>(Ln 1 - Ln 2 - Ln 3)</v>
      </c>
      <c r="F18" s="19"/>
      <c r="G18" s="18">
        <f>+G15-G16-G17</f>
        <v>5346746.6377382427</v>
      </c>
      <c r="H18" s="18"/>
      <c r="I18" s="18">
        <f>+I15-I16-I17</f>
        <v>3619849.9351239125</v>
      </c>
      <c r="J18" s="18"/>
      <c r="K18" s="18">
        <f>+K15-K16-K17</f>
        <v>719734.54935612925</v>
      </c>
      <c r="L18" s="17"/>
      <c r="M18" s="18">
        <f>+M15-M16-M17</f>
        <v>409169.16004919255</v>
      </c>
      <c r="N18" s="17"/>
      <c r="O18" s="18">
        <f>+O15-O16-O17</f>
        <v>18209.993514860984</v>
      </c>
      <c r="P18" s="17"/>
      <c r="Q18" s="18">
        <f>+Q15-Q16-Q17</f>
        <v>536837.14092843793</v>
      </c>
      <c r="R18" s="17"/>
      <c r="S18" s="18">
        <f>+S15-S16-S17</f>
        <v>42945.858765710145</v>
      </c>
    </row>
    <row r="19" spans="1:19">
      <c r="B19" s="1"/>
      <c r="C19" s="8"/>
      <c r="D19" s="16"/>
      <c r="E19" s="8"/>
      <c r="F19" s="19"/>
      <c r="G19" s="18"/>
      <c r="H19" s="18"/>
      <c r="I19" s="18"/>
      <c r="J19" s="18"/>
      <c r="K19" s="18"/>
      <c r="L19" s="17"/>
      <c r="M19" s="18"/>
      <c r="N19" s="17"/>
      <c r="O19" s="18"/>
      <c r="P19" s="17"/>
      <c r="Q19" s="18"/>
      <c r="R19" s="17"/>
      <c r="S19" s="18"/>
    </row>
    <row r="20" spans="1:19">
      <c r="B20" s="7">
        <f>+B18+1</f>
        <v>5</v>
      </c>
      <c r="C20" s="8"/>
      <c r="D20" s="16" t="s">
        <v>25</v>
      </c>
      <c r="E20" s="8"/>
      <c r="F20" s="19"/>
      <c r="G20" s="18">
        <f>SUM(I20,K20,M20,O20,Q20,S20)</f>
        <v>657385.19100800029</v>
      </c>
      <c r="H20" s="18"/>
      <c r="I20" s="94">
        <v>445062.37199007301</v>
      </c>
      <c r="J20" s="55"/>
      <c r="K20" s="94">
        <v>88491.725204260409</v>
      </c>
      <c r="L20" s="17"/>
      <c r="M20" s="94">
        <v>50307.55423026831</v>
      </c>
      <c r="N20" s="17"/>
      <c r="O20" s="94">
        <v>2238.9278707407093</v>
      </c>
      <c r="P20" s="17"/>
      <c r="Q20" s="94">
        <v>66004.396755690628</v>
      </c>
      <c r="R20" s="17"/>
      <c r="S20" s="94">
        <v>5280.2149569670873</v>
      </c>
    </row>
    <row r="21" spans="1:19">
      <c r="B21" s="7"/>
      <c r="C21" s="8"/>
      <c r="D21" s="16"/>
      <c r="E21" s="8"/>
      <c r="F21" s="19"/>
      <c r="G21" s="18"/>
      <c r="H21" s="18"/>
      <c r="I21" s="18"/>
      <c r="J21" s="18"/>
      <c r="K21" s="18"/>
      <c r="L21" s="17"/>
      <c r="M21" s="18"/>
      <c r="N21" s="17"/>
      <c r="O21" s="18"/>
      <c r="P21" s="17"/>
      <c r="Q21" s="18"/>
      <c r="R21" s="17"/>
      <c r="S21" s="18"/>
    </row>
    <row r="22" spans="1:19">
      <c r="B22" s="7">
        <f>+B20+1</f>
        <v>6</v>
      </c>
      <c r="C22" s="8"/>
      <c r="D22" s="16" t="s">
        <v>26</v>
      </c>
      <c r="E22" s="19" t="str">
        <f>"(Ln "&amp;B18&amp;" - Ln "&amp;B20&amp;")"</f>
        <v>(Ln 4 - Ln 5)</v>
      </c>
      <c r="F22" s="4"/>
      <c r="G22" s="18">
        <f>SUM(I22,K22,M22,O22,Q22,S22)</f>
        <v>4689361.446730244</v>
      </c>
      <c r="H22" s="18"/>
      <c r="I22" s="53">
        <f>I18-I20</f>
        <v>3174787.5631338395</v>
      </c>
      <c r="J22" s="54"/>
      <c r="K22" s="59">
        <f>K18-K20</f>
        <v>631242.82415186882</v>
      </c>
      <c r="L22" s="17"/>
      <c r="M22" s="53">
        <f>M18-M20</f>
        <v>358861.60581892426</v>
      </c>
      <c r="N22" s="17"/>
      <c r="O22" s="53">
        <f>O18-O20</f>
        <v>15971.065644120274</v>
      </c>
      <c r="P22" s="17"/>
      <c r="Q22" s="59">
        <f>Q18-Q20</f>
        <v>470832.74417274731</v>
      </c>
      <c r="R22" s="17"/>
      <c r="S22" s="53">
        <f>S18-S20</f>
        <v>37665.643808743058</v>
      </c>
    </row>
    <row r="23" spans="1:19"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idden="1">
      <c r="B24" s="7">
        <f>+B22+1</f>
        <v>7</v>
      </c>
      <c r="C24" s="8"/>
      <c r="D24" s="16" t="str">
        <f>"BILLED HISTORICAL YEAR ("&amp;T1-1&amp;") ACTUAL ARR"</f>
        <v>BILLED HISTORICAL YEAR (2023) ACTUAL ARR</v>
      </c>
      <c r="E24" s="22" t="str">
        <f>"Input from "&amp;T1-1&amp;" True-up"</f>
        <v>Input from 2023 True-up</v>
      </c>
      <c r="F24" s="4"/>
      <c r="G24" s="18">
        <f>SUM(I24,K24,M24,O24,Q24,S24)</f>
        <v>12377334.913967999</v>
      </c>
      <c r="H24" s="18"/>
      <c r="I24" s="76">
        <v>3630078.292248812</v>
      </c>
      <c r="J24" s="55"/>
      <c r="K24" s="75">
        <v>1740854.9359083939</v>
      </c>
      <c r="L24" s="17"/>
      <c r="M24" s="75">
        <v>919771.66606059228</v>
      </c>
      <c r="N24" s="17"/>
      <c r="O24" s="75">
        <v>47517.719969749356</v>
      </c>
      <c r="P24" s="17"/>
      <c r="Q24" s="75">
        <v>5929029.0592957633</v>
      </c>
      <c r="R24" s="17"/>
      <c r="S24" s="75">
        <v>110083.24048468919</v>
      </c>
    </row>
    <row r="25" spans="1:19" hidden="1">
      <c r="B25" s="7">
        <f>+B24+1</f>
        <v>8</v>
      </c>
      <c r="C25" s="8"/>
      <c r="D25" s="16" t="str">
        <f>"BILLED PROJECTED ("&amp;T1-1&amp;") ARR FROM PRIOR YEAR"</f>
        <v>BILLED PROJECTED (2023) ARR FROM PRIOR YEAR</v>
      </c>
      <c r="E25" s="22" t="s">
        <v>16</v>
      </c>
      <c r="F25" s="4"/>
      <c r="G25" s="47">
        <f>SUM(I25,K25,M25,O25,Q25,S25)</f>
        <v>12712093.3502318</v>
      </c>
      <c r="H25" s="18"/>
      <c r="I25" s="77">
        <v>3725428.0281458069</v>
      </c>
      <c r="J25" s="55"/>
      <c r="K25" s="77">
        <v>1783592.7880917941</v>
      </c>
      <c r="L25" s="17"/>
      <c r="M25" s="77">
        <v>942787.98680585565</v>
      </c>
      <c r="N25" s="17"/>
      <c r="O25" s="77">
        <v>48785.82489255166</v>
      </c>
      <c r="P25" s="17"/>
      <c r="Q25" s="77">
        <v>6098364.2202654323</v>
      </c>
      <c r="R25" s="17"/>
      <c r="S25" s="77">
        <v>113134.50203036075</v>
      </c>
    </row>
    <row r="26" spans="1:19">
      <c r="B26" s="7">
        <f>+B22+1</f>
        <v>7</v>
      </c>
      <c r="C26" s="8"/>
      <c r="D26" s="16" t="s">
        <v>49</v>
      </c>
      <c r="E26" s="19" t="s">
        <v>54</v>
      </c>
      <c r="F26" s="4"/>
      <c r="G26" s="18">
        <f>SUM(I26,K26,M26,O26,Q26,S26)</f>
        <v>-827847.69373403431</v>
      </c>
      <c r="H26" s="18"/>
      <c r="I26" s="59">
        <v>100338.4956684677</v>
      </c>
      <c r="J26" s="54"/>
      <c r="K26" s="59">
        <v>-184663.47299973282</v>
      </c>
      <c r="L26" s="17"/>
      <c r="M26" s="59">
        <v>-54165.24486445712</v>
      </c>
      <c r="N26" s="17"/>
      <c r="O26" s="59">
        <v>3169.2443693031851</v>
      </c>
      <c r="P26" s="17"/>
      <c r="Q26" s="59">
        <v>-662272.07574068813</v>
      </c>
      <c r="R26" s="17"/>
      <c r="S26" s="59">
        <v>-30254.640166927114</v>
      </c>
    </row>
    <row r="27" spans="1:19" hidden="1">
      <c r="E27" s="4"/>
      <c r="F27" s="4"/>
      <c r="G27" s="53"/>
      <c r="H27" s="18"/>
      <c r="I27" s="54"/>
      <c r="J27" s="54"/>
      <c r="K27" s="55"/>
      <c r="L27" s="17"/>
      <c r="M27" s="54"/>
      <c r="N27" s="17"/>
      <c r="O27" s="54"/>
      <c r="P27" s="17"/>
      <c r="Q27" s="55"/>
      <c r="R27" s="17"/>
      <c r="S27" s="54"/>
    </row>
    <row r="28" spans="1:19" hidden="1">
      <c r="B28" s="7">
        <f>+B26+1</f>
        <v>8</v>
      </c>
      <c r="C28" s="8"/>
      <c r="D28" s="16" t="s">
        <v>17</v>
      </c>
      <c r="E28" s="4"/>
      <c r="F28" s="18"/>
      <c r="G28" s="18">
        <v>0</v>
      </c>
      <c r="H28" s="18"/>
      <c r="I28" s="76">
        <v>0</v>
      </c>
      <c r="J28" s="55"/>
      <c r="K28" s="75">
        <v>0</v>
      </c>
      <c r="L28" s="17"/>
      <c r="M28" s="75">
        <v>0</v>
      </c>
      <c r="N28" s="17"/>
      <c r="O28" s="75">
        <v>0</v>
      </c>
      <c r="P28" s="17"/>
      <c r="Q28" s="75">
        <v>0</v>
      </c>
      <c r="R28" s="17"/>
      <c r="S28" s="75">
        <v>0</v>
      </c>
    </row>
    <row r="29" spans="1:19" ht="15.75" thickBot="1">
      <c r="B29" s="7"/>
      <c r="C29" s="8"/>
      <c r="D29" s="16"/>
      <c r="E29" s="6"/>
      <c r="F29" s="19"/>
      <c r="G29" s="17"/>
      <c r="H29" s="18"/>
      <c r="I29" s="18"/>
      <c r="J29" s="18"/>
      <c r="K29" s="18"/>
      <c r="L29" s="17"/>
      <c r="M29" s="18"/>
      <c r="N29" s="17"/>
      <c r="O29" s="18"/>
      <c r="P29" s="17"/>
      <c r="Q29" s="18"/>
      <c r="R29" s="17"/>
      <c r="S29" s="18"/>
    </row>
    <row r="30" spans="1:19" ht="15.75" thickBot="1">
      <c r="B30" s="7">
        <f>+B26+1</f>
        <v>8</v>
      </c>
      <c r="C30" s="8"/>
      <c r="D30" s="48" t="s">
        <v>38</v>
      </c>
      <c r="E30" s="25"/>
      <c r="F30" s="27"/>
      <c r="G30" s="49">
        <f>SUM(I30,K30,M30,O30,Q30,S30)</f>
        <v>3861513.7529962091</v>
      </c>
      <c r="H30" s="18"/>
      <c r="I30" s="30">
        <f>+I22+I26+I28</f>
        <v>3275126.0588023071</v>
      </c>
      <c r="J30" s="18"/>
      <c r="K30" s="30">
        <f>+K22+K26+K28</f>
        <v>446579.35115213599</v>
      </c>
      <c r="L30" s="17"/>
      <c r="M30" s="30">
        <f>+M22+M26+M28</f>
        <v>304696.36095446715</v>
      </c>
      <c r="N30" s="17"/>
      <c r="O30" s="30">
        <f>+O22+O26+O28</f>
        <v>19140.310013423459</v>
      </c>
      <c r="P30" s="17"/>
      <c r="Q30" s="30">
        <f>+Q22+Q26+Q28</f>
        <v>-191439.33156794083</v>
      </c>
      <c r="R30" s="17"/>
      <c r="S30" s="30">
        <f>+S22+S26+S28</f>
        <v>7411.0036418159434</v>
      </c>
    </row>
    <row r="31" spans="1:19">
      <c r="B31" s="7"/>
      <c r="C31" s="8"/>
      <c r="D31" s="16"/>
      <c r="E31" s="6"/>
      <c r="F31" s="19"/>
    </row>
    <row r="32" spans="1:19" ht="15.75">
      <c r="A32" s="12" t="s">
        <v>18</v>
      </c>
      <c r="B32" s="15" t="s">
        <v>42</v>
      </c>
      <c r="C32" s="8"/>
      <c r="D32" s="6"/>
      <c r="E32" s="8"/>
      <c r="F32" s="6"/>
      <c r="G32" s="37"/>
      <c r="H32" s="6"/>
    </row>
    <row r="33" spans="2:20">
      <c r="B33" s="7">
        <f>+B30+1</f>
        <v>9</v>
      </c>
      <c r="C33" s="8"/>
      <c r="D33" s="16" t="str">
        <f>""&amp;T1&amp;" AEP East Zone Annual MWh"</f>
        <v>2024 AEP East Zone Annual MWh</v>
      </c>
      <c r="E33" s="8"/>
      <c r="F33" s="19"/>
      <c r="G33" s="95">
        <v>132670000</v>
      </c>
      <c r="H33" s="6" t="s">
        <v>43</v>
      </c>
    </row>
    <row r="34" spans="2:20">
      <c r="B34" s="7"/>
      <c r="C34" s="8"/>
      <c r="D34" s="16"/>
      <c r="E34" s="6"/>
      <c r="F34" s="19"/>
      <c r="G34" s="6"/>
      <c r="H34" s="18"/>
    </row>
    <row r="35" spans="2:20">
      <c r="B35" s="7">
        <f>+B33+1</f>
        <v>10</v>
      </c>
      <c r="C35" s="16"/>
      <c r="D35" s="16" t="s">
        <v>44</v>
      </c>
      <c r="E35" s="16" t="str">
        <f>"(Line "&amp;B30&amp;" / Line "&amp;B33&amp;")"</f>
        <v>(Line 8 / Line 9)</v>
      </c>
      <c r="F35" s="16"/>
      <c r="G35" s="52">
        <f>+G30/G33</f>
        <v>2.9106156274939392E-2</v>
      </c>
      <c r="H35" s="16"/>
    </row>
    <row r="36" spans="2:20">
      <c r="B36" s="7"/>
      <c r="C36" s="16"/>
      <c r="D36" s="16"/>
      <c r="E36" s="16"/>
      <c r="F36" s="16"/>
      <c r="H36" s="16"/>
      <c r="J36" s="4"/>
    </row>
    <row r="37" spans="2:20">
      <c r="B37" s="7"/>
      <c r="C37" s="16"/>
      <c r="D37" s="89"/>
      <c r="E37" s="16"/>
      <c r="F37" s="16"/>
      <c r="H37" s="16"/>
      <c r="J37" s="4"/>
    </row>
    <row r="38" spans="2:20">
      <c r="B38" s="7"/>
      <c r="C38" s="16"/>
      <c r="D38" s="16"/>
      <c r="E38" s="16"/>
      <c r="F38" s="16"/>
      <c r="H38" s="16"/>
      <c r="I38" s="18"/>
      <c r="J38" s="4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2:20">
      <c r="B39" s="7"/>
      <c r="C39" s="16"/>
      <c r="D39" s="16"/>
      <c r="E39" s="16"/>
      <c r="F39" s="16"/>
      <c r="H39" s="16"/>
      <c r="I39" s="92"/>
      <c r="J39" s="92"/>
      <c r="K39" s="92"/>
      <c r="L39" s="93"/>
      <c r="M39" s="92"/>
      <c r="N39" s="93"/>
      <c r="O39" s="92"/>
      <c r="P39" s="93"/>
      <c r="Q39" s="92"/>
      <c r="R39" s="93"/>
      <c r="S39" s="92"/>
      <c r="T39" s="33"/>
    </row>
    <row r="40" spans="2:20">
      <c r="B40" s="31"/>
      <c r="C40" s="16"/>
      <c r="D40" s="16"/>
      <c r="E40" s="16"/>
      <c r="F40" s="16"/>
      <c r="G40" s="33"/>
      <c r="H40" s="16"/>
      <c r="I40" s="16"/>
      <c r="J40" s="16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2:20">
      <c r="B41" s="31"/>
      <c r="C41" s="16"/>
      <c r="D41" s="16"/>
      <c r="E41" s="16"/>
      <c r="F41" s="16"/>
      <c r="G41" s="33"/>
      <c r="H41" s="16"/>
      <c r="I41" s="16"/>
      <c r="J41" s="16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2:20">
      <c r="B42" s="31"/>
      <c r="C42" s="16"/>
      <c r="D42" s="16"/>
      <c r="E42" s="16"/>
      <c r="F42" s="16"/>
      <c r="G42" s="33"/>
      <c r="H42" s="16"/>
      <c r="I42" s="16"/>
      <c r="J42" s="16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2:20">
      <c r="B43" s="45"/>
      <c r="C43" s="6"/>
      <c r="D43"/>
      <c r="E43"/>
      <c r="F43"/>
      <c r="G43" t="s">
        <v>12</v>
      </c>
      <c r="I43"/>
      <c r="J43"/>
      <c r="K43"/>
      <c r="L43"/>
      <c r="M43"/>
      <c r="N43"/>
      <c r="O43"/>
      <c r="P43"/>
      <c r="Q43" s="33"/>
      <c r="R43" s="33"/>
      <c r="S43" s="33"/>
      <c r="T43" s="33"/>
    </row>
    <row r="44" spans="2:20">
      <c r="B44" s="45"/>
      <c r="C44" s="6"/>
      <c r="D44"/>
      <c r="E44"/>
      <c r="F44"/>
      <c r="G44"/>
      <c r="H44"/>
      <c r="I44"/>
      <c r="J44"/>
      <c r="K44"/>
      <c r="L44"/>
      <c r="M44"/>
      <c r="N44"/>
      <c r="O44"/>
      <c r="P44"/>
      <c r="Q44" s="33"/>
      <c r="R44" s="33"/>
      <c r="S44" s="33"/>
      <c r="T44" s="33"/>
    </row>
    <row r="45" spans="2:20">
      <c r="B45" s="45"/>
      <c r="C45" s="6"/>
      <c r="D45"/>
      <c r="E45"/>
      <c r="F45"/>
      <c r="G45"/>
      <c r="H45"/>
      <c r="I45"/>
      <c r="J45"/>
      <c r="K45"/>
      <c r="L45"/>
      <c r="M45"/>
      <c r="N45"/>
      <c r="O45"/>
      <c r="P45"/>
      <c r="Q45" s="33"/>
      <c r="R45" s="33"/>
      <c r="S45" s="33"/>
      <c r="T45" s="33"/>
    </row>
    <row r="46" spans="2:20">
      <c r="B46" s="45"/>
      <c r="C46" s="6"/>
      <c r="D46"/>
      <c r="E46"/>
      <c r="F46"/>
      <c r="G46"/>
      <c r="H46"/>
      <c r="I46"/>
      <c r="J46"/>
      <c r="K46"/>
      <c r="L46"/>
      <c r="M46"/>
      <c r="N46"/>
      <c r="O46"/>
      <c r="P46"/>
      <c r="Q46" s="33"/>
      <c r="R46" s="33"/>
      <c r="S46" s="33"/>
      <c r="T46" s="33"/>
    </row>
    <row r="47" spans="2:20">
      <c r="B47" s="45"/>
      <c r="C47" s="6"/>
      <c r="D47"/>
      <c r="E47"/>
      <c r="F47"/>
      <c r="G47"/>
      <c r="H47"/>
      <c r="I47"/>
      <c r="J47"/>
      <c r="K47"/>
      <c r="L47"/>
      <c r="M47"/>
      <c r="N47"/>
      <c r="O47"/>
      <c r="P47"/>
      <c r="Q47" s="33"/>
      <c r="R47" s="33"/>
      <c r="S47" s="33"/>
      <c r="T47" s="33"/>
    </row>
    <row r="48" spans="2:20">
      <c r="B48" s="45"/>
      <c r="C48" s="6"/>
      <c r="D48"/>
      <c r="E48"/>
      <c r="F48"/>
      <c r="G48"/>
      <c r="H48"/>
      <c r="I48"/>
      <c r="J48"/>
      <c r="K48"/>
      <c r="L48"/>
      <c r="M48"/>
      <c r="N48"/>
      <c r="O48"/>
      <c r="P48"/>
      <c r="Q48" s="33"/>
      <c r="R48" s="33"/>
      <c r="S48" s="33"/>
      <c r="T48" s="33"/>
    </row>
    <row r="49" spans="2:20">
      <c r="B49" s="45"/>
      <c r="C49" s="6"/>
      <c r="D49"/>
      <c r="E49"/>
      <c r="F49"/>
      <c r="G49"/>
      <c r="H49"/>
      <c r="I49"/>
      <c r="J49"/>
      <c r="K49"/>
      <c r="L49"/>
      <c r="M49"/>
      <c r="N49"/>
      <c r="O49"/>
      <c r="P49"/>
      <c r="Q49" s="33"/>
      <c r="R49" s="33"/>
      <c r="S49" s="33"/>
      <c r="T49" s="33"/>
    </row>
    <row r="50" spans="2:20">
      <c r="B50" s="46"/>
      <c r="C50" s="33"/>
      <c r="D50"/>
      <c r="E50"/>
      <c r="F50"/>
      <c r="G50"/>
      <c r="H50"/>
      <c r="I50"/>
      <c r="J50"/>
      <c r="K50"/>
      <c r="L50"/>
      <c r="M50"/>
      <c r="N50"/>
      <c r="O50"/>
      <c r="P50"/>
      <c r="Q50" s="33"/>
      <c r="R50" s="33"/>
      <c r="S50" s="33"/>
      <c r="T50" s="33"/>
    </row>
    <row r="51" spans="2:20">
      <c r="B51" s="46"/>
      <c r="C51" s="33"/>
      <c r="D51"/>
      <c r="E51"/>
      <c r="F51"/>
      <c r="G51"/>
      <c r="H51"/>
      <c r="I51"/>
      <c r="J51"/>
      <c r="K51"/>
      <c r="L51"/>
      <c r="M51"/>
      <c r="N51"/>
      <c r="O51"/>
      <c r="P51"/>
      <c r="Q51" s="33"/>
      <c r="R51" s="33"/>
      <c r="S51" s="33"/>
      <c r="T51" s="33"/>
    </row>
    <row r="52" spans="2:20">
      <c r="B52" s="46"/>
      <c r="C52" s="33"/>
      <c r="D52"/>
      <c r="E52"/>
      <c r="F52"/>
      <c r="G52"/>
      <c r="H52"/>
      <c r="I52"/>
      <c r="J52"/>
      <c r="K52"/>
      <c r="L52"/>
      <c r="M52"/>
      <c r="N52"/>
      <c r="O52"/>
      <c r="P52"/>
      <c r="Q52" s="33"/>
      <c r="R52" s="33"/>
      <c r="S52" s="33"/>
      <c r="T52" s="33"/>
    </row>
    <row r="53" spans="2:20">
      <c r="B53" s="46"/>
      <c r="C53" s="33"/>
      <c r="D53"/>
      <c r="E53"/>
      <c r="F53"/>
      <c r="G53"/>
      <c r="H53"/>
      <c r="I53"/>
      <c r="J53"/>
      <c r="K53"/>
      <c r="L53"/>
      <c r="M53"/>
      <c r="N53"/>
      <c r="O53"/>
      <c r="P53"/>
      <c r="Q53" s="33"/>
      <c r="R53" s="33"/>
      <c r="S53" s="33"/>
      <c r="T53" s="33"/>
    </row>
    <row r="54" spans="2:20">
      <c r="B54" s="46"/>
      <c r="C54" s="33"/>
      <c r="D54"/>
      <c r="E54"/>
      <c r="F54"/>
      <c r="G54"/>
      <c r="H54"/>
      <c r="I54"/>
      <c r="J54"/>
      <c r="K54"/>
      <c r="L54"/>
      <c r="M54"/>
      <c r="N54"/>
      <c r="O54"/>
      <c r="P54"/>
      <c r="Q54" s="33"/>
      <c r="R54" s="33"/>
      <c r="S54" s="33"/>
      <c r="T54" s="33"/>
    </row>
    <row r="55" spans="2:20">
      <c r="B55" s="46"/>
      <c r="C55" s="33"/>
      <c r="D55"/>
      <c r="E55"/>
      <c r="F55"/>
      <c r="G55"/>
      <c r="H55"/>
      <c r="I55"/>
      <c r="J55"/>
      <c r="K55"/>
      <c r="L55"/>
      <c r="M55"/>
      <c r="N55"/>
      <c r="O55"/>
      <c r="P55"/>
      <c r="Q55" s="33"/>
      <c r="R55" s="33"/>
      <c r="S55" s="33"/>
      <c r="T55" s="33"/>
    </row>
    <row r="56" spans="2:20">
      <c r="B56" s="46"/>
      <c r="C56" s="33"/>
      <c r="D56"/>
      <c r="E56"/>
      <c r="F56"/>
      <c r="G56"/>
      <c r="H56"/>
      <c r="I56"/>
      <c r="J56"/>
      <c r="K56"/>
      <c r="L56"/>
      <c r="M56"/>
      <c r="N56"/>
      <c r="O56"/>
      <c r="P56"/>
      <c r="Q56" s="33"/>
      <c r="R56" s="33"/>
      <c r="S56" s="33"/>
      <c r="T56" s="33"/>
    </row>
    <row r="57" spans="2:20">
      <c r="B57" s="46"/>
      <c r="C57" s="33"/>
      <c r="D57"/>
      <c r="E57"/>
      <c r="F57"/>
      <c r="G57"/>
      <c r="H57"/>
      <c r="I57"/>
      <c r="J57"/>
      <c r="K57"/>
      <c r="L57"/>
      <c r="M57"/>
      <c r="N57"/>
      <c r="O57"/>
      <c r="P57"/>
      <c r="Q57" s="33"/>
      <c r="R57" s="33"/>
      <c r="S57" s="33"/>
      <c r="T57" s="33"/>
    </row>
    <row r="58" spans="2:20">
      <c r="B58" s="46"/>
      <c r="C58" s="33"/>
      <c r="D58"/>
      <c r="E58"/>
      <c r="F58"/>
      <c r="G58"/>
      <c r="H58"/>
      <c r="I58"/>
      <c r="J58"/>
      <c r="K58"/>
      <c r="L58"/>
      <c r="M58"/>
      <c r="N58"/>
      <c r="O58"/>
      <c r="P58"/>
      <c r="Q58" s="33"/>
      <c r="R58" s="33"/>
      <c r="S58" s="33"/>
      <c r="T58" s="33"/>
    </row>
    <row r="59" spans="2:20">
      <c r="B59" s="46"/>
      <c r="C59" s="33"/>
      <c r="D59"/>
      <c r="E59"/>
      <c r="F59"/>
      <c r="G59"/>
      <c r="H59"/>
      <c r="I59"/>
      <c r="J59"/>
      <c r="K59"/>
      <c r="L59"/>
      <c r="M59"/>
      <c r="N59"/>
      <c r="O59"/>
      <c r="P59"/>
      <c r="Q59" s="33"/>
      <c r="R59" s="33"/>
      <c r="S59" s="33"/>
      <c r="T59" s="33"/>
    </row>
    <row r="60" spans="2:20">
      <c r="B60" s="46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2:20">
      <c r="B61" s="46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2:20">
      <c r="B62" s="46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2:20">
      <c r="B63" s="46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2:20">
      <c r="B64" s="46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2:20">
      <c r="B65" s="46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2:20">
      <c r="B66" s="46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2:20">
      <c r="B67" s="46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2:20">
      <c r="B68" s="46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2:20">
      <c r="B69" s="46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2:20">
      <c r="B70" s="46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2:20">
      <c r="B71" s="46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2:20">
      <c r="B72" s="46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2:20">
      <c r="B73" s="46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2:20">
      <c r="B74" s="46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2:20">
      <c r="B75" s="46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2:20">
      <c r="B76" s="46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2:20">
      <c r="B77" s="46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2:20">
      <c r="B78" s="46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2:20">
      <c r="B79" s="46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2:20">
      <c r="B80" s="46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2:20">
      <c r="B81" s="46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2:20">
      <c r="B82" s="46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2:20">
      <c r="B83" s="46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2:20">
      <c r="B84" s="46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2:20">
      <c r="B85" s="46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2:20">
      <c r="B86" s="46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2:20">
      <c r="B87" s="46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2:20">
      <c r="B88" s="46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2:20">
      <c r="B89" s="46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2:20">
      <c r="B90" s="46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2:20">
      <c r="B91" s="46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2:20">
      <c r="B92" s="46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2:20">
      <c r="B93" s="46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2:20">
      <c r="B94" s="46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2:20">
      <c r="B95" s="46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2:20">
      <c r="B96" s="46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2:20">
      <c r="B97" s="46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2:20">
      <c r="B98" s="46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2:20">
      <c r="B99" s="46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2:20">
      <c r="B100" s="46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2:20">
      <c r="B101" s="46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2:20">
      <c r="B102" s="46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2:20">
      <c r="B103" s="46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2:20">
      <c r="B104" s="46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2:20">
      <c r="B105" s="46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2:20">
      <c r="B106" s="46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2:20">
      <c r="B107" s="46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2:20">
      <c r="B108" s="46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2:20">
      <c r="B109" s="46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</sheetData>
  <customSheetViews>
    <customSheetView guid="{51F5E52F-0ED7-45F8-995B-A008B15FCDF4}" scale="70" showPageBreaks="1" fitToPage="1" showRuler="0">
      <selection activeCell="O34" sqref="O34"/>
      <pageMargins left="0.2" right="0.23" top="1.75" bottom="0.25" header="1.25" footer="0.25"/>
      <printOptions horizontalCentered="1"/>
      <pageSetup scale="48" orientation="landscape" r:id="rId1"/>
      <headerFooter alignWithMargins="0">
        <oddHeader>&amp;R&amp;18Schedule 1A  ATRR
Page 2 of 2</oddHeader>
        <oddFooter xml:space="preserve">&amp;C &amp;R </oddFooter>
      </headerFooter>
    </customSheetView>
    <customSheetView guid="{59817C1F-0731-403A-A1D5-70099C98272D}" scale="75" fitToPage="1" showRuler="0" topLeftCell="E1">
      <selection activeCell="G33" sqref="G33"/>
      <pageMargins left="0.2" right="0.23" top="1.75" bottom="0.25" header="1.25" footer="0.25"/>
      <printOptions horizontalCentered="1"/>
      <pageSetup scale="51" orientation="landscape" r:id="rId2"/>
      <headerFooter alignWithMargins="0">
        <oddHeader>&amp;R&amp;18Schedule 1A  ATRR
Page 2 of 2</oddHeader>
        <oddFooter xml:space="preserve">&amp;C &amp;R </oddFooter>
      </headerFooter>
    </customSheetView>
  </customSheetViews>
  <mergeCells count="4">
    <mergeCell ref="A3:S3"/>
    <mergeCell ref="A4:S4"/>
    <mergeCell ref="A7:S7"/>
    <mergeCell ref="A5:S5"/>
  </mergeCells>
  <phoneticPr fontId="0" type="noConversion"/>
  <printOptions horizontalCentered="1"/>
  <pageMargins left="0.2" right="0.23" top="1.75" bottom="0.25" header="1.25" footer="0.25"/>
  <pageSetup scale="54" orientation="landscape" r:id="rId3"/>
  <headerFooter alignWithMargins="0">
    <oddHeader>&amp;R&amp;18Schedule 1A  PTRR
Page 2 of 2</oddHeader>
    <oddFooter xml:space="preserve">&amp;C &amp;R </oddFooter>
  </headerFooter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czNjg5PC9Vc2VyTmFtZT48RGF0ZVRpbWU+MS8xOC8yMDIzIDY6MjI6NDYgUE08L0RhdGVUaW1lPjxMYWJlbFN0cmluZz5BRVAgSW50ZXJuYWw8L0xhYmVsU3RyaW5nPjwvaXRlbT48L2xhYmVsSGlzdG9yeT4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autoSelectedSuggestion">
  <element uid="50c31824-0780-4910-87d1-eaaffd182d42" value=""/>
  <element uid="c64218ab-b8d1-40b6-a478-cb8be1e10ecc" value=""/>
</sisl>
</file>

<file path=customXml/itemProps1.xml><?xml version="1.0" encoding="utf-8"?>
<ds:datastoreItem xmlns:ds="http://schemas.openxmlformats.org/officeDocument/2006/customXml" ds:itemID="{D58145F9-86AD-4368-9F37-E216F05E962E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2.xml><?xml version="1.0" encoding="utf-8"?>
<ds:datastoreItem xmlns:ds="http://schemas.openxmlformats.org/officeDocument/2006/customXml" ds:itemID="{970AC1FD-8298-4516-92D3-FA1731FD28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500A7B-C57A-4104-AD2F-033B76203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46BEFFE-AB69-49B9-8C74-CD04D1CB1326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237159E6-2B1A-4886-AFEB-B4290C47D9C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Zonal Rates</vt:lpstr>
      <vt:lpstr>Sch 1 Rates</vt:lpstr>
      <vt:lpstr>'Sch 1 Rates'!Print_Area</vt:lpstr>
      <vt:lpstr>'Zonal Rates'!Print_Area</vt:lpstr>
    </vt:vector>
  </TitlesOfParts>
  <Company>IT-CPS-6/6/2-(Help#=8-835-3050) Full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American Electric Power®</dc:creator>
  <cp:keywords/>
  <cp:lastModifiedBy>Jennifer L Parrish</cp:lastModifiedBy>
  <cp:lastPrinted>2019-10-31T17:38:08Z</cp:lastPrinted>
  <dcterms:created xsi:type="dcterms:W3CDTF">2008-07-20T22:34:28Z</dcterms:created>
  <dcterms:modified xsi:type="dcterms:W3CDTF">2026-02-12T22:08:28Z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1a09ceaf-3172-455e-86af-3bb277302270</vt:lpwstr>
  </property>
  <property fmtid="{D5CDD505-2E9C-101B-9397-08002B2CF9AE}" pid="3" name="bjSaver">
    <vt:lpwstr>HTegTYUHA5Eno747PWutbmINAXeRHZsu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origin="autoSelectedSuggestion" xmlns="http://w</vt:lpwstr>
  </property>
  <property fmtid="{D5CDD505-2E9C-101B-9397-08002B2CF9AE}" pid="7" name="bjDocumentLabelXML-0">
    <vt:lpwstr>ww.boldonjames.com/2008/01/sie/internal/label"&gt;&lt;element uid="50c31824-0780-4910-87d1-eaaffd182d42" value="" /&gt;&lt;element uid="c64218ab-b8d1-40b6-a478-cb8be1e10ecc" value="" /&gt;&lt;/sisl&gt;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{F46BEFFE-AB69-49B9-8C74-CD04D1CB1326}</vt:lpwstr>
  </property>
  <property fmtid="{D5CDD505-2E9C-101B-9397-08002B2CF9AE}" pid="13" name="ContentTypeId">
    <vt:lpwstr>0x0101004DF805D1E1DA4A49A223477D3B105720</vt:lpwstr>
  </property>
  <property fmtid="{D5CDD505-2E9C-101B-9397-08002B2CF9AE}" pid="14" name="bjpmDocIH">
    <vt:lpwstr>d3ID4N0OyC9BTcZCvqh3q2YBuiJgGctu</vt:lpwstr>
  </property>
  <property fmtid="{D5CDD505-2E9C-101B-9397-08002B2CF9AE}" pid="15" name="MediaServiceImageTags">
    <vt:lpwstr/>
  </property>
</Properties>
</file>