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showInkAnnotation="0" codeName="ThisWorkbook" defaultThemeVersion="124226"/>
  <xr:revisionPtr revIDLastSave="0" documentId="13_ncr:10001_{B33BAD07-0C29-46B5-AAB0-3EDB7349EDE6}" xr6:coauthVersionLast="47" xr6:coauthVersionMax="47" xr10:uidLastSave="{00000000-0000-0000-0000-000000000000}"/>
  <bookViews>
    <workbookView xWindow="-289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7" r:id="rId7"/>
    <sheet name="WS B-3-B" sheetId="58"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51" r:id="rId23"/>
    <sheet name="IMC - WS P Dep. Rates" sheetId="52" r:id="rId24"/>
    <sheet name="KGP - WS P Dep. Rates" sheetId="53" r:id="rId25"/>
    <sheet name="KPC - WS P Dep. Rates" sheetId="54" r:id="rId26"/>
    <sheet name="OPC - WS P Dep. Rates" sheetId="55" r:id="rId27"/>
    <sheet name="WPC-WS P Dep. Rates" sheetId="56" r:id="rId28"/>
    <sheet name="KPCO WS Q Interest" sheetId="32" r:id="rId29"/>
    <sheet name="KPCO WS Q Interest - 2" sheetId="49" r:id="rId30"/>
  </sheets>
  <externalReferences>
    <externalReference r:id="rId31"/>
    <externalReference r:id="rId32"/>
    <externalReference r:id="rId33"/>
  </externalReference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'[1]SWP TCOS 2008 13 Month'!$I$317:$J$328</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[2]TCOS!$J$105</definedName>
    <definedName name="NP_h">[3]TCOS!$J$105</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27">'WPC-WS P Dep. Rates'!#REF!</definedName>
    <definedName name="_xlnm.Print_Area" localSheetId="2">'WS B ADIT &amp; ITC'!$A$1:$I$57</definedName>
    <definedName name="_xlnm.Print_Area" localSheetId="4">'WS B-2 - Actual Stmt. AG'!$A$1:$S$110</definedName>
    <definedName name="_xlnm.Print_Area" localSheetId="6">'WS B-3-A'!$A$1:$N$58</definedName>
    <definedName name="_xlnm.Print_Area" localSheetId="21">'WS O - PBOP'!$A$1:$K$58</definedName>
    <definedName name="_xlnm.Print_Area">#REF!</definedName>
    <definedName name="_xlnm.Print_Titles" localSheetId="27">'WPC-WS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Capital'!$A$10:$N$91</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Capital'!$A$10:$N$91</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Capital'!$A$10:$N$91</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Capital'!$A$10:$N$91</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6">#REF!</definedName>
    <definedName name="Zip">#REF!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57" l="1"/>
  <c r="D38" i="57"/>
  <c r="H36" i="57"/>
  <c r="L33" i="57"/>
  <c r="N33" i="57"/>
  <c r="H33" i="57"/>
  <c r="J31" i="57"/>
  <c r="J36" i="57"/>
  <c r="L36" i="57"/>
  <c r="N36" i="57"/>
  <c r="H31" i="57"/>
  <c r="F27" i="57"/>
  <c r="D24" i="57"/>
  <c r="D25" i="57"/>
  <c r="L21" i="57"/>
  <c r="N21" i="57"/>
  <c r="H21" i="57"/>
  <c r="L19" i="57"/>
  <c r="N19" i="57"/>
  <c r="H19" i="57"/>
  <c r="J17" i="57"/>
  <c r="D17" i="57"/>
  <c r="A16" i="57"/>
  <c r="A17" i="57"/>
  <c r="A19" i="57"/>
  <c r="A21" i="57"/>
  <c r="A23" i="57"/>
  <c r="A24" i="57"/>
  <c r="A25" i="57"/>
  <c r="A27" i="57"/>
  <c r="A31" i="57"/>
  <c r="A33" i="57"/>
  <c r="A36" i="57"/>
  <c r="A38" i="57"/>
  <c r="D27" i="57"/>
  <c r="L17" i="57"/>
  <c r="J25" i="57"/>
  <c r="L25" i="57"/>
  <c r="N25" i="57"/>
  <c r="H17" i="57"/>
  <c r="H25" i="57"/>
  <c r="N17" i="57"/>
  <c r="J38" i="57"/>
  <c r="L31" i="57"/>
  <c r="L27" i="57"/>
  <c r="J27" i="57"/>
  <c r="N27" i="57"/>
  <c r="L38" i="57"/>
  <c r="N31" i="57"/>
  <c r="N38" i="57"/>
  <c r="K84" i="6"/>
  <c r="K83" i="6"/>
  <c r="K81" i="6"/>
  <c r="K80" i="6"/>
  <c r="K79" i="6"/>
  <c r="K78" i="6"/>
  <c r="K77" i="6"/>
  <c r="K76" i="6"/>
  <c r="K75" i="6"/>
  <c r="K73" i="6"/>
  <c r="K72" i="6"/>
  <c r="K71" i="6"/>
  <c r="K70" i="6"/>
  <c r="K69" i="6"/>
  <c r="K55" i="6"/>
  <c r="K54" i="6"/>
  <c r="K52" i="6"/>
  <c r="K51" i="6"/>
  <c r="K50" i="6"/>
  <c r="K49" i="6"/>
  <c r="K48" i="6"/>
  <c r="K47" i="6"/>
  <c r="K46" i="6"/>
  <c r="K44" i="6"/>
  <c r="K43" i="6"/>
  <c r="K42" i="6"/>
  <c r="K41" i="6"/>
  <c r="K40" i="6"/>
  <c r="G42" i="41"/>
  <c r="E42" i="41"/>
  <c r="D42" i="41"/>
  <c r="C42" i="41"/>
  <c r="E23" i="41"/>
  <c r="D23" i="41"/>
  <c r="F23" i="41"/>
  <c r="F42" i="41"/>
  <c r="C23" i="41"/>
  <c r="J23" i="35"/>
  <c r="H23" i="35"/>
  <c r="F23" i="35"/>
  <c r="J42" i="35"/>
  <c r="H42" i="35"/>
  <c r="F42" i="35"/>
  <c r="A19" i="49"/>
  <c r="A10" i="32"/>
  <c r="A10" i="49"/>
  <c r="B12" i="49"/>
  <c r="B12" i="32"/>
  <c r="O48" i="50"/>
  <c r="N48" i="50"/>
  <c r="L48" i="50"/>
  <c r="K48" i="50"/>
  <c r="J48" i="50"/>
  <c r="I48" i="50"/>
  <c r="M48" i="50"/>
  <c r="P44" i="50"/>
  <c r="P40" i="50"/>
  <c r="Q39" i="50"/>
  <c r="P38" i="50"/>
  <c r="P37" i="50"/>
  <c r="Q36" i="50"/>
  <c r="Q35" i="50"/>
  <c r="P34" i="50"/>
  <c r="O29" i="50"/>
  <c r="N29" i="50"/>
  <c r="M29" i="50"/>
  <c r="L29" i="50"/>
  <c r="K29" i="50"/>
  <c r="J29" i="50"/>
  <c r="I29" i="50"/>
  <c r="P26" i="50"/>
  <c r="P25" i="50"/>
  <c r="P21" i="50"/>
  <c r="Q20" i="50"/>
  <c r="P19" i="50"/>
  <c r="P18" i="50"/>
  <c r="Q17" i="50"/>
  <c r="Q16" i="50"/>
  <c r="P15" i="50"/>
  <c r="Q14" i="50"/>
  <c r="P13" i="50"/>
  <c r="Q48" i="50"/>
  <c r="P29" i="50"/>
  <c r="Q29" i="50"/>
  <c r="P45" i="50"/>
  <c r="P48" i="50"/>
  <c r="I39" i="52"/>
  <c r="E39" i="52"/>
  <c r="I38" i="52"/>
  <c r="E38" i="52"/>
  <c r="I37" i="52"/>
  <c r="E37" i="52"/>
  <c r="I36" i="52"/>
  <c r="E36" i="52"/>
  <c r="I35" i="52"/>
  <c r="E35" i="52"/>
  <c r="I34" i="52"/>
  <c r="E34" i="52"/>
  <c r="I33" i="52"/>
  <c r="E33" i="52"/>
  <c r="I32" i="52"/>
  <c r="E32" i="52"/>
  <c r="I31" i="52"/>
  <c r="E31" i="52"/>
  <c r="I27" i="52"/>
  <c r="E27" i="52"/>
  <c r="I26" i="52"/>
  <c r="E26" i="52"/>
  <c r="I25" i="52"/>
  <c r="E25" i="52"/>
  <c r="I24" i="52"/>
  <c r="E24" i="52"/>
  <c r="I23" i="52"/>
  <c r="E23" i="52"/>
  <c r="I22" i="52"/>
  <c r="E22" i="52"/>
  <c r="I21" i="52"/>
  <c r="E21" i="52"/>
  <c r="I20" i="52"/>
  <c r="E20" i="52"/>
  <c r="I19" i="52"/>
  <c r="E19" i="52"/>
  <c r="Q39" i="51"/>
  <c r="M39" i="51"/>
  <c r="I39" i="51"/>
  <c r="E39" i="51"/>
  <c r="Q38" i="51"/>
  <c r="M38" i="51"/>
  <c r="I38" i="51"/>
  <c r="E38" i="51"/>
  <c r="Q37" i="51"/>
  <c r="M37" i="51"/>
  <c r="I37" i="51"/>
  <c r="E37" i="51"/>
  <c r="Q36" i="51"/>
  <c r="M36" i="51"/>
  <c r="I36" i="51"/>
  <c r="E36" i="51"/>
  <c r="Q35" i="51"/>
  <c r="M35" i="51"/>
  <c r="I35" i="51"/>
  <c r="E35" i="51"/>
  <c r="Q34" i="51"/>
  <c r="M34" i="51"/>
  <c r="I34" i="51"/>
  <c r="E34" i="51"/>
  <c r="Q33" i="51"/>
  <c r="M33" i="51"/>
  <c r="I33" i="51"/>
  <c r="E33" i="51"/>
  <c r="Q32" i="51"/>
  <c r="M32" i="51"/>
  <c r="I32" i="51"/>
  <c r="E32" i="51"/>
  <c r="Q31" i="51"/>
  <c r="M31" i="51"/>
  <c r="I31" i="51"/>
  <c r="E31" i="51"/>
  <c r="Q28" i="51"/>
  <c r="M28" i="51"/>
  <c r="I28" i="51"/>
  <c r="E28" i="51"/>
  <c r="Q27" i="51"/>
  <c r="M27" i="51"/>
  <c r="I27" i="51"/>
  <c r="E27" i="51"/>
  <c r="Q26" i="51"/>
  <c r="M26" i="51"/>
  <c r="I26" i="51"/>
  <c r="E26" i="51"/>
  <c r="Q25" i="51"/>
  <c r="M25" i="51"/>
  <c r="I25" i="51"/>
  <c r="E25" i="51"/>
  <c r="Q24" i="51"/>
  <c r="M24" i="51"/>
  <c r="I24" i="51"/>
  <c r="E24" i="51"/>
  <c r="Q23" i="51"/>
  <c r="M23" i="51"/>
  <c r="I23" i="51"/>
  <c r="E23" i="51"/>
  <c r="Q22" i="51"/>
  <c r="M22" i="51"/>
  <c r="I22" i="51"/>
  <c r="E22" i="51"/>
  <c r="I21" i="51"/>
  <c r="S21" i="51"/>
  <c r="E20" i="51"/>
  <c r="S20" i="51"/>
  <c r="K19" i="52"/>
  <c r="K27" i="52"/>
  <c r="K38" i="52"/>
  <c r="K21" i="52"/>
  <c r="K25" i="52"/>
  <c r="K32" i="52"/>
  <c r="K36" i="52"/>
  <c r="K22" i="52"/>
  <c r="K37" i="52"/>
  <c r="S23" i="51"/>
  <c r="S25" i="51"/>
  <c r="S27" i="51"/>
  <c r="S33" i="51"/>
  <c r="S35" i="51"/>
  <c r="S37" i="51"/>
  <c r="S39" i="51"/>
  <c r="K24" i="52"/>
  <c r="S31" i="51"/>
  <c r="K39" i="52"/>
  <c r="S22" i="51"/>
  <c r="S24" i="51"/>
  <c r="S26" i="51"/>
  <c r="S28" i="51"/>
  <c r="S32" i="51"/>
  <c r="S34" i="51"/>
  <c r="S36" i="51"/>
  <c r="S38" i="51"/>
  <c r="K26" i="52"/>
  <c r="K31" i="52"/>
  <c r="K35" i="52"/>
  <c r="K23" i="52"/>
  <c r="K33" i="52"/>
  <c r="K20" i="52"/>
  <c r="K34" i="52"/>
  <c r="G155" i="2"/>
  <c r="G154" i="2"/>
  <c r="D43" i="48"/>
  <c r="G27" i="48"/>
  <c r="E28" i="48"/>
  <c r="E64" i="41"/>
  <c r="I19" i="6"/>
  <c r="G115" i="2"/>
  <c r="G51" i="5"/>
  <c r="E51" i="5"/>
  <c r="E87" i="35"/>
  <c r="D87" i="35"/>
  <c r="H238" i="2"/>
  <c r="H234" i="2"/>
  <c r="J13" i="8"/>
  <c r="E44" i="30"/>
  <c r="E22" i="11"/>
  <c r="G22" i="11"/>
  <c r="H41" i="41"/>
  <c r="H40" i="41"/>
  <c r="H39" i="41"/>
  <c r="H38" i="41"/>
  <c r="H37" i="41"/>
  <c r="H36" i="41"/>
  <c r="H35" i="41"/>
  <c r="H34" i="41"/>
  <c r="H33" i="41"/>
  <c r="H31" i="41"/>
  <c r="H30" i="41"/>
  <c r="G17" i="41"/>
  <c r="G20" i="41"/>
  <c r="G19" i="41"/>
  <c r="G16" i="41"/>
  <c r="G15" i="41"/>
  <c r="G12" i="41"/>
  <c r="L172" i="2"/>
  <c r="G26" i="48"/>
  <c r="G25" i="48"/>
  <c r="G44" i="48"/>
  <c r="L250" i="2"/>
  <c r="L249" i="2"/>
  <c r="G256" i="2"/>
  <c r="J256" i="2"/>
  <c r="D94" i="41"/>
  <c r="C94" i="41"/>
  <c r="C95" i="41"/>
  <c r="D88" i="41"/>
  <c r="D89" i="41"/>
  <c r="C88" i="41"/>
  <c r="F71" i="35"/>
  <c r="L106" i="2"/>
  <c r="G85" i="2"/>
  <c r="G83" i="2"/>
  <c r="L83" i="2"/>
  <c r="G81" i="2"/>
  <c r="G73" i="2"/>
  <c r="G71" i="2"/>
  <c r="L71" i="2"/>
  <c r="G69" i="2"/>
  <c r="F24" i="10"/>
  <c r="I94" i="20"/>
  <c r="B41" i="49"/>
  <c r="B42" i="49"/>
  <c r="B43" i="49"/>
  <c r="B44" i="49"/>
  <c r="B45" i="49"/>
  <c r="B46" i="49"/>
  <c r="B47" i="49"/>
  <c r="B48" i="49"/>
  <c r="B49" i="49"/>
  <c r="B50" i="49"/>
  <c r="B51" i="49"/>
  <c r="B52" i="49"/>
  <c r="B38" i="49"/>
  <c r="G24" i="49"/>
  <c r="G25" i="49"/>
  <c r="G26" i="49"/>
  <c r="G27" i="49"/>
  <c r="G28" i="49"/>
  <c r="G29" i="49"/>
  <c r="G30" i="49"/>
  <c r="G31" i="49"/>
  <c r="G32" i="49"/>
  <c r="G33" i="49"/>
  <c r="G34" i="49"/>
  <c r="B23" i="49"/>
  <c r="B24" i="49"/>
  <c r="B25" i="49"/>
  <c r="B26" i="49"/>
  <c r="B27" i="49"/>
  <c r="B28" i="49"/>
  <c r="B29" i="49"/>
  <c r="B30" i="49"/>
  <c r="B31" i="49"/>
  <c r="B32" i="49"/>
  <c r="B33" i="49"/>
  <c r="B34" i="49"/>
  <c r="F12" i="49"/>
  <c r="B41" i="32"/>
  <c r="B42" i="32"/>
  <c r="B43" i="32"/>
  <c r="B44" i="32"/>
  <c r="B45" i="32"/>
  <c r="B46" i="32"/>
  <c r="B47" i="32"/>
  <c r="B48" i="32"/>
  <c r="B49" i="32"/>
  <c r="B50" i="32"/>
  <c r="B51" i="32"/>
  <c r="B52" i="32"/>
  <c r="B38" i="32"/>
  <c r="B23" i="32"/>
  <c r="B24" i="32"/>
  <c r="B25" i="32"/>
  <c r="B26" i="32"/>
  <c r="B27" i="32"/>
  <c r="B28" i="32"/>
  <c r="B29" i="32"/>
  <c r="B30" i="32"/>
  <c r="B31" i="32"/>
  <c r="B32" i="32"/>
  <c r="B33" i="32"/>
  <c r="B34" i="32"/>
  <c r="N71" i="38"/>
  <c r="F62" i="35"/>
  <c r="E62" i="35"/>
  <c r="L227" i="2"/>
  <c r="F17" i="48"/>
  <c r="B14" i="48"/>
  <c r="A6" i="48"/>
  <c r="A23" i="48"/>
  <c r="A24" i="48"/>
  <c r="A25" i="48"/>
  <c r="A26" i="48"/>
  <c r="A27" i="48"/>
  <c r="B28" i="48"/>
  <c r="A4" i="48"/>
  <c r="C63" i="41"/>
  <c r="B48" i="41"/>
  <c r="I29" i="30"/>
  <c r="I30" i="30"/>
  <c r="I31" i="30"/>
  <c r="I32" i="30"/>
  <c r="A6" i="11"/>
  <c r="A4" i="41"/>
  <c r="A6" i="13"/>
  <c r="A6" i="20"/>
  <c r="A6" i="10"/>
  <c r="A6" i="9"/>
  <c r="A6" i="8"/>
  <c r="B36" i="8"/>
  <c r="A6" i="7"/>
  <c r="B26" i="7"/>
  <c r="A6" i="6"/>
  <c r="B1" i="39"/>
  <c r="B1" i="38"/>
  <c r="A6" i="5"/>
  <c r="A4" i="35"/>
  <c r="B3" i="39"/>
  <c r="Q10" i="39"/>
  <c r="Q10" i="38"/>
  <c r="M10" i="39"/>
  <c r="M10" i="38"/>
  <c r="F13" i="39"/>
  <c r="E13" i="39"/>
  <c r="E13" i="38"/>
  <c r="D13" i="39"/>
  <c r="D13" i="38"/>
  <c r="C13" i="39"/>
  <c r="C13" i="38"/>
  <c r="M109" i="39"/>
  <c r="S72" i="38"/>
  <c r="Q72" i="38"/>
  <c r="O72" i="38"/>
  <c r="M72" i="38"/>
  <c r="D43" i="5"/>
  <c r="D42" i="5"/>
  <c r="D27" i="5"/>
  <c r="D19" i="5"/>
  <c r="F86" i="35"/>
  <c r="S177" i="38"/>
  <c r="S183" i="38"/>
  <c r="R177" i="38"/>
  <c r="R183" i="38"/>
  <c r="Q177" i="38"/>
  <c r="Q183" i="38"/>
  <c r="O177" i="38"/>
  <c r="O183" i="38"/>
  <c r="N177" i="38"/>
  <c r="N183" i="38"/>
  <c r="M177" i="38"/>
  <c r="M183" i="38"/>
  <c r="S71" i="38"/>
  <c r="R71" i="38"/>
  <c r="Q71" i="38"/>
  <c r="O71" i="38"/>
  <c r="M71" i="38"/>
  <c r="F13" i="38"/>
  <c r="B3" i="38"/>
  <c r="A72" i="38"/>
  <c r="D26" i="5"/>
  <c r="E72" i="38"/>
  <c r="F72" i="38"/>
  <c r="A180" i="38"/>
  <c r="A183" i="38"/>
  <c r="A184" i="38"/>
  <c r="D34" i="5"/>
  <c r="A18" i="39"/>
  <c r="A19" i="39"/>
  <c r="A20" i="39"/>
  <c r="A21" i="39"/>
  <c r="A22" i="39"/>
  <c r="A23" i="39"/>
  <c r="A24" i="39"/>
  <c r="A25" i="39"/>
  <c r="A26" i="39"/>
  <c r="A27" i="39"/>
  <c r="A28" i="39"/>
  <c r="A29" i="39"/>
  <c r="A30" i="39"/>
  <c r="A31" i="39"/>
  <c r="A32" i="39"/>
  <c r="A33" i="39"/>
  <c r="A34" i="39"/>
  <c r="A35" i="39"/>
  <c r="A36" i="39"/>
  <c r="A37" i="39"/>
  <c r="A38" i="39"/>
  <c r="A39" i="39"/>
  <c r="A40" i="39"/>
  <c r="A41" i="39"/>
  <c r="A42" i="39"/>
  <c r="A43" i="39"/>
  <c r="A44" i="39"/>
  <c r="A45" i="39"/>
  <c r="A46" i="39"/>
  <c r="A47" i="39"/>
  <c r="A48" i="39"/>
  <c r="A49" i="39"/>
  <c r="A50" i="39"/>
  <c r="A51" i="39"/>
  <c r="A52" i="39"/>
  <c r="A53" i="39"/>
  <c r="A54" i="39"/>
  <c r="A55" i="39"/>
  <c r="A56" i="39"/>
  <c r="A57" i="39"/>
  <c r="A58" i="39"/>
  <c r="A59" i="39"/>
  <c r="A60" i="39"/>
  <c r="A61" i="39"/>
  <c r="A62" i="39"/>
  <c r="A63" i="39"/>
  <c r="A64" i="39"/>
  <c r="A65" i="39"/>
  <c r="A66" i="39"/>
  <c r="A67" i="39"/>
  <c r="A68" i="39"/>
  <c r="A69" i="39"/>
  <c r="A70" i="39"/>
  <c r="A71" i="39"/>
  <c r="A72" i="39"/>
  <c r="A73" i="39"/>
  <c r="A74" i="39"/>
  <c r="A75" i="39"/>
  <c r="A76" i="39"/>
  <c r="A77" i="39"/>
  <c r="A78" i="39"/>
  <c r="A79" i="39"/>
  <c r="A80" i="39"/>
  <c r="A81" i="39"/>
  <c r="A82" i="39"/>
  <c r="A83" i="39"/>
  <c r="A84" i="39"/>
  <c r="A85" i="39"/>
  <c r="A86" i="39"/>
  <c r="A87" i="39"/>
  <c r="A88" i="39"/>
  <c r="A89" i="39"/>
  <c r="A90" i="39"/>
  <c r="A91" i="39"/>
  <c r="A92" i="39"/>
  <c r="A93" i="39"/>
  <c r="A94" i="39"/>
  <c r="A95" i="39"/>
  <c r="A96" i="39"/>
  <c r="A97" i="39"/>
  <c r="A98" i="39"/>
  <c r="A99" i="39"/>
  <c r="A100" i="39"/>
  <c r="A101" i="39"/>
  <c r="A102" i="39"/>
  <c r="A103" i="39"/>
  <c r="A104" i="39"/>
  <c r="A105" i="39"/>
  <c r="A106" i="39"/>
  <c r="A107" i="39"/>
  <c r="A77" i="38"/>
  <c r="A78" i="38"/>
  <c r="A79" i="38"/>
  <c r="A80" i="38"/>
  <c r="A81" i="38"/>
  <c r="A82" i="38"/>
  <c r="A83" i="38"/>
  <c r="A84" i="38"/>
  <c r="A85" i="38"/>
  <c r="A86" i="38"/>
  <c r="A87" i="38"/>
  <c r="A88" i="38"/>
  <c r="A89" i="38"/>
  <c r="A90" i="38"/>
  <c r="A91" i="38"/>
  <c r="A92" i="38"/>
  <c r="A93" i="38"/>
  <c r="A94" i="38"/>
  <c r="A95" i="38"/>
  <c r="A96" i="38"/>
  <c r="A97" i="38"/>
  <c r="A98" i="38"/>
  <c r="A99" i="38"/>
  <c r="A100" i="38"/>
  <c r="A101" i="38"/>
  <c r="A102" i="38"/>
  <c r="A103" i="38"/>
  <c r="A104" i="38"/>
  <c r="A105" i="38"/>
  <c r="A106" i="38"/>
  <c r="A107" i="38"/>
  <c r="A108" i="38"/>
  <c r="A109" i="38"/>
  <c r="A110" i="38"/>
  <c r="A111" i="38"/>
  <c r="A112" i="38"/>
  <c r="A113" i="38"/>
  <c r="A114" i="38"/>
  <c r="A115" i="38"/>
  <c r="A116" i="38"/>
  <c r="A117" i="38"/>
  <c r="A118" i="38"/>
  <c r="A119" i="38"/>
  <c r="A120" i="38"/>
  <c r="A121" i="38"/>
  <c r="A122" i="38"/>
  <c r="A123" i="38"/>
  <c r="A124" i="38"/>
  <c r="A125" i="38"/>
  <c r="A126" i="38"/>
  <c r="A127" i="38"/>
  <c r="A128" i="38"/>
  <c r="A129" i="38"/>
  <c r="A130" i="38"/>
  <c r="A131" i="38"/>
  <c r="A132" i="38"/>
  <c r="A133" i="38"/>
  <c r="A134" i="38"/>
  <c r="A135" i="38"/>
  <c r="A136" i="38"/>
  <c r="A137" i="38"/>
  <c r="A138" i="38"/>
  <c r="A139" i="38"/>
  <c r="A140" i="38"/>
  <c r="A141" i="38"/>
  <c r="A142" i="38"/>
  <c r="A143" i="38"/>
  <c r="A144" i="38"/>
  <c r="A145" i="38"/>
  <c r="A146" i="38"/>
  <c r="A147" i="38"/>
  <c r="A148" i="38"/>
  <c r="A149" i="38"/>
  <c r="A150" i="38"/>
  <c r="A151" i="38"/>
  <c r="A152" i="38"/>
  <c r="A153" i="38"/>
  <c r="A154" i="38"/>
  <c r="A155" i="38"/>
  <c r="A156" i="38"/>
  <c r="A157" i="38"/>
  <c r="A158" i="38"/>
  <c r="A159" i="38"/>
  <c r="A160" i="38"/>
  <c r="A161" i="38"/>
  <c r="A162" i="38"/>
  <c r="A163" i="38"/>
  <c r="A164" i="38"/>
  <c r="A165" i="38"/>
  <c r="A166" i="38"/>
  <c r="A167" i="38"/>
  <c r="A168" i="38"/>
  <c r="A169" i="38"/>
  <c r="A170" i="38"/>
  <c r="A171" i="38"/>
  <c r="A172" i="38"/>
  <c r="A173" i="38"/>
  <c r="A174"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61" i="38"/>
  <c r="A62" i="38"/>
  <c r="A63" i="38"/>
  <c r="A64" i="38"/>
  <c r="A65" i="38"/>
  <c r="A66" i="38"/>
  <c r="A67" i="38"/>
  <c r="A68" i="38"/>
  <c r="S110" i="39"/>
  <c r="Q110" i="39"/>
  <c r="O110" i="39"/>
  <c r="M110" i="39"/>
  <c r="F110" i="39"/>
  <c r="E110" i="39"/>
  <c r="S184" i="38"/>
  <c r="Q184" i="38"/>
  <c r="O184" i="38"/>
  <c r="M184" i="38"/>
  <c r="F184" i="38"/>
  <c r="E184" i="38"/>
  <c r="K107" i="39"/>
  <c r="J107" i="39"/>
  <c r="I107" i="39"/>
  <c r="D107" i="39"/>
  <c r="C107" i="39"/>
  <c r="K106" i="39"/>
  <c r="J106" i="39"/>
  <c r="I106" i="39"/>
  <c r="F106" i="39"/>
  <c r="E106" i="39"/>
  <c r="F105" i="39"/>
  <c r="E105" i="39"/>
  <c r="F104" i="39"/>
  <c r="F103" i="39"/>
  <c r="E103" i="39"/>
  <c r="E102" i="39"/>
  <c r="F102" i="39"/>
  <c r="F101" i="39"/>
  <c r="E101" i="39"/>
  <c r="F100" i="39"/>
  <c r="E100" i="39"/>
  <c r="F99" i="39"/>
  <c r="E99" i="39"/>
  <c r="F98" i="39"/>
  <c r="E98" i="39"/>
  <c r="F97" i="39"/>
  <c r="E97" i="39"/>
  <c r="F96" i="39"/>
  <c r="E96" i="39"/>
  <c r="K95" i="39"/>
  <c r="D95" i="39"/>
  <c r="C95" i="39"/>
  <c r="I95" i="39"/>
  <c r="D94" i="39"/>
  <c r="J94" i="39"/>
  <c r="I94" i="39"/>
  <c r="C94" i="39"/>
  <c r="C93" i="39"/>
  <c r="K93" i="39"/>
  <c r="J93" i="39"/>
  <c r="D92" i="39"/>
  <c r="K92" i="39"/>
  <c r="J91" i="39"/>
  <c r="I91" i="39"/>
  <c r="D90" i="39"/>
  <c r="J90" i="39"/>
  <c r="I90" i="39"/>
  <c r="I89" i="39"/>
  <c r="K89" i="39"/>
  <c r="J89" i="39"/>
  <c r="D89" i="39"/>
  <c r="C89" i="39"/>
  <c r="J88" i="39"/>
  <c r="D88" i="39"/>
  <c r="K88" i="39"/>
  <c r="K87" i="39"/>
  <c r="D87" i="39"/>
  <c r="C87" i="39"/>
  <c r="I87" i="39"/>
  <c r="D86" i="39"/>
  <c r="J86" i="39"/>
  <c r="I86" i="39"/>
  <c r="C85" i="39"/>
  <c r="J85" i="39"/>
  <c r="J84" i="39"/>
  <c r="K84" i="39"/>
  <c r="D84" i="39"/>
  <c r="K83" i="39"/>
  <c r="J83" i="39"/>
  <c r="I83" i="39"/>
  <c r="D82" i="39"/>
  <c r="J82" i="39"/>
  <c r="I82" i="39"/>
  <c r="I81" i="39"/>
  <c r="K81" i="39"/>
  <c r="J81" i="39"/>
  <c r="D81" i="39"/>
  <c r="C81" i="39"/>
  <c r="J80" i="39"/>
  <c r="D80" i="39"/>
  <c r="K80" i="39"/>
  <c r="K79" i="39"/>
  <c r="D79" i="39"/>
  <c r="C79" i="39"/>
  <c r="I79" i="39"/>
  <c r="D78" i="39"/>
  <c r="J78" i="39"/>
  <c r="I78" i="39"/>
  <c r="C78" i="39"/>
  <c r="C77" i="39"/>
  <c r="K77" i="39"/>
  <c r="J77" i="39"/>
  <c r="J76" i="39"/>
  <c r="K76" i="39"/>
  <c r="K75" i="39"/>
  <c r="J75" i="39"/>
  <c r="I75" i="39"/>
  <c r="D74" i="39"/>
  <c r="J74" i="39"/>
  <c r="I74" i="39"/>
  <c r="I73" i="39"/>
  <c r="K73" i="39"/>
  <c r="J73" i="39"/>
  <c r="D73" i="39"/>
  <c r="C73" i="39"/>
  <c r="J72" i="39"/>
  <c r="D72" i="39"/>
  <c r="K72" i="39"/>
  <c r="K71" i="39"/>
  <c r="D71" i="39"/>
  <c r="C71" i="39"/>
  <c r="I71" i="39"/>
  <c r="D70" i="39"/>
  <c r="J70" i="39"/>
  <c r="I70" i="39"/>
  <c r="D69" i="39"/>
  <c r="C69" i="39"/>
  <c r="J69" i="39"/>
  <c r="J68" i="39"/>
  <c r="K68" i="39"/>
  <c r="D68" i="39"/>
  <c r="J67" i="39"/>
  <c r="I67" i="39"/>
  <c r="D66" i="39"/>
  <c r="J66" i="39"/>
  <c r="I66" i="39"/>
  <c r="I65" i="39"/>
  <c r="K65" i="39"/>
  <c r="J65" i="39"/>
  <c r="D65" i="39"/>
  <c r="C65" i="39"/>
  <c r="D64" i="39"/>
  <c r="J64" i="39"/>
  <c r="K64" i="39"/>
  <c r="D63" i="39"/>
  <c r="K63" i="39"/>
  <c r="C63" i="39"/>
  <c r="I63" i="39"/>
  <c r="D62" i="39"/>
  <c r="J62" i="39"/>
  <c r="I62" i="39"/>
  <c r="C62" i="39"/>
  <c r="D61" i="39"/>
  <c r="C61" i="39"/>
  <c r="K61" i="39"/>
  <c r="J61" i="39"/>
  <c r="D60" i="39"/>
  <c r="K60" i="39"/>
  <c r="J59" i="39"/>
  <c r="I59" i="39"/>
  <c r="D58" i="39"/>
  <c r="J58" i="39"/>
  <c r="I58" i="39"/>
  <c r="I57" i="39"/>
  <c r="K57" i="39"/>
  <c r="J57" i="39"/>
  <c r="D57" i="39"/>
  <c r="C57" i="39"/>
  <c r="D56" i="39"/>
  <c r="J56" i="39"/>
  <c r="K56" i="39"/>
  <c r="D55" i="39"/>
  <c r="K55" i="39"/>
  <c r="C55" i="39"/>
  <c r="I55" i="39"/>
  <c r="D54" i="39"/>
  <c r="C54" i="39"/>
  <c r="I54" i="39"/>
  <c r="K53" i="39"/>
  <c r="I53" i="39"/>
  <c r="J53" i="39"/>
  <c r="D53" i="39"/>
  <c r="K52" i="39"/>
  <c r="D52" i="39"/>
  <c r="C52" i="39"/>
  <c r="I52" i="39"/>
  <c r="D51" i="39"/>
  <c r="J51" i="39"/>
  <c r="I51" i="39"/>
  <c r="C51" i="39"/>
  <c r="I50" i="39"/>
  <c r="C50" i="39"/>
  <c r="J50" i="39"/>
  <c r="J49" i="39"/>
  <c r="K49" i="39"/>
  <c r="K48" i="39"/>
  <c r="J48" i="39"/>
  <c r="I48" i="39"/>
  <c r="D47" i="39"/>
  <c r="K47" i="39"/>
  <c r="J47" i="39"/>
  <c r="I47" i="39"/>
  <c r="I46" i="39"/>
  <c r="K46" i="39"/>
  <c r="J46" i="39"/>
  <c r="D46" i="39"/>
  <c r="C46" i="39"/>
  <c r="J45" i="39"/>
  <c r="D45" i="39"/>
  <c r="K45" i="39"/>
  <c r="K44" i="39"/>
  <c r="D44" i="39"/>
  <c r="C44" i="39"/>
  <c r="I44" i="39"/>
  <c r="D43" i="39"/>
  <c r="J43" i="39"/>
  <c r="I43" i="39"/>
  <c r="C43" i="39"/>
  <c r="I42" i="39"/>
  <c r="C42" i="39"/>
  <c r="J42" i="39"/>
  <c r="J41" i="39"/>
  <c r="K41" i="39"/>
  <c r="K40" i="39"/>
  <c r="J40" i="39"/>
  <c r="I40" i="39"/>
  <c r="D39" i="39"/>
  <c r="K39" i="39"/>
  <c r="J39" i="39"/>
  <c r="I39" i="39"/>
  <c r="I38" i="39"/>
  <c r="K38" i="39"/>
  <c r="J38" i="39"/>
  <c r="D38" i="39"/>
  <c r="C38" i="39"/>
  <c r="J37" i="39"/>
  <c r="D37" i="39"/>
  <c r="K37" i="39"/>
  <c r="K36" i="39"/>
  <c r="D36" i="39"/>
  <c r="C36" i="39"/>
  <c r="I36" i="39"/>
  <c r="D35" i="39"/>
  <c r="J35" i="39"/>
  <c r="I35" i="39"/>
  <c r="C35" i="39"/>
  <c r="I34" i="39"/>
  <c r="C34" i="39"/>
  <c r="J34" i="39"/>
  <c r="J33" i="39"/>
  <c r="K33" i="39"/>
  <c r="K32" i="39"/>
  <c r="J32" i="39"/>
  <c r="I32" i="39"/>
  <c r="D31" i="39"/>
  <c r="K31" i="39"/>
  <c r="J31" i="39"/>
  <c r="I31" i="39"/>
  <c r="I30" i="39"/>
  <c r="K30" i="39"/>
  <c r="J30" i="39"/>
  <c r="D30" i="39"/>
  <c r="C30" i="39"/>
  <c r="J29" i="39"/>
  <c r="D29" i="39"/>
  <c r="K29" i="39"/>
  <c r="K28" i="39"/>
  <c r="D28" i="39"/>
  <c r="C28" i="39"/>
  <c r="I28" i="39"/>
  <c r="D27" i="39"/>
  <c r="J27" i="39"/>
  <c r="I27" i="39"/>
  <c r="I26" i="39"/>
  <c r="J26" i="39"/>
  <c r="K26" i="39"/>
  <c r="C26" i="39"/>
  <c r="J25" i="39"/>
  <c r="D25" i="39"/>
  <c r="K25" i="39"/>
  <c r="C25" i="39"/>
  <c r="D24" i="39"/>
  <c r="C24" i="39"/>
  <c r="K24" i="39"/>
  <c r="I24" i="39"/>
  <c r="C23" i="39"/>
  <c r="I23" i="39"/>
  <c r="K22" i="39"/>
  <c r="C22" i="39"/>
  <c r="I22" i="39"/>
  <c r="D22" i="39"/>
  <c r="J21" i="39"/>
  <c r="K21" i="39"/>
  <c r="I21" i="39"/>
  <c r="D21" i="39"/>
  <c r="D20" i="39"/>
  <c r="C20" i="39"/>
  <c r="K20" i="39"/>
  <c r="D19" i="39"/>
  <c r="K19" i="39"/>
  <c r="J19" i="39"/>
  <c r="I19" i="39"/>
  <c r="D18" i="39"/>
  <c r="K18" i="39"/>
  <c r="C18" i="39"/>
  <c r="I18" i="39"/>
  <c r="J17" i="39"/>
  <c r="S197" i="38"/>
  <c r="R197" i="38"/>
  <c r="Q197" i="38"/>
  <c r="O197" i="38"/>
  <c r="N197" i="38"/>
  <c r="M197" i="38"/>
  <c r="F197" i="38"/>
  <c r="E197" i="38"/>
  <c r="K195" i="38"/>
  <c r="J195" i="38"/>
  <c r="I195" i="38"/>
  <c r="D195" i="38"/>
  <c r="C195" i="38"/>
  <c r="K194" i="38"/>
  <c r="J194" i="38"/>
  <c r="I194" i="38"/>
  <c r="D194" i="38"/>
  <c r="C194" i="38"/>
  <c r="F181" i="38"/>
  <c r="E181" i="38"/>
  <c r="K180" i="38"/>
  <c r="J180" i="38"/>
  <c r="I180" i="38"/>
  <c r="D180" i="38"/>
  <c r="C180" i="38"/>
  <c r="F174" i="38"/>
  <c r="E174" i="38"/>
  <c r="F173" i="38"/>
  <c r="E173" i="38"/>
  <c r="F172" i="38"/>
  <c r="F171" i="38"/>
  <c r="E171" i="38"/>
  <c r="F170" i="38"/>
  <c r="E170" i="38"/>
  <c r="F169" i="38"/>
  <c r="E169" i="38"/>
  <c r="D168" i="38"/>
  <c r="K168" i="38"/>
  <c r="K167" i="38"/>
  <c r="J167" i="38"/>
  <c r="D166" i="38"/>
  <c r="J166" i="38"/>
  <c r="I166" i="38"/>
  <c r="J165" i="38"/>
  <c r="K165" i="38"/>
  <c r="C165" i="38"/>
  <c r="D164" i="38"/>
  <c r="K164" i="38"/>
  <c r="J164" i="38"/>
  <c r="K163" i="38"/>
  <c r="D163" i="38"/>
  <c r="I162" i="38"/>
  <c r="J162" i="38"/>
  <c r="C162" i="38"/>
  <c r="K161" i="38"/>
  <c r="J161" i="38"/>
  <c r="C161" i="38"/>
  <c r="D160" i="38"/>
  <c r="K160" i="38"/>
  <c r="J160" i="38"/>
  <c r="K159" i="38"/>
  <c r="J159" i="38"/>
  <c r="I159" i="38"/>
  <c r="D158" i="38"/>
  <c r="K158" i="38"/>
  <c r="I157" i="38"/>
  <c r="J157" i="38"/>
  <c r="J156" i="38"/>
  <c r="K156" i="38"/>
  <c r="D156" i="38"/>
  <c r="C156" i="38"/>
  <c r="D155" i="38"/>
  <c r="K155" i="38"/>
  <c r="I154" i="38"/>
  <c r="D153" i="38"/>
  <c r="I153" i="38"/>
  <c r="K152" i="38"/>
  <c r="J152" i="38"/>
  <c r="D152" i="38"/>
  <c r="K151" i="38"/>
  <c r="K150" i="38"/>
  <c r="I150" i="38"/>
  <c r="C149" i="38"/>
  <c r="J149" i="38"/>
  <c r="D148" i="38"/>
  <c r="C148" i="38"/>
  <c r="J148" i="38"/>
  <c r="K147" i="38"/>
  <c r="J147" i="38"/>
  <c r="I147" i="38"/>
  <c r="D147" i="38"/>
  <c r="J146" i="38"/>
  <c r="I146" i="38"/>
  <c r="C146" i="38"/>
  <c r="C145" i="38"/>
  <c r="J145" i="38"/>
  <c r="C144" i="38"/>
  <c r="J144" i="38"/>
  <c r="D144" i="38"/>
  <c r="K143" i="38"/>
  <c r="J143" i="38"/>
  <c r="J142" i="38"/>
  <c r="I142" i="38"/>
  <c r="J141" i="38"/>
  <c r="K141" i="38"/>
  <c r="C141" i="38"/>
  <c r="J140" i="38"/>
  <c r="I140" i="38"/>
  <c r="K140" i="38"/>
  <c r="D140" i="38"/>
  <c r="C140" i="38"/>
  <c r="D139" i="38"/>
  <c r="C139" i="38"/>
  <c r="K139" i="38"/>
  <c r="I138" i="38"/>
  <c r="K137" i="38"/>
  <c r="J137" i="38"/>
  <c r="I137" i="38"/>
  <c r="D137" i="38"/>
  <c r="J136" i="38"/>
  <c r="K136" i="38"/>
  <c r="D136" i="38"/>
  <c r="D135" i="38"/>
  <c r="J135" i="38"/>
  <c r="K135" i="38"/>
  <c r="D134" i="38"/>
  <c r="K134" i="38"/>
  <c r="K133" i="38"/>
  <c r="I133" i="38"/>
  <c r="D132" i="38"/>
  <c r="J132" i="38"/>
  <c r="K131" i="38"/>
  <c r="D131" i="38"/>
  <c r="C131" i="38"/>
  <c r="I131" i="38"/>
  <c r="J130" i="38"/>
  <c r="I130" i="38"/>
  <c r="C130" i="38"/>
  <c r="K129" i="38"/>
  <c r="I129" i="38"/>
  <c r="J128" i="38"/>
  <c r="I128" i="38"/>
  <c r="K128" i="38"/>
  <c r="C128" i="38"/>
  <c r="C127" i="38"/>
  <c r="K127" i="38"/>
  <c r="I127" i="38"/>
  <c r="D127" i="38"/>
  <c r="C126" i="38"/>
  <c r="J126" i="38"/>
  <c r="I126" i="38"/>
  <c r="K125" i="38"/>
  <c r="I125" i="38"/>
  <c r="K124" i="38"/>
  <c r="I124" i="38"/>
  <c r="D124" i="38"/>
  <c r="J123" i="38"/>
  <c r="K123" i="38"/>
  <c r="D122" i="38"/>
  <c r="K122" i="38"/>
  <c r="D121" i="38"/>
  <c r="J121" i="38"/>
  <c r="I121" i="38"/>
  <c r="C120" i="38"/>
  <c r="I120" i="38"/>
  <c r="D119" i="38"/>
  <c r="J119" i="38"/>
  <c r="K118" i="38"/>
  <c r="J118" i="38"/>
  <c r="D118" i="38"/>
  <c r="D117" i="38"/>
  <c r="I117" i="38"/>
  <c r="J117" i="38"/>
  <c r="C117" i="38"/>
  <c r="C116" i="38"/>
  <c r="K116" i="38"/>
  <c r="J116" i="38"/>
  <c r="D115" i="38"/>
  <c r="K115" i="38"/>
  <c r="J115" i="38"/>
  <c r="C115" i="38"/>
  <c r="K114" i="38"/>
  <c r="D114" i="38"/>
  <c r="J114" i="38"/>
  <c r="I114" i="38"/>
  <c r="J113" i="38"/>
  <c r="I113" i="38"/>
  <c r="C113" i="38"/>
  <c r="I112" i="38"/>
  <c r="J112" i="38"/>
  <c r="K112" i="38"/>
  <c r="D112" i="38"/>
  <c r="C112" i="38"/>
  <c r="J111" i="38"/>
  <c r="D111" i="38"/>
  <c r="C111" i="38"/>
  <c r="K111" i="38"/>
  <c r="D110" i="38"/>
  <c r="C110" i="38"/>
  <c r="K110" i="38"/>
  <c r="I109" i="38"/>
  <c r="D108" i="38"/>
  <c r="I108" i="38"/>
  <c r="J107" i="38"/>
  <c r="K107" i="38"/>
  <c r="D107" i="38"/>
  <c r="K106" i="38"/>
  <c r="D106" i="38"/>
  <c r="D105" i="38"/>
  <c r="J105" i="38"/>
  <c r="I105" i="38"/>
  <c r="D104" i="38"/>
  <c r="K104" i="38"/>
  <c r="J104" i="38"/>
  <c r="I104" i="38"/>
  <c r="D103" i="38"/>
  <c r="J103" i="38"/>
  <c r="K102" i="38"/>
  <c r="D102" i="38"/>
  <c r="D101" i="38"/>
  <c r="I101" i="38"/>
  <c r="K100" i="38"/>
  <c r="J100" i="38"/>
  <c r="C100" i="38"/>
  <c r="D99" i="38"/>
  <c r="C99" i="38"/>
  <c r="K99" i="38"/>
  <c r="J99" i="38"/>
  <c r="K98" i="38"/>
  <c r="J98" i="38"/>
  <c r="I98" i="38"/>
  <c r="D97" i="38"/>
  <c r="I97" i="38"/>
  <c r="I96" i="38"/>
  <c r="J96" i="38"/>
  <c r="K96" i="38"/>
  <c r="C96" i="38"/>
  <c r="J95" i="38"/>
  <c r="I95" i="38"/>
  <c r="K95" i="38"/>
  <c r="D95" i="38"/>
  <c r="C95" i="38"/>
  <c r="D94" i="38"/>
  <c r="C94" i="38"/>
  <c r="K94" i="38"/>
  <c r="I94" i="38"/>
  <c r="K93" i="38"/>
  <c r="I93" i="38"/>
  <c r="K92" i="38"/>
  <c r="I92" i="38"/>
  <c r="D92" i="38"/>
  <c r="J91" i="38"/>
  <c r="K91" i="38"/>
  <c r="D90" i="38"/>
  <c r="K90" i="38"/>
  <c r="D89" i="38"/>
  <c r="J89" i="38"/>
  <c r="I89" i="38"/>
  <c r="C88" i="38"/>
  <c r="I88" i="38"/>
  <c r="D87" i="38"/>
  <c r="J87" i="38"/>
  <c r="K86" i="38"/>
  <c r="J86" i="38"/>
  <c r="D86" i="38"/>
  <c r="D85" i="38"/>
  <c r="I85" i="38"/>
  <c r="J85" i="38"/>
  <c r="C85" i="38"/>
  <c r="C84" i="38"/>
  <c r="K84" i="38"/>
  <c r="J84" i="38"/>
  <c r="D83" i="38"/>
  <c r="K83" i="38"/>
  <c r="J83" i="38"/>
  <c r="C83" i="38"/>
  <c r="K82" i="38"/>
  <c r="D82" i="38"/>
  <c r="J82" i="38"/>
  <c r="I82" i="38"/>
  <c r="J81" i="38"/>
  <c r="I81" i="38"/>
  <c r="C81" i="38"/>
  <c r="I80" i="38"/>
  <c r="J80" i="38"/>
  <c r="K80" i="38"/>
  <c r="D80" i="38"/>
  <c r="C80" i="38"/>
  <c r="J79" i="38"/>
  <c r="D79" i="38"/>
  <c r="K79" i="38"/>
  <c r="D78" i="38"/>
  <c r="C78" i="38"/>
  <c r="K78" i="38"/>
  <c r="I77" i="38"/>
  <c r="I76" i="38"/>
  <c r="F68" i="38"/>
  <c r="E68" i="38"/>
  <c r="F67" i="38"/>
  <c r="E67" i="38"/>
  <c r="F66" i="38"/>
  <c r="E66" i="38"/>
  <c r="J65" i="38"/>
  <c r="K65" i="38"/>
  <c r="D65" i="38"/>
  <c r="K64" i="38"/>
  <c r="D64" i="38"/>
  <c r="D63" i="38"/>
  <c r="J63" i="38"/>
  <c r="I63" i="38"/>
  <c r="D62" i="38"/>
  <c r="K62" i="38"/>
  <c r="J62" i="38"/>
  <c r="I62" i="38"/>
  <c r="D61" i="38"/>
  <c r="J61" i="38"/>
  <c r="K60" i="38"/>
  <c r="D60" i="38"/>
  <c r="D59" i="38"/>
  <c r="I59" i="38"/>
  <c r="K58" i="38"/>
  <c r="J58" i="38"/>
  <c r="C58" i="38"/>
  <c r="D57" i="38"/>
  <c r="K57" i="38"/>
  <c r="J57" i="38"/>
  <c r="C57" i="38"/>
  <c r="J56" i="38"/>
  <c r="K56" i="38"/>
  <c r="D56" i="38"/>
  <c r="K55" i="38"/>
  <c r="J55" i="38"/>
  <c r="I55" i="38"/>
  <c r="D54" i="38"/>
  <c r="K54" i="38"/>
  <c r="J54" i="38"/>
  <c r="I54" i="38"/>
  <c r="C53" i="38"/>
  <c r="I53" i="38"/>
  <c r="J53" i="38"/>
  <c r="D53" i="38"/>
  <c r="D52" i="38"/>
  <c r="K52" i="38"/>
  <c r="D51" i="38"/>
  <c r="C51" i="38"/>
  <c r="D50" i="38"/>
  <c r="C50" i="38"/>
  <c r="I50" i="38"/>
  <c r="D49" i="38"/>
  <c r="K49" i="38"/>
  <c r="J49" i="38"/>
  <c r="C49" i="38"/>
  <c r="J48" i="38"/>
  <c r="K48" i="38"/>
  <c r="D48" i="38"/>
  <c r="K47" i="38"/>
  <c r="J47" i="38"/>
  <c r="I47" i="38"/>
  <c r="D46" i="38"/>
  <c r="K46" i="38"/>
  <c r="J46" i="38"/>
  <c r="I46" i="38"/>
  <c r="C45" i="38"/>
  <c r="I45" i="38"/>
  <c r="J45" i="38"/>
  <c r="D45" i="38"/>
  <c r="D44" i="38"/>
  <c r="K44" i="38"/>
  <c r="D43" i="38"/>
  <c r="C43" i="38"/>
  <c r="D42" i="38"/>
  <c r="C42" i="38"/>
  <c r="I42" i="38"/>
  <c r="D41" i="38"/>
  <c r="K41" i="38"/>
  <c r="J41" i="38"/>
  <c r="C41" i="38"/>
  <c r="J40" i="38"/>
  <c r="K40" i="38"/>
  <c r="D40" i="38"/>
  <c r="K39" i="38"/>
  <c r="J39" i="38"/>
  <c r="I39" i="38"/>
  <c r="D38" i="38"/>
  <c r="K38" i="38"/>
  <c r="J38" i="38"/>
  <c r="I38" i="38"/>
  <c r="C37" i="38"/>
  <c r="I37" i="38"/>
  <c r="J37" i="38"/>
  <c r="D37" i="38"/>
  <c r="D36" i="38"/>
  <c r="K36" i="38"/>
  <c r="D35" i="38"/>
  <c r="I35" i="38"/>
  <c r="I34" i="38"/>
  <c r="K34" i="38"/>
  <c r="J34" i="38"/>
  <c r="D33" i="38"/>
  <c r="K33" i="38"/>
  <c r="J33" i="38"/>
  <c r="D32" i="38"/>
  <c r="J32" i="38"/>
  <c r="I32" i="38"/>
  <c r="D31" i="38"/>
  <c r="J31" i="38"/>
  <c r="I31" i="38"/>
  <c r="D30" i="38"/>
  <c r="C30" i="38"/>
  <c r="K30" i="38"/>
  <c r="J30" i="38"/>
  <c r="K29" i="38"/>
  <c r="D29" i="38"/>
  <c r="J29" i="38"/>
  <c r="I29" i="38"/>
  <c r="D28" i="38"/>
  <c r="K28" i="38"/>
  <c r="I28" i="38"/>
  <c r="S23" i="38"/>
  <c r="R23" i="38"/>
  <c r="Q23" i="38"/>
  <c r="O23" i="38"/>
  <c r="N23" i="38"/>
  <c r="M23" i="38"/>
  <c r="F21" i="38"/>
  <c r="E21" i="38"/>
  <c r="F20" i="38"/>
  <c r="E20" i="38"/>
  <c r="F19" i="38"/>
  <c r="E19" i="38"/>
  <c r="K17" i="38"/>
  <c r="K23" i="38"/>
  <c r="J17" i="38"/>
  <c r="J23" i="38"/>
  <c r="I17" i="38"/>
  <c r="I23" i="38"/>
  <c r="D17" i="38"/>
  <c r="D23" i="38"/>
  <c r="C17" i="38"/>
  <c r="C23" i="38"/>
  <c r="A24" i="38"/>
  <c r="D18" i="5"/>
  <c r="Q27" i="21"/>
  <c r="Q22" i="21"/>
  <c r="Q17" i="21"/>
  <c r="A2" i="41"/>
  <c r="A11" i="41"/>
  <c r="A12" i="41"/>
  <c r="A13" i="41"/>
  <c r="A14" i="41"/>
  <c r="A15" i="41"/>
  <c r="A16" i="41"/>
  <c r="A17" i="41"/>
  <c r="A18" i="41"/>
  <c r="A19" i="41"/>
  <c r="A20" i="41"/>
  <c r="A21" i="41"/>
  <c r="A22" i="41"/>
  <c r="A23" i="41"/>
  <c r="E67" i="41"/>
  <c r="E68" i="41"/>
  <c r="E69" i="41"/>
  <c r="E70" i="41"/>
  <c r="E71" i="41"/>
  <c r="E72" i="41"/>
  <c r="B85" i="41"/>
  <c r="B86" i="41"/>
  <c r="B87" i="41"/>
  <c r="B91" i="41"/>
  <c r="B92" i="41"/>
  <c r="B93" i="41"/>
  <c r="B97" i="41"/>
  <c r="B98" i="41"/>
  <c r="B99" i="41"/>
  <c r="C100" i="41"/>
  <c r="C101" i="41"/>
  <c r="D100" i="41"/>
  <c r="E110" i="2"/>
  <c r="E67" i="35"/>
  <c r="F67" i="35"/>
  <c r="D67" i="35"/>
  <c r="A69" i="35"/>
  <c r="A71" i="35"/>
  <c r="A75" i="35"/>
  <c r="A76" i="35"/>
  <c r="A77" i="35"/>
  <c r="A78" i="35"/>
  <c r="A79" i="35"/>
  <c r="A80" i="35"/>
  <c r="E80" i="35"/>
  <c r="D80" i="35"/>
  <c r="F79" i="35"/>
  <c r="F78" i="35"/>
  <c r="F77" i="35"/>
  <c r="F76" i="35"/>
  <c r="F75" i="35"/>
  <c r="A11" i="35"/>
  <c r="A12" i="35"/>
  <c r="A13" i="35"/>
  <c r="A14" i="35"/>
  <c r="A15" i="35"/>
  <c r="A16" i="35"/>
  <c r="A17" i="35"/>
  <c r="A18" i="35"/>
  <c r="A19" i="35"/>
  <c r="A20" i="35"/>
  <c r="A21" i="35"/>
  <c r="A22" i="35"/>
  <c r="A23" i="35"/>
  <c r="E69" i="2"/>
  <c r="A2" i="35"/>
  <c r="I53" i="30"/>
  <c r="I52" i="30"/>
  <c r="I49" i="30"/>
  <c r="I48" i="30"/>
  <c r="I47" i="30"/>
  <c r="I46" i="30"/>
  <c r="I42" i="30"/>
  <c r="I41" i="30"/>
  <c r="I40" i="30"/>
  <c r="I39" i="30"/>
  <c r="I38" i="30"/>
  <c r="I37" i="30"/>
  <c r="I36" i="30"/>
  <c r="I35" i="30"/>
  <c r="B21" i="7"/>
  <c r="B11" i="7"/>
  <c r="O83" i="13"/>
  <c r="P83" i="13"/>
  <c r="L89" i="13"/>
  <c r="L97" i="13"/>
  <c r="C102" i="13"/>
  <c r="D102" i="13"/>
  <c r="M102" i="13"/>
  <c r="O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D101"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K96" i="20"/>
  <c r="I95" i="20"/>
  <c r="O82" i="20"/>
  <c r="N82" i="20"/>
  <c r="A6" i="30"/>
  <c r="D351" i="2"/>
  <c r="D295" i="2"/>
  <c r="G24" i="32"/>
  <c r="G25" i="32"/>
  <c r="G26" i="32"/>
  <c r="G27" i="32"/>
  <c r="G28" i="32"/>
  <c r="G29" i="32"/>
  <c r="G30" i="32"/>
  <c r="G31" i="32"/>
  <c r="G32" i="32"/>
  <c r="G33" i="32"/>
  <c r="G34" i="32"/>
  <c r="F12" i="32"/>
  <c r="L26" i="20"/>
  <c r="A4" i="21"/>
  <c r="A4" i="30"/>
  <c r="A4" i="11"/>
  <c r="A4" i="10"/>
  <c r="A4" i="9"/>
  <c r="A4" i="8"/>
  <c r="A4" i="7"/>
  <c r="A4" i="6"/>
  <c r="A4" i="5"/>
  <c r="F7" i="2"/>
  <c r="F56" i="2"/>
  <c r="F130" i="2"/>
  <c r="F218" i="2"/>
  <c r="F264" i="2"/>
  <c r="F16" i="13"/>
  <c r="F18" i="13"/>
  <c r="E23" i="13"/>
  <c r="F16" i="20"/>
  <c r="F18" i="20"/>
  <c r="E23" i="20"/>
  <c r="L18" i="2"/>
  <c r="B13" i="2"/>
  <c r="B15" i="2"/>
  <c r="B18" i="2"/>
  <c r="E20" i="2"/>
  <c r="O8" i="20"/>
  <c r="F11" i="10"/>
  <c r="F15" i="10"/>
  <c r="F19" i="10"/>
  <c r="F28" i="10"/>
  <c r="O17" i="21"/>
  <c r="O22" i="21"/>
  <c r="O27" i="21"/>
  <c r="I21" i="6"/>
  <c r="G116" i="2"/>
  <c r="A24" i="9"/>
  <c r="A25" i="9"/>
  <c r="A26" i="9"/>
  <c r="A27" i="9"/>
  <c r="A28" i="9"/>
  <c r="A29" i="9"/>
  <c r="A30" i="9"/>
  <c r="A31" i="9"/>
  <c r="A32" i="9"/>
  <c r="A33" i="9"/>
  <c r="A36" i="9"/>
  <c r="A37" i="9"/>
  <c r="A38" i="9"/>
  <c r="A39" i="9"/>
  <c r="A40" i="9"/>
  <c r="A41" i="9"/>
  <c r="A15" i="7"/>
  <c r="A17" i="7"/>
  <c r="A18" i="7"/>
  <c r="A19" i="7"/>
  <c r="A21" i="7"/>
  <c r="A17" i="6"/>
  <c r="A19" i="6"/>
  <c r="A21" i="6"/>
  <c r="A27" i="6"/>
  <c r="A29" i="6"/>
  <c r="A30" i="6"/>
  <c r="A31" i="6"/>
  <c r="A37" i="6"/>
  <c r="A39" i="6"/>
  <c r="A40" i="6"/>
  <c r="A41" i="6"/>
  <c r="A42" i="6"/>
  <c r="A43" i="6"/>
  <c r="A44" i="6"/>
  <c r="A45" i="6"/>
  <c r="A46" i="6"/>
  <c r="A47" i="6"/>
  <c r="A48" i="6"/>
  <c r="A49" i="6"/>
  <c r="A50" i="6"/>
  <c r="A51" i="6"/>
  <c r="A52" i="6"/>
  <c r="A53" i="6"/>
  <c r="A54" i="6"/>
  <c r="A55" i="6"/>
  <c r="A56" i="6"/>
  <c r="A57" i="6"/>
  <c r="A58" i="6"/>
  <c r="A59" i="6"/>
  <c r="A66" i="6"/>
  <c r="A68" i="6"/>
  <c r="A69" i="6"/>
  <c r="A70" i="6"/>
  <c r="A71" i="6"/>
  <c r="A72" i="6"/>
  <c r="A73" i="6"/>
  <c r="A74" i="6"/>
  <c r="A75" i="6"/>
  <c r="A76" i="6"/>
  <c r="A77" i="6"/>
  <c r="A78" i="6"/>
  <c r="A79" i="6"/>
  <c r="A80" i="6"/>
  <c r="A81" i="6"/>
  <c r="A82" i="6"/>
  <c r="A83" i="6"/>
  <c r="A84" i="6"/>
  <c r="A85" i="6"/>
  <c r="A86" i="6"/>
  <c r="A87" i="6"/>
  <c r="A88" i="6"/>
  <c r="A15" i="30"/>
  <c r="A25" i="30"/>
  <c r="A27" i="30"/>
  <c r="A33" i="30"/>
  <c r="A44" i="30"/>
  <c r="A51" i="30"/>
  <c r="A60" i="30"/>
  <c r="A61" i="30"/>
  <c r="A63" i="30"/>
  <c r="A65" i="30"/>
  <c r="A71" i="30"/>
  <c r="A72" i="30"/>
  <c r="A74" i="30"/>
  <c r="A75" i="30"/>
  <c r="A79" i="30"/>
  <c r="A83" i="30"/>
  <c r="A93" i="30"/>
  <c r="A100" i="30"/>
  <c r="A103" i="30"/>
  <c r="A107" i="30"/>
  <c r="A110" i="30"/>
  <c r="A113" i="30"/>
  <c r="A17" i="11"/>
  <c r="A19" i="11"/>
  <c r="A20" i="11"/>
  <c r="A21" i="11"/>
  <c r="A22" i="11"/>
  <c r="A23" i="11"/>
  <c r="A25" i="11"/>
  <c r="A26" i="11"/>
  <c r="A27" i="11"/>
  <c r="A28" i="11"/>
  <c r="A30" i="11"/>
  <c r="A31" i="11"/>
  <c r="A33" i="11"/>
  <c r="A34" i="11"/>
  <c r="A35" i="11"/>
  <c r="A36" i="11"/>
  <c r="A37" i="11"/>
  <c r="A38" i="11"/>
  <c r="A39" i="11"/>
  <c r="A40" i="11"/>
  <c r="A41" i="11"/>
  <c r="A42" i="11"/>
  <c r="A43" i="11"/>
  <c r="I50" i="5"/>
  <c r="J29" i="8"/>
  <c r="A4" i="13"/>
  <c r="A4" i="20"/>
  <c r="C60" i="13"/>
  <c r="K33" i="21"/>
  <c r="A22" i="21"/>
  <c r="A27" i="21"/>
  <c r="A33" i="21"/>
  <c r="D209" i="2"/>
  <c r="L168" i="2"/>
  <c r="G48" i="20"/>
  <c r="A6" i="21"/>
  <c r="D12" i="9"/>
  <c r="C30" i="6"/>
  <c r="I12" i="6"/>
  <c r="I10" i="5"/>
  <c r="C9" i="7"/>
  <c r="M23" i="13"/>
  <c r="M20" i="13"/>
  <c r="N8" i="20"/>
  <c r="C11" i="20"/>
  <c r="C14" i="20"/>
  <c r="C18" i="20"/>
  <c r="C26" i="20"/>
  <c r="C32" i="20"/>
  <c r="C42" i="20"/>
  <c r="C43" i="20"/>
  <c r="C53" i="20"/>
  <c r="C55" i="20"/>
  <c r="C58" i="20"/>
  <c r="C60" i="20"/>
  <c r="C62" i="20"/>
  <c r="C65" i="20"/>
  <c r="C66" i="20"/>
  <c r="C68" i="20"/>
  <c r="C69" i="20"/>
  <c r="C71" i="20"/>
  <c r="B6" i="14"/>
  <c r="D65" i="6"/>
  <c r="B63" i="6"/>
  <c r="G12" i="6"/>
  <c r="G10" i="5"/>
  <c r="B4" i="14"/>
  <c r="O8" i="13"/>
  <c r="P8" i="13"/>
  <c r="C11" i="13"/>
  <c r="C14" i="13"/>
  <c r="C18" i="13"/>
  <c r="C26" i="13"/>
  <c r="C32" i="13"/>
  <c r="C42" i="13"/>
  <c r="C43" i="13"/>
  <c r="C53" i="13"/>
  <c r="C55" i="13"/>
  <c r="C58" i="13"/>
  <c r="C62" i="13"/>
  <c r="C65" i="13"/>
  <c r="C66" i="13"/>
  <c r="C68" i="13"/>
  <c r="C69" i="13"/>
  <c r="C71" i="13"/>
  <c r="A4" i="12"/>
  <c r="A6" i="12"/>
  <c r="C50" i="11"/>
  <c r="C61" i="11"/>
  <c r="M65" i="11"/>
  <c r="A3" i="6"/>
  <c r="A3" i="8"/>
  <c r="A15" i="8"/>
  <c r="A17" i="8"/>
  <c r="A19" i="8"/>
  <c r="A21" i="8"/>
  <c r="A27" i="8"/>
  <c r="A29" i="8"/>
  <c r="A31" i="8"/>
  <c r="A39" i="8"/>
  <c r="E12" i="6"/>
  <c r="C29" i="6"/>
  <c r="D36" i="6"/>
  <c r="B34" i="6"/>
  <c r="E10" i="5"/>
  <c r="A17" i="5"/>
  <c r="A18" i="5"/>
  <c r="A19" i="5"/>
  <c r="F54" i="2"/>
  <c r="F128" i="2"/>
  <c r="F216" i="2"/>
  <c r="F262" i="2"/>
  <c r="F55" i="2"/>
  <c r="F129" i="2"/>
  <c r="F217" i="2"/>
  <c r="F263" i="2"/>
  <c r="F58" i="2"/>
  <c r="F132" i="2"/>
  <c r="F220" i="2"/>
  <c r="F266" i="2"/>
  <c r="B64" i="2"/>
  <c r="B138" i="2"/>
  <c r="B65" i="2"/>
  <c r="B139" i="2"/>
  <c r="D78" i="2"/>
  <c r="D90" i="2"/>
  <c r="D80" i="2"/>
  <c r="D91" i="2"/>
  <c r="D82" i="2"/>
  <c r="D92" i="2"/>
  <c r="D84" i="2"/>
  <c r="D93" i="2"/>
  <c r="D86" i="2"/>
  <c r="D94" i="2"/>
  <c r="E136" i="2"/>
  <c r="L136" i="2"/>
  <c r="E137" i="2"/>
  <c r="G137" i="2"/>
  <c r="I137" i="2"/>
  <c r="L137" i="2"/>
  <c r="D174" i="2"/>
  <c r="C33" i="39"/>
  <c r="I33" i="39"/>
  <c r="C41" i="39"/>
  <c r="I41" i="39"/>
  <c r="K42" i="39"/>
  <c r="C27" i="39"/>
  <c r="C49" i="39"/>
  <c r="I49" i="39"/>
  <c r="I77" i="39"/>
  <c r="D77" i="39"/>
  <c r="I93" i="39"/>
  <c r="D93" i="39"/>
  <c r="O109" i="39"/>
  <c r="J18" i="39"/>
  <c r="K23" i="39"/>
  <c r="I25" i="39"/>
  <c r="D26" i="39"/>
  <c r="D33" i="39"/>
  <c r="K34" i="39"/>
  <c r="D41" i="39"/>
  <c r="D49" i="39"/>
  <c r="K50" i="39"/>
  <c r="K54" i="39"/>
  <c r="C60" i="39"/>
  <c r="I60" i="39"/>
  <c r="K66" i="39"/>
  <c r="C66" i="39"/>
  <c r="K67" i="39"/>
  <c r="C76" i="39"/>
  <c r="I76" i="39"/>
  <c r="K82" i="39"/>
  <c r="C82" i="39"/>
  <c r="C92" i="39"/>
  <c r="I92" i="39"/>
  <c r="C17" i="39"/>
  <c r="K17" i="39"/>
  <c r="Q109" i="39"/>
  <c r="C19" i="39"/>
  <c r="J20" i="39"/>
  <c r="J22" i="39"/>
  <c r="J23" i="39"/>
  <c r="K27" i="39"/>
  <c r="J28" i="39"/>
  <c r="C29" i="39"/>
  <c r="I29" i="39"/>
  <c r="K35" i="39"/>
  <c r="J36" i="39"/>
  <c r="C37" i="39"/>
  <c r="I37" i="39"/>
  <c r="K43" i="39"/>
  <c r="J44" i="39"/>
  <c r="C45" i="39"/>
  <c r="I45" i="39"/>
  <c r="K51" i="39"/>
  <c r="J52" i="39"/>
  <c r="J54" i="39"/>
  <c r="J60" i="39"/>
  <c r="K69" i="39"/>
  <c r="C70" i="39"/>
  <c r="K85" i="39"/>
  <c r="I85" i="39"/>
  <c r="D85" i="39"/>
  <c r="C86" i="39"/>
  <c r="J92" i="39"/>
  <c r="E104" i="39"/>
  <c r="D17" i="39"/>
  <c r="I17" i="39"/>
  <c r="R109" i="39"/>
  <c r="I20" i="39"/>
  <c r="C21" i="39"/>
  <c r="D23" i="39"/>
  <c r="J24" i="39"/>
  <c r="C31" i="39"/>
  <c r="C32" i="39"/>
  <c r="D32" i="39"/>
  <c r="D34" i="39"/>
  <c r="C39" i="39"/>
  <c r="C40" i="39"/>
  <c r="D40" i="39"/>
  <c r="D42" i="39"/>
  <c r="C47" i="39"/>
  <c r="C48" i="39"/>
  <c r="D48" i="39"/>
  <c r="D50" i="39"/>
  <c r="K58" i="39"/>
  <c r="C58" i="39"/>
  <c r="K59" i="39"/>
  <c r="C68" i="39"/>
  <c r="I68" i="39"/>
  <c r="K74" i="39"/>
  <c r="C74" i="39"/>
  <c r="D76" i="39"/>
  <c r="C84" i="39"/>
  <c r="I84" i="39"/>
  <c r="K90" i="39"/>
  <c r="C90" i="39"/>
  <c r="K91" i="39"/>
  <c r="N109" i="39"/>
  <c r="S109" i="39"/>
  <c r="C53" i="39"/>
  <c r="J55" i="39"/>
  <c r="C56" i="39"/>
  <c r="I56" i="39"/>
  <c r="I61" i="39"/>
  <c r="K62" i="39"/>
  <c r="J63" i="39"/>
  <c r="C64" i="39"/>
  <c r="I64" i="39"/>
  <c r="I69" i="39"/>
  <c r="K70" i="39"/>
  <c r="J71" i="39"/>
  <c r="C72" i="39"/>
  <c r="I72" i="39"/>
  <c r="K78" i="39"/>
  <c r="J79" i="39"/>
  <c r="C80" i="39"/>
  <c r="I80" i="39"/>
  <c r="K86" i="39"/>
  <c r="J87" i="39"/>
  <c r="C88" i="39"/>
  <c r="I88" i="39"/>
  <c r="K94" i="39"/>
  <c r="J95" i="39"/>
  <c r="C59" i="39"/>
  <c r="D59" i="39"/>
  <c r="C67" i="39"/>
  <c r="D67" i="39"/>
  <c r="C75" i="39"/>
  <c r="D75" i="39"/>
  <c r="C83" i="39"/>
  <c r="D83" i="39"/>
  <c r="C91" i="39"/>
  <c r="D91" i="39"/>
  <c r="C31" i="38"/>
  <c r="C60" i="38"/>
  <c r="I60" i="38"/>
  <c r="K63" i="38"/>
  <c r="C63" i="38"/>
  <c r="C76" i="38"/>
  <c r="J76" i="38"/>
  <c r="I84" i="38"/>
  <c r="D84" i="38"/>
  <c r="K87" i="38"/>
  <c r="C87" i="38"/>
  <c r="C102" i="38"/>
  <c r="I102" i="38"/>
  <c r="K105" i="38"/>
  <c r="C105" i="38"/>
  <c r="C108" i="38"/>
  <c r="J108" i="38"/>
  <c r="C109" i="38"/>
  <c r="J109" i="38"/>
  <c r="I116" i="38"/>
  <c r="D116" i="38"/>
  <c r="K157" i="38"/>
  <c r="D157" i="38"/>
  <c r="E172" i="38"/>
  <c r="C28" i="38"/>
  <c r="J28" i="38"/>
  <c r="C33" i="38"/>
  <c r="C35" i="38"/>
  <c r="K42" i="38"/>
  <c r="I49" i="38"/>
  <c r="J51" i="38"/>
  <c r="C52" i="38"/>
  <c r="I52" i="38"/>
  <c r="I57" i="38"/>
  <c r="K77" i="38"/>
  <c r="K88" i="38"/>
  <c r="C90" i="38"/>
  <c r="I90" i="38"/>
  <c r="J97" i="38"/>
  <c r="J102" i="38"/>
  <c r="K108" i="38"/>
  <c r="K109" i="38"/>
  <c r="K120" i="38"/>
  <c r="I123" i="38"/>
  <c r="C123" i="38"/>
  <c r="D141" i="38"/>
  <c r="I141" i="38"/>
  <c r="K145" i="38"/>
  <c r="D149" i="38"/>
  <c r="I149" i="38"/>
  <c r="C150" i="38"/>
  <c r="I161" i="38"/>
  <c r="D161" i="38"/>
  <c r="C164" i="38"/>
  <c r="C29" i="38"/>
  <c r="I30" i="38"/>
  <c r="K31" i="38"/>
  <c r="K32" i="38"/>
  <c r="I33" i="38"/>
  <c r="D34" i="38"/>
  <c r="K35" i="38"/>
  <c r="J36" i="38"/>
  <c r="K37" i="38"/>
  <c r="C38" i="38"/>
  <c r="C39" i="38"/>
  <c r="D39" i="38"/>
  <c r="J42" i="38"/>
  <c r="K43" i="38"/>
  <c r="J44" i="38"/>
  <c r="K45" i="38"/>
  <c r="C46" i="38"/>
  <c r="C47" i="38"/>
  <c r="D47" i="38"/>
  <c r="J50" i="38"/>
  <c r="K51" i="38"/>
  <c r="J52" i="38"/>
  <c r="K53" i="38"/>
  <c r="C54" i="38"/>
  <c r="C55" i="38"/>
  <c r="D55" i="38"/>
  <c r="I58" i="38"/>
  <c r="D58" i="38"/>
  <c r="C59" i="38"/>
  <c r="K61" i="38"/>
  <c r="C61" i="38"/>
  <c r="C62" i="38"/>
  <c r="I78" i="38"/>
  <c r="C79" i="38"/>
  <c r="D81" i="38"/>
  <c r="C86" i="38"/>
  <c r="I86" i="38"/>
  <c r="J88" i="38"/>
  <c r="D88" i="38"/>
  <c r="K89" i="38"/>
  <c r="C89" i="38"/>
  <c r="C92" i="38"/>
  <c r="J92" i="38"/>
  <c r="C93" i="38"/>
  <c r="J93" i="38"/>
  <c r="D96" i="38"/>
  <c r="C97" i="38"/>
  <c r="I100" i="38"/>
  <c r="D100" i="38"/>
  <c r="C101" i="38"/>
  <c r="K103" i="38"/>
  <c r="C103" i="38"/>
  <c r="C104" i="38"/>
  <c r="I110" i="38"/>
  <c r="D113" i="38"/>
  <c r="C118" i="38"/>
  <c r="I118" i="38"/>
  <c r="J120" i="38"/>
  <c r="D120" i="38"/>
  <c r="K121" i="38"/>
  <c r="C121" i="38"/>
  <c r="C124" i="38"/>
  <c r="J124" i="38"/>
  <c r="C125" i="38"/>
  <c r="J125" i="38"/>
  <c r="D128" i="38"/>
  <c r="D130" i="38"/>
  <c r="C133" i="38"/>
  <c r="J133" i="38"/>
  <c r="C155" i="38"/>
  <c r="I155" i="38"/>
  <c r="C157" i="38"/>
  <c r="K166" i="38"/>
  <c r="C166" i="38"/>
  <c r="C77" i="38"/>
  <c r="J77" i="38"/>
  <c r="K119" i="38"/>
  <c r="C119" i="38"/>
  <c r="J129" i="38"/>
  <c r="C129" i="38"/>
  <c r="I134" i="38"/>
  <c r="C134" i="38"/>
  <c r="K142" i="38"/>
  <c r="C142" i="38"/>
  <c r="C153" i="38"/>
  <c r="J153" i="38"/>
  <c r="C154" i="38"/>
  <c r="J154" i="38"/>
  <c r="C34" i="38"/>
  <c r="J35" i="38"/>
  <c r="C36" i="38"/>
  <c r="I36" i="38"/>
  <c r="I41" i="38"/>
  <c r="J43" i="38"/>
  <c r="C44" i="38"/>
  <c r="I44" i="38"/>
  <c r="K50" i="38"/>
  <c r="J60" i="38"/>
  <c r="D76" i="38"/>
  <c r="I79" i="38"/>
  <c r="I91" i="38"/>
  <c r="C91" i="38"/>
  <c r="I111" i="38"/>
  <c r="C122" i="38"/>
  <c r="I122" i="38"/>
  <c r="D129" i="38"/>
  <c r="I145" i="38"/>
  <c r="D145" i="38"/>
  <c r="K149" i="38"/>
  <c r="C158" i="38"/>
  <c r="I158" i="38"/>
  <c r="C32" i="38"/>
  <c r="C40" i="38"/>
  <c r="I40" i="38"/>
  <c r="I43" i="38"/>
  <c r="C48" i="38"/>
  <c r="I48" i="38"/>
  <c r="I51" i="38"/>
  <c r="C56" i="38"/>
  <c r="I56" i="38"/>
  <c r="J59" i="38"/>
  <c r="C64" i="38"/>
  <c r="I64" i="38"/>
  <c r="I65" i="38"/>
  <c r="C65" i="38"/>
  <c r="D91" i="38"/>
  <c r="D98" i="38"/>
  <c r="J101" i="38"/>
  <c r="C106" i="38"/>
  <c r="I106" i="38"/>
  <c r="I107" i="38"/>
  <c r="C107" i="38"/>
  <c r="D123" i="38"/>
  <c r="K132" i="38"/>
  <c r="C132" i="38"/>
  <c r="J134" i="38"/>
  <c r="I139" i="38"/>
  <c r="C151" i="38"/>
  <c r="I151" i="38"/>
  <c r="D165" i="38"/>
  <c r="I165" i="38"/>
  <c r="D167" i="38"/>
  <c r="J64" i="38"/>
  <c r="K81" i="38"/>
  <c r="I83" i="38"/>
  <c r="J90" i="38"/>
  <c r="K97" i="38"/>
  <c r="I99" i="38"/>
  <c r="J106" i="38"/>
  <c r="K113" i="38"/>
  <c r="I115" i="38"/>
  <c r="J122" i="38"/>
  <c r="K130" i="38"/>
  <c r="I136" i="38"/>
  <c r="C136" i="38"/>
  <c r="C138" i="38"/>
  <c r="J138" i="38"/>
  <c r="D143" i="38"/>
  <c r="I143" i="38"/>
  <c r="K154" i="38"/>
  <c r="I160" i="38"/>
  <c r="C163" i="38"/>
  <c r="I163" i="38"/>
  <c r="J168" i="38"/>
  <c r="K59" i="38"/>
  <c r="I61" i="38"/>
  <c r="K76" i="38"/>
  <c r="D77" i="38"/>
  <c r="J78" i="38"/>
  <c r="C82" i="38"/>
  <c r="K85" i="38"/>
  <c r="I87" i="38"/>
  <c r="D93" i="38"/>
  <c r="J94" i="38"/>
  <c r="C98" i="38"/>
  <c r="K101" i="38"/>
  <c r="I103" i="38"/>
  <c r="D109" i="38"/>
  <c r="J110" i="38"/>
  <c r="C114" i="38"/>
  <c r="K117" i="38"/>
  <c r="I119" i="38"/>
  <c r="D125" i="38"/>
  <c r="K126" i="38"/>
  <c r="D133" i="38"/>
  <c r="K138" i="38"/>
  <c r="K144" i="38"/>
  <c r="D146" i="38"/>
  <c r="C147" i="38"/>
  <c r="K148" i="38"/>
  <c r="D150" i="38"/>
  <c r="J150" i="38"/>
  <c r="D151" i="38"/>
  <c r="C160" i="38"/>
  <c r="J163" i="38"/>
  <c r="C167" i="38"/>
  <c r="I167" i="38"/>
  <c r="I168" i="38"/>
  <c r="C168" i="38"/>
  <c r="D126" i="38"/>
  <c r="J127" i="38"/>
  <c r="J131" i="38"/>
  <c r="C135" i="38"/>
  <c r="I135" i="38"/>
  <c r="C137" i="38"/>
  <c r="D142" i="38"/>
  <c r="I144" i="38"/>
  <c r="J151" i="38"/>
  <c r="I152" i="38"/>
  <c r="C152" i="38"/>
  <c r="K153" i="38"/>
  <c r="I156" i="38"/>
  <c r="J158" i="38"/>
  <c r="D159" i="38"/>
  <c r="D162" i="38"/>
  <c r="I132" i="38"/>
  <c r="D138" i="38"/>
  <c r="J139" i="38"/>
  <c r="C143" i="38"/>
  <c r="K146" i="38"/>
  <c r="I148" i="38"/>
  <c r="D154" i="38"/>
  <c r="J155" i="38"/>
  <c r="C159" i="38"/>
  <c r="K162" i="38"/>
  <c r="I164" i="38"/>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G60" i="6"/>
  <c r="G29" i="6"/>
  <c r="J99" i="13"/>
  <c r="E102" i="13"/>
  <c r="E67" i="11"/>
  <c r="G67" i="11"/>
  <c r="I67" i="11"/>
  <c r="M107" i="13"/>
  <c r="M103" i="13"/>
  <c r="M105" i="13"/>
  <c r="M106" i="13"/>
  <c r="M104" i="13"/>
  <c r="O105" i="13"/>
  <c r="O103" i="13"/>
  <c r="O104" i="13"/>
  <c r="O107" i="13"/>
  <c r="O106" i="13"/>
  <c r="O108" i="13"/>
  <c r="M109" i="13"/>
  <c r="M108" i="13"/>
  <c r="O109" i="13"/>
  <c r="I98" i="20"/>
  <c r="E101" i="20"/>
  <c r="G27" i="2"/>
  <c r="L27" i="2"/>
  <c r="O26" i="20"/>
  <c r="G90" i="6"/>
  <c r="G30" i="6"/>
  <c r="G31" i="6"/>
  <c r="G119" i="2"/>
  <c r="L119" i="2"/>
  <c r="I45" i="30"/>
  <c r="J19" i="8"/>
  <c r="I51" i="30"/>
  <c r="E50" i="30"/>
  <c r="E23" i="11"/>
  <c r="G23" i="11"/>
  <c r="L234" i="2"/>
  <c r="L236" i="2"/>
  <c r="L238" i="2"/>
  <c r="G22" i="48"/>
  <c r="E66" i="41"/>
  <c r="H29" i="41"/>
  <c r="E20" i="48"/>
  <c r="G160" i="2"/>
  <c r="E71" i="30"/>
  <c r="E31" i="11"/>
  <c r="M31" i="11"/>
  <c r="E27" i="30"/>
  <c r="E20" i="11"/>
  <c r="G20" i="11"/>
  <c r="E75" i="30"/>
  <c r="E34" i="11"/>
  <c r="M34" i="11"/>
  <c r="E107" i="30"/>
  <c r="E40" i="11"/>
  <c r="M40" i="11"/>
  <c r="E110" i="30"/>
  <c r="E41" i="11"/>
  <c r="M41" i="11"/>
  <c r="E100" i="30"/>
  <c r="E38" i="11"/>
  <c r="K38" i="11"/>
  <c r="E65" i="30"/>
  <c r="E28" i="11"/>
  <c r="I28" i="11"/>
  <c r="E83" i="30"/>
  <c r="E36" i="11"/>
  <c r="K36" i="11"/>
  <c r="E63" i="30"/>
  <c r="E27" i="11"/>
  <c r="I27" i="11"/>
  <c r="E103" i="30"/>
  <c r="E39" i="11"/>
  <c r="M39" i="11"/>
  <c r="E93" i="30"/>
  <c r="E37" i="11"/>
  <c r="K37" i="11"/>
  <c r="E61" i="30"/>
  <c r="E26" i="11"/>
  <c r="I26" i="11"/>
  <c r="E79" i="30"/>
  <c r="E35" i="11"/>
  <c r="K35" i="11"/>
  <c r="E33" i="30"/>
  <c r="E21" i="11"/>
  <c r="G21" i="11"/>
  <c r="G29" i="38"/>
  <c r="G50" i="39"/>
  <c r="G52" i="38"/>
  <c r="G103" i="38"/>
  <c r="G36" i="38"/>
  <c r="G28" i="38"/>
  <c r="G152" i="38"/>
  <c r="G46" i="38"/>
  <c r="G62" i="38"/>
  <c r="G44" i="38"/>
  <c r="G116" i="38"/>
  <c r="G59" i="38"/>
  <c r="G114" i="38"/>
  <c r="G49" i="39"/>
  <c r="G139" i="38"/>
  <c r="G86" i="38"/>
  <c r="G33" i="38"/>
  <c r="G30" i="38"/>
  <c r="G154" i="38"/>
  <c r="G173" i="38"/>
  <c r="G80" i="38"/>
  <c r="G102" i="39"/>
  <c r="G180" i="38"/>
  <c r="G19" i="38"/>
  <c r="A28" i="48"/>
  <c r="A37" i="48"/>
  <c r="A39" i="48"/>
  <c r="A41" i="48"/>
  <c r="B43" i="48"/>
  <c r="G54" i="38"/>
  <c r="G29" i="39"/>
  <c r="G131" i="38"/>
  <c r="G54" i="39"/>
  <c r="G168" i="38"/>
  <c r="J110" i="39"/>
  <c r="G45" i="39"/>
  <c r="G71" i="39"/>
  <c r="G87" i="38"/>
  <c r="G82" i="39"/>
  <c r="G41" i="38"/>
  <c r="G119" i="38"/>
  <c r="G146" i="38"/>
  <c r="G60" i="38"/>
  <c r="G56" i="39"/>
  <c r="G58" i="39"/>
  <c r="G85" i="39"/>
  <c r="G32" i="39"/>
  <c r="G128" i="38"/>
  <c r="G38" i="38"/>
  <c r="G19" i="39"/>
  <c r="G89" i="38"/>
  <c r="G97" i="38"/>
  <c r="G158" i="38"/>
  <c r="G155" i="38"/>
  <c r="G86" i="39"/>
  <c r="G65" i="38"/>
  <c r="G121" i="38"/>
  <c r="G95" i="38"/>
  <c r="G99" i="38"/>
  <c r="G97" i="39"/>
  <c r="G101" i="39"/>
  <c r="G60" i="39"/>
  <c r="G51" i="38"/>
  <c r="G72" i="39"/>
  <c r="G79" i="38"/>
  <c r="C184" i="38"/>
  <c r="G105" i="38"/>
  <c r="G132" i="38"/>
  <c r="G56" i="38"/>
  <c r="G83" i="38"/>
  <c r="G138" i="38"/>
  <c r="G157" i="38"/>
  <c r="G135" i="38"/>
  <c r="G130" i="38"/>
  <c r="G136" i="38"/>
  <c r="G160" i="38"/>
  <c r="G26" i="39"/>
  <c r="K110" i="39"/>
  <c r="G163" i="38"/>
  <c r="G149" i="38"/>
  <c r="G67" i="39"/>
  <c r="G23" i="39"/>
  <c r="A3" i="7"/>
  <c r="G53" i="39"/>
  <c r="G117" i="38"/>
  <c r="G64" i="39"/>
  <c r="G66" i="39"/>
  <c r="G147" i="38"/>
  <c r="G153" i="38"/>
  <c r="G102" i="38"/>
  <c r="G33" i="39"/>
  <c r="G42" i="38"/>
  <c r="G67" i="38"/>
  <c r="G94" i="38"/>
  <c r="G111" i="38"/>
  <c r="G96" i="39"/>
  <c r="G100" i="39"/>
  <c r="G167" i="38"/>
  <c r="G91" i="38"/>
  <c r="G118" i="38"/>
  <c r="G44" i="39"/>
  <c r="G65" i="39"/>
  <c r="G87" i="39"/>
  <c r="G141" i="38"/>
  <c r="G91" i="39"/>
  <c r="G59" i="39"/>
  <c r="G84" i="39"/>
  <c r="G171" i="38"/>
  <c r="J197" i="38"/>
  <c r="G76" i="38"/>
  <c r="G83" i="39"/>
  <c r="K197" i="38"/>
  <c r="G99" i="39"/>
  <c r="O33" i="21"/>
  <c r="G209" i="2"/>
  <c r="G49" i="38"/>
  <c r="C197" i="38"/>
  <c r="G62" i="39"/>
  <c r="G48" i="38"/>
  <c r="G50" i="38"/>
  <c r="G58" i="38"/>
  <c r="G81" i="38"/>
  <c r="G174" i="38"/>
  <c r="G35" i="39"/>
  <c r="G79" i="39"/>
  <c r="D110" i="39"/>
  <c r="E23" i="38"/>
  <c r="G46" i="39"/>
  <c r="G104" i="39"/>
  <c r="A181" i="38"/>
  <c r="G120" i="38"/>
  <c r="G47" i="39"/>
  <c r="G31" i="39"/>
  <c r="G194" i="38"/>
  <c r="G89" i="39"/>
  <c r="G105" i="39"/>
  <c r="G20" i="38"/>
  <c r="G92" i="38"/>
  <c r="G90" i="39"/>
  <c r="G144" i="38"/>
  <c r="G42" i="39"/>
  <c r="G77" i="39"/>
  <c r="G106" i="38"/>
  <c r="J184" i="38"/>
  <c r="G37" i="38"/>
  <c r="I197" i="38"/>
  <c r="G22" i="39"/>
  <c r="G24" i="39"/>
  <c r="G38" i="39"/>
  <c r="G63" i="39"/>
  <c r="G73" i="39"/>
  <c r="G78" i="39"/>
  <c r="G106" i="39"/>
  <c r="C103" i="41"/>
  <c r="C105" i="41"/>
  <c r="J72" i="38"/>
  <c r="E94" i="41"/>
  <c r="G124" i="38"/>
  <c r="G113" i="38"/>
  <c r="G27" i="39"/>
  <c r="G82" i="38"/>
  <c r="G140" i="38"/>
  <c r="G145" i="38"/>
  <c r="G156" i="38"/>
  <c r="G43" i="39"/>
  <c r="G40" i="38"/>
  <c r="G64" i="38"/>
  <c r="G57" i="39"/>
  <c r="G17" i="38"/>
  <c r="I50" i="30"/>
  <c r="G151" i="38"/>
  <c r="G133" i="38"/>
  <c r="F71" i="38"/>
  <c r="G78" i="38"/>
  <c r="G134" i="38"/>
  <c r="G162" i="38"/>
  <c r="G20" i="39"/>
  <c r="G25" i="39"/>
  <c r="G52" i="39"/>
  <c r="G95" i="39"/>
  <c r="E22" i="20"/>
  <c r="E22" i="13"/>
  <c r="I109" i="39"/>
  <c r="C110" i="39"/>
  <c r="G107" i="38"/>
  <c r="F80" i="35"/>
  <c r="G108" i="2"/>
  <c r="L108" i="2"/>
  <c r="G159" i="38"/>
  <c r="G77" i="38"/>
  <c r="G104" i="38"/>
  <c r="G61" i="38"/>
  <c r="G172" i="38"/>
  <c r="G70" i="39"/>
  <c r="G17" i="39"/>
  <c r="S22" i="21"/>
  <c r="G127" i="38"/>
  <c r="G169" i="38"/>
  <c r="G21" i="38"/>
  <c r="F101" i="20"/>
  <c r="D102" i="20"/>
  <c r="E102" i="20"/>
  <c r="G96" i="38"/>
  <c r="G164" i="38"/>
  <c r="G115" i="38"/>
  <c r="D197" i="38"/>
  <c r="G81" i="39"/>
  <c r="G98" i="39"/>
  <c r="D95" i="41"/>
  <c r="E95" i="41"/>
  <c r="G39" i="38"/>
  <c r="G148" i="38"/>
  <c r="G66" i="38"/>
  <c r="G90" i="38"/>
  <c r="G92" i="39"/>
  <c r="I110" i="39"/>
  <c r="E100" i="41"/>
  <c r="G112" i="38"/>
  <c r="G69" i="39"/>
  <c r="G88" i="39"/>
  <c r="G48" i="39"/>
  <c r="G129" i="38"/>
  <c r="G93" i="38"/>
  <c r="G35" i="38"/>
  <c r="F23" i="38"/>
  <c r="K72" i="38"/>
  <c r="G45" i="38"/>
  <c r="F177" i="38"/>
  <c r="F183" i="38"/>
  <c r="G51" i="39"/>
  <c r="J71" i="38"/>
  <c r="C47" i="13"/>
  <c r="C72" i="38"/>
  <c r="G101" i="38"/>
  <c r="G63" i="38"/>
  <c r="G39" i="39"/>
  <c r="G110" i="38"/>
  <c r="F109" i="39"/>
  <c r="G103" i="39"/>
  <c r="E108" i="2"/>
  <c r="A84" i="35"/>
  <c r="G68" i="39"/>
  <c r="G40" i="39"/>
  <c r="G21" i="39"/>
  <c r="F32" i="10"/>
  <c r="F340" i="2"/>
  <c r="G189" i="2"/>
  <c r="G193" i="2"/>
  <c r="G199" i="2"/>
  <c r="G57" i="38"/>
  <c r="G36" i="39"/>
  <c r="N90" i="13"/>
  <c r="O21" i="13"/>
  <c r="G122" i="38"/>
  <c r="G31" i="38"/>
  <c r="C47" i="20"/>
  <c r="G195" i="38"/>
  <c r="A186" i="38"/>
  <c r="A188" i="38"/>
  <c r="A190" i="38"/>
  <c r="A192" i="38"/>
  <c r="A193" i="38"/>
  <c r="A194" i="38"/>
  <c r="A195" i="38"/>
  <c r="A196" i="38"/>
  <c r="A197" i="38"/>
  <c r="D52" i="5"/>
  <c r="M90" i="13"/>
  <c r="N21" i="13"/>
  <c r="G137" i="38"/>
  <c r="K71" i="38"/>
  <c r="G166" i="38"/>
  <c r="G108" i="38"/>
  <c r="G80" i="39"/>
  <c r="G74" i="39"/>
  <c r="G100" i="38"/>
  <c r="D184" i="38"/>
  <c r="G126" i="38"/>
  <c r="G18" i="39"/>
  <c r="G30" i="39"/>
  <c r="G61" i="39"/>
  <c r="G94" i="39"/>
  <c r="N88" i="20"/>
  <c r="G109" i="38"/>
  <c r="G34" i="38"/>
  <c r="I44" i="30"/>
  <c r="C109" i="39"/>
  <c r="E177" i="38"/>
  <c r="E183" i="38"/>
  <c r="E109" i="39"/>
  <c r="D35" i="5"/>
  <c r="E106" i="2"/>
  <c r="G143" i="38"/>
  <c r="G98" i="38"/>
  <c r="G55" i="38"/>
  <c r="G123" i="38"/>
  <c r="G37" i="39"/>
  <c r="G76" i="39"/>
  <c r="G41" i="39"/>
  <c r="G43" i="38"/>
  <c r="K184" i="38"/>
  <c r="G170" i="38"/>
  <c r="G181" i="38"/>
  <c r="G28" i="39"/>
  <c r="G55" i="39"/>
  <c r="G107" i="39"/>
  <c r="S17" i="21"/>
  <c r="D101" i="41"/>
  <c r="D103" i="41"/>
  <c r="D105" i="41"/>
  <c r="P143" i="13"/>
  <c r="P155" i="13"/>
  <c r="P145" i="13"/>
  <c r="P112" i="13"/>
  <c r="P110" i="13"/>
  <c r="I49" i="5"/>
  <c r="I51" i="5"/>
  <c r="G103" i="2"/>
  <c r="P133" i="13"/>
  <c r="P107" i="13"/>
  <c r="P140" i="13"/>
  <c r="P128" i="13"/>
  <c r="P150" i="13"/>
  <c r="P157" i="13"/>
  <c r="N89" i="20"/>
  <c r="P160" i="13"/>
  <c r="P156" i="13"/>
  <c r="P152" i="13"/>
  <c r="P148" i="13"/>
  <c r="P146" i="13"/>
  <c r="P142" i="13"/>
  <c r="P138" i="13"/>
  <c r="P136" i="13"/>
  <c r="P134" i="13"/>
  <c r="P132" i="13"/>
  <c r="P130" i="13"/>
  <c r="P124" i="13"/>
  <c r="J15" i="8"/>
  <c r="I17" i="6"/>
  <c r="G114" i="2"/>
  <c r="D74" i="41"/>
  <c r="F73" i="41"/>
  <c r="M54" i="11"/>
  <c r="P106" i="13"/>
  <c r="G10" i="41"/>
  <c r="G14" i="41"/>
  <c r="G18" i="41"/>
  <c r="K37" i="48"/>
  <c r="J43" i="48"/>
  <c r="P127" i="13"/>
  <c r="J47" i="48"/>
  <c r="P120" i="13"/>
  <c r="P118" i="13"/>
  <c r="P114" i="13"/>
  <c r="P159" i="13"/>
  <c r="P151" i="13"/>
  <c r="P147" i="13"/>
  <c r="P141" i="13"/>
  <c r="P139" i="13"/>
  <c r="P137" i="13"/>
  <c r="P135" i="13"/>
  <c r="P131" i="13"/>
  <c r="P129" i="13"/>
  <c r="P125" i="13"/>
  <c r="P123" i="13"/>
  <c r="P115" i="13"/>
  <c r="P113" i="13"/>
  <c r="P111" i="13"/>
  <c r="P108" i="13"/>
  <c r="F85" i="35"/>
  <c r="F87" i="35"/>
  <c r="G110" i="2"/>
  <c r="G43" i="48"/>
  <c r="P158" i="13"/>
  <c r="P154" i="13"/>
  <c r="E183" i="2"/>
  <c r="E185" i="2"/>
  <c r="A48" i="11"/>
  <c r="E184" i="2"/>
  <c r="E181" i="2"/>
  <c r="A44" i="9"/>
  <c r="A45" i="9"/>
  <c r="A46" i="9"/>
  <c r="A47" i="9"/>
  <c r="A48" i="9"/>
  <c r="A49" i="9"/>
  <c r="A50" i="9"/>
  <c r="A51" i="9"/>
  <c r="A52" i="9"/>
  <c r="A53" i="9"/>
  <c r="A54" i="9"/>
  <c r="A55" i="9"/>
  <c r="A56" i="9"/>
  <c r="A57" i="9"/>
  <c r="A58" i="9"/>
  <c r="A59" i="9"/>
  <c r="A61" i="9"/>
  <c r="E161" i="2"/>
  <c r="E249" i="2"/>
  <c r="E251" i="2"/>
  <c r="E250" i="2"/>
  <c r="A29" i="41"/>
  <c r="A30" i="41"/>
  <c r="A31" i="41"/>
  <c r="A32" i="41"/>
  <c r="A33" i="41"/>
  <c r="A34" i="41"/>
  <c r="A35" i="41"/>
  <c r="A36" i="41"/>
  <c r="A37" i="41"/>
  <c r="A38" i="41"/>
  <c r="A39" i="41"/>
  <c r="A40" i="41"/>
  <c r="A41" i="41"/>
  <c r="A42" i="41"/>
  <c r="E248" i="2"/>
  <c r="K177" i="38"/>
  <c r="K183" i="38"/>
  <c r="H43" i="48"/>
  <c r="M91" i="13"/>
  <c r="E70" i="2"/>
  <c r="E74" i="2"/>
  <c r="E72" i="2"/>
  <c r="E71" i="2"/>
  <c r="E67" i="2"/>
  <c r="E66" i="2"/>
  <c r="A29" i="35"/>
  <c r="A30" i="35"/>
  <c r="A31" i="35"/>
  <c r="A32" i="35"/>
  <c r="A33" i="35"/>
  <c r="A34" i="35"/>
  <c r="A35" i="35"/>
  <c r="A36" i="35"/>
  <c r="A37" i="35"/>
  <c r="A38" i="35"/>
  <c r="A39" i="35"/>
  <c r="A40" i="35"/>
  <c r="A41" i="35"/>
  <c r="A42" i="35"/>
  <c r="E73" i="2"/>
  <c r="E25" i="30"/>
  <c r="C177" i="38"/>
  <c r="C183" i="38"/>
  <c r="E146" i="2"/>
  <c r="J177" i="38"/>
  <c r="J183" i="38"/>
  <c r="G84" i="38"/>
  <c r="D177" i="38"/>
  <c r="D183" i="38"/>
  <c r="D109" i="39"/>
  <c r="G34" i="39"/>
  <c r="K109" i="39"/>
  <c r="A23" i="7"/>
  <c r="B23" i="7"/>
  <c r="G43" i="11"/>
  <c r="G183" i="2"/>
  <c r="B20" i="2"/>
  <c r="B27" i="2"/>
  <c r="B29" i="2"/>
  <c r="B30" i="2"/>
  <c r="A20" i="5"/>
  <c r="A23" i="5"/>
  <c r="A25" i="5"/>
  <c r="D20" i="5"/>
  <c r="D72" i="38"/>
  <c r="D71" i="38"/>
  <c r="C71" i="38"/>
  <c r="I177" i="38"/>
  <c r="I183" i="38"/>
  <c r="G150" i="38"/>
  <c r="G75" i="39"/>
  <c r="F48" i="13"/>
  <c r="P161" i="13"/>
  <c r="P153" i="13"/>
  <c r="P149" i="13"/>
  <c r="P144" i="13"/>
  <c r="P126" i="13"/>
  <c r="P122" i="13"/>
  <c r="P116" i="13"/>
  <c r="G53" i="38"/>
  <c r="G68" i="38"/>
  <c r="E71" i="38"/>
  <c r="G93" i="39"/>
  <c r="I184" i="38"/>
  <c r="I71" i="38"/>
  <c r="G88" i="38"/>
  <c r="J109" i="39"/>
  <c r="N91" i="13"/>
  <c r="G125" i="38"/>
  <c r="G47" i="38"/>
  <c r="P109" i="13"/>
  <c r="P105" i="13"/>
  <c r="G165" i="38"/>
  <c r="C89" i="41"/>
  <c r="E88" i="41"/>
  <c r="F102" i="13"/>
  <c r="G32" i="38"/>
  <c r="P121" i="13"/>
  <c r="P119" i="13"/>
  <c r="P117" i="13"/>
  <c r="P102" i="13"/>
  <c r="S27" i="21"/>
  <c r="I72" i="38"/>
  <c r="G85" i="38"/>
  <c r="G161" i="38"/>
  <c r="H47" i="48"/>
  <c r="G145" i="2"/>
  <c r="G22" i="41"/>
  <c r="G21" i="41"/>
  <c r="L237" i="2"/>
  <c r="H237" i="2"/>
  <c r="F239" i="2"/>
  <c r="I43" i="48"/>
  <c r="I47" i="48"/>
  <c r="K41" i="48"/>
  <c r="K45" i="48"/>
  <c r="D47" i="48"/>
  <c r="L173" i="2"/>
  <c r="G177" i="2"/>
  <c r="H32" i="41"/>
  <c r="I18" i="5"/>
  <c r="K43" i="11"/>
  <c r="G185" i="2"/>
  <c r="E15" i="30"/>
  <c r="F113" i="30"/>
  <c r="I43" i="11"/>
  <c r="G181" i="2"/>
  <c r="P104" i="13"/>
  <c r="J21" i="8"/>
  <c r="K27" i="8"/>
  <c r="K31" i="8"/>
  <c r="G15" i="2"/>
  <c r="L15" i="2"/>
  <c r="G239" i="2"/>
  <c r="H235" i="2"/>
  <c r="E65" i="41"/>
  <c r="E76" i="41"/>
  <c r="C74" i="41"/>
  <c r="E50" i="41"/>
  <c r="C28" i="48"/>
  <c r="G24" i="48"/>
  <c r="G47" i="48"/>
  <c r="G153" i="2"/>
  <c r="F47" i="48"/>
  <c r="F43" i="48"/>
  <c r="P103" i="13"/>
  <c r="J17" i="8"/>
  <c r="I27" i="8"/>
  <c r="I31" i="8"/>
  <c r="G11" i="41"/>
  <c r="L248" i="2"/>
  <c r="L251" i="2"/>
  <c r="G13" i="41"/>
  <c r="G207" i="2"/>
  <c r="C21" i="7"/>
  <c r="C23" i="7"/>
  <c r="G123" i="2"/>
  <c r="L123" i="2"/>
  <c r="G184" i="38"/>
  <c r="G23" i="41"/>
  <c r="H42" i="41"/>
  <c r="G255" i="2"/>
  <c r="E153" i="2"/>
  <c r="G201" i="2"/>
  <c r="G200" i="2"/>
  <c r="P21" i="13"/>
  <c r="G197" i="38"/>
  <c r="G110" i="39"/>
  <c r="G23" i="38"/>
  <c r="E103" i="41"/>
  <c r="L246" i="2"/>
  <c r="F102" i="20"/>
  <c r="D103" i="20"/>
  <c r="E103" i="20"/>
  <c r="F103" i="20"/>
  <c r="D104" i="20"/>
  <c r="L200" i="2"/>
  <c r="F38" i="20"/>
  <c r="L201" i="2"/>
  <c r="F39" i="20"/>
  <c r="S33" i="21"/>
  <c r="L209" i="2"/>
  <c r="G72" i="38"/>
  <c r="O90" i="13"/>
  <c r="G177" i="38"/>
  <c r="G183" i="38"/>
  <c r="N92" i="13"/>
  <c r="G71" i="38"/>
  <c r="G109" i="39"/>
  <c r="N90" i="20"/>
  <c r="A43" i="48"/>
  <c r="A45" i="48"/>
  <c r="E155" i="2"/>
  <c r="E154" i="2"/>
  <c r="D104" i="41"/>
  <c r="E101" i="41"/>
  <c r="O22" i="13"/>
  <c r="O23" i="13"/>
  <c r="O91" i="13"/>
  <c r="H239" i="2"/>
  <c r="K43" i="48"/>
  <c r="A26" i="5"/>
  <c r="A27" i="5"/>
  <c r="A28" i="5"/>
  <c r="A31" i="5"/>
  <c r="A33" i="5"/>
  <c r="E31" i="2"/>
  <c r="B31" i="2"/>
  <c r="B33" i="2"/>
  <c r="B34" i="2"/>
  <c r="D33" i="2"/>
  <c r="A49" i="35"/>
  <c r="A50" i="35"/>
  <c r="A51" i="35"/>
  <c r="A52" i="35"/>
  <c r="A53" i="35"/>
  <c r="A54" i="35"/>
  <c r="A55" i="35"/>
  <c r="A56" i="35"/>
  <c r="A57" i="35"/>
  <c r="A58" i="35"/>
  <c r="A59" i="35"/>
  <c r="A60" i="35"/>
  <c r="A61" i="35"/>
  <c r="A62" i="35"/>
  <c r="E81" i="2"/>
  <c r="E80" i="2"/>
  <c r="E86" i="2"/>
  <c r="E79" i="2"/>
  <c r="E78" i="2"/>
  <c r="E85" i="2"/>
  <c r="E82" i="2"/>
  <c r="E84" i="2"/>
  <c r="E83" i="2"/>
  <c r="A64" i="9"/>
  <c r="A65" i="9"/>
  <c r="A66" i="9"/>
  <c r="E162" i="2"/>
  <c r="A50" i="11"/>
  <c r="A51" i="11"/>
  <c r="C104" i="41"/>
  <c r="E89" i="41"/>
  <c r="M92" i="13"/>
  <c r="N22" i="13"/>
  <c r="N23" i="13"/>
  <c r="L252" i="2"/>
  <c r="G257" i="2"/>
  <c r="D103" i="13"/>
  <c r="G102" i="13"/>
  <c r="A48" i="41"/>
  <c r="A49" i="41"/>
  <c r="K47" i="48"/>
  <c r="L207" i="2"/>
  <c r="J27" i="8"/>
  <c r="J31" i="8"/>
  <c r="D26" i="48"/>
  <c r="E26" i="48"/>
  <c r="H26" i="48"/>
  <c r="I26" i="48"/>
  <c r="D27" i="48"/>
  <c r="E27" i="48"/>
  <c r="H27" i="48"/>
  <c r="I27" i="48"/>
  <c r="D22" i="48"/>
  <c r="E22" i="48"/>
  <c r="H22" i="48"/>
  <c r="D24" i="48"/>
  <c r="E24" i="48"/>
  <c r="D25" i="48"/>
  <c r="E25" i="48"/>
  <c r="H25" i="48"/>
  <c r="I25" i="48"/>
  <c r="D23" i="48"/>
  <c r="E23" i="48"/>
  <c r="E17" i="11"/>
  <c r="E113" i="30"/>
  <c r="G258" i="2"/>
  <c r="E77" i="41"/>
  <c r="E79" i="41"/>
  <c r="E80" i="41"/>
  <c r="E51" i="41"/>
  <c r="E56" i="41"/>
  <c r="E58" i="41"/>
  <c r="J255" i="2"/>
  <c r="A67" i="9"/>
  <c r="A68" i="9"/>
  <c r="A69" i="9"/>
  <c r="A71" i="9"/>
  <c r="E163" i="2"/>
  <c r="B47" i="48"/>
  <c r="E38" i="13"/>
  <c r="A47" i="48"/>
  <c r="C21" i="48"/>
  <c r="E105" i="41"/>
  <c r="O92" i="13"/>
  <c r="E39" i="13"/>
  <c r="E104" i="41"/>
  <c r="P22" i="13"/>
  <c r="P23" i="13"/>
  <c r="C51" i="11"/>
  <c r="A52" i="11"/>
  <c r="A53" i="11"/>
  <c r="D227" i="2"/>
  <c r="D228" i="2"/>
  <c r="A34" i="5"/>
  <c r="A35" i="5"/>
  <c r="A36" i="5"/>
  <c r="A39" i="5"/>
  <c r="A41" i="5"/>
  <c r="A50" i="41"/>
  <c r="A51" i="41"/>
  <c r="A52" i="41"/>
  <c r="A53" i="41"/>
  <c r="A54" i="41"/>
  <c r="A55" i="41"/>
  <c r="A56" i="41"/>
  <c r="E103" i="13"/>
  <c r="F103" i="13"/>
  <c r="C70" i="20"/>
  <c r="B36" i="2"/>
  <c r="B37" i="2"/>
  <c r="D36" i="2"/>
  <c r="C70" i="13"/>
  <c r="D28" i="5"/>
  <c r="G164" i="2"/>
  <c r="H24" i="48"/>
  <c r="I24" i="48"/>
  <c r="I22" i="48"/>
  <c r="E104" i="20"/>
  <c r="F104" i="20"/>
  <c r="D105" i="20"/>
  <c r="E43" i="11"/>
  <c r="M17" i="11"/>
  <c r="M43" i="11"/>
  <c r="G184" i="2"/>
  <c r="H256" i="2"/>
  <c r="D22" i="13"/>
  <c r="F22" i="13"/>
  <c r="H257" i="2"/>
  <c r="I257" i="2"/>
  <c r="H255" i="2"/>
  <c r="D21" i="13"/>
  <c r="L245" i="2"/>
  <c r="C53" i="11"/>
  <c r="G103" i="13"/>
  <c r="D104" i="13"/>
  <c r="E104" i="13"/>
  <c r="F104" i="13"/>
  <c r="B39" i="2"/>
  <c r="B42" i="2"/>
  <c r="B44" i="2"/>
  <c r="B24" i="2"/>
  <c r="B58" i="41"/>
  <c r="A58" i="41"/>
  <c r="E245" i="2"/>
  <c r="A42" i="5"/>
  <c r="A43" i="5"/>
  <c r="A44" i="5"/>
  <c r="A47" i="5"/>
  <c r="A49" i="5"/>
  <c r="B56" i="41"/>
  <c r="D36" i="5"/>
  <c r="A54" i="11"/>
  <c r="A55" i="11"/>
  <c r="E105" i="20"/>
  <c r="L184" i="2"/>
  <c r="G186" i="2"/>
  <c r="E21" i="20"/>
  <c r="E21" i="13"/>
  <c r="I256" i="2"/>
  <c r="L256" i="2"/>
  <c r="D22" i="20"/>
  <c r="F22" i="20"/>
  <c r="D21" i="20"/>
  <c r="F21" i="20"/>
  <c r="F21" i="13"/>
  <c r="I255" i="2"/>
  <c r="L255" i="2"/>
  <c r="D23" i="13"/>
  <c r="F23" i="13"/>
  <c r="L257" i="2"/>
  <c r="D23" i="20"/>
  <c r="F23" i="20"/>
  <c r="C55" i="11"/>
  <c r="A50" i="5"/>
  <c r="A51" i="5"/>
  <c r="A52" i="5"/>
  <c r="D44" i="5"/>
  <c r="B45" i="2"/>
  <c r="A56" i="11"/>
  <c r="C56" i="11"/>
  <c r="A61" i="41"/>
  <c r="D255" i="2"/>
  <c r="D105" i="13"/>
  <c r="G104" i="13"/>
  <c r="F105" i="20"/>
  <c r="D106" i="20"/>
  <c r="F24" i="13"/>
  <c r="E29" i="13"/>
  <c r="L258" i="2"/>
  <c r="G190" i="2"/>
  <c r="F35" i="20"/>
  <c r="F24" i="20"/>
  <c r="F29" i="20"/>
  <c r="D51" i="5"/>
  <c r="C57" i="11"/>
  <c r="A57" i="11"/>
  <c r="A64" i="41"/>
  <c r="D63" i="41"/>
  <c r="B46" i="2"/>
  <c r="D303" i="2"/>
  <c r="E106" i="20"/>
  <c r="F106" i="20"/>
  <c r="D107" i="20"/>
  <c r="E105" i="13"/>
  <c r="G211" i="2"/>
  <c r="L211" i="2"/>
  <c r="E35" i="13"/>
  <c r="A58" i="11"/>
  <c r="C58" i="11"/>
  <c r="B48" i="2"/>
  <c r="B66" i="2"/>
  <c r="E48" i="2"/>
  <c r="A65" i="41"/>
  <c r="A66" i="41"/>
  <c r="A67" i="41"/>
  <c r="A68" i="41"/>
  <c r="A69" i="41"/>
  <c r="A70" i="41"/>
  <c r="A71" i="41"/>
  <c r="A72" i="41"/>
  <c r="A73" i="41"/>
  <c r="A74" i="41"/>
  <c r="E107" i="20"/>
  <c r="F107" i="20"/>
  <c r="D108" i="20"/>
  <c r="F105" i="13"/>
  <c r="B76" i="41"/>
  <c r="A76" i="41"/>
  <c r="B50" i="41"/>
  <c r="B67" i="2"/>
  <c r="B68" i="2"/>
  <c r="C59" i="11"/>
  <c r="A59" i="11"/>
  <c r="A61" i="11"/>
  <c r="E108" i="20"/>
  <c r="F108" i="20"/>
  <c r="D109" i="20"/>
  <c r="D106" i="13"/>
  <c r="G105" i="13"/>
  <c r="A62" i="11"/>
  <c r="C62" i="11"/>
  <c r="B69" i="2"/>
  <c r="B70" i="2"/>
  <c r="E226" i="2"/>
  <c r="C75" i="13"/>
  <c r="C75" i="20"/>
  <c r="A77" i="41"/>
  <c r="A78" i="41"/>
  <c r="A79" i="41"/>
  <c r="A80" i="41"/>
  <c r="E109" i="20"/>
  <c r="F109" i="20"/>
  <c r="D110" i="20"/>
  <c r="E106" i="13"/>
  <c r="F106" i="13"/>
  <c r="D107" i="13"/>
  <c r="B80" i="41"/>
  <c r="G106" i="13"/>
  <c r="B71" i="2"/>
  <c r="B72" i="2"/>
  <c r="A85" i="41"/>
  <c r="B51" i="41"/>
  <c r="A63" i="11"/>
  <c r="A64" i="11"/>
  <c r="C72" i="11"/>
  <c r="E110" i="20"/>
  <c r="F110" i="20"/>
  <c r="D111" i="20"/>
  <c r="E107" i="13"/>
  <c r="F107" i="13"/>
  <c r="D108" i="13"/>
  <c r="C64" i="11"/>
  <c r="G107" i="13"/>
  <c r="A86" i="41"/>
  <c r="A65" i="11"/>
  <c r="A66" i="11"/>
  <c r="B73" i="2"/>
  <c r="B74" i="2"/>
  <c r="E111" i="20"/>
  <c r="F111" i="20"/>
  <c r="D112" i="20"/>
  <c r="E108" i="13"/>
  <c r="F108" i="13"/>
  <c r="D109" i="13"/>
  <c r="C66" i="11"/>
  <c r="G108" i="13"/>
  <c r="C67" i="11"/>
  <c r="A67" i="11"/>
  <c r="A87" i="41"/>
  <c r="A88" i="41"/>
  <c r="B75" i="2"/>
  <c r="B77" i="2"/>
  <c r="B78" i="2"/>
  <c r="E75" i="2"/>
  <c r="E109" i="13"/>
  <c r="F109" i="13"/>
  <c r="D110" i="13"/>
  <c r="E112" i="20"/>
  <c r="F112" i="20"/>
  <c r="B79" i="2"/>
  <c r="B80" i="2"/>
  <c r="A89" i="41"/>
  <c r="B89" i="41"/>
  <c r="B88" i="41"/>
  <c r="G109" i="13"/>
  <c r="C68" i="11"/>
  <c r="A68" i="11"/>
  <c r="E110" i="13"/>
  <c r="F110" i="13"/>
  <c r="D113" i="20"/>
  <c r="E90" i="2"/>
  <c r="B81" i="2"/>
  <c r="B82" i="2"/>
  <c r="A69" i="11"/>
  <c r="C69" i="11"/>
  <c r="A91" i="41"/>
  <c r="D111" i="13"/>
  <c r="G110" i="13"/>
  <c r="E113" i="20"/>
  <c r="F113" i="20"/>
  <c r="D114" i="20"/>
  <c r="E91" i="2"/>
  <c r="A92" i="41"/>
  <c r="A70" i="11"/>
  <c r="A72" i="11"/>
  <c r="A73" i="11"/>
  <c r="A74" i="11"/>
  <c r="C70" i="11"/>
  <c r="B83" i="2"/>
  <c r="B84" i="2"/>
  <c r="E114" i="20"/>
  <c r="F114" i="20"/>
  <c r="D115" i="20"/>
  <c r="E111" i="13"/>
  <c r="F111" i="13"/>
  <c r="D112" i="13"/>
  <c r="B85" i="2"/>
  <c r="B86" i="2"/>
  <c r="A75" i="11"/>
  <c r="A76" i="11"/>
  <c r="E92" i="2"/>
  <c r="A93" i="41"/>
  <c r="A94" i="41"/>
  <c r="E112" i="13"/>
  <c r="F112" i="13"/>
  <c r="E115" i="20"/>
  <c r="F115" i="20"/>
  <c r="G111" i="13"/>
  <c r="C76" i="11"/>
  <c r="E93" i="2"/>
  <c r="A95" i="41"/>
  <c r="B95" i="41"/>
  <c r="B87" i="2"/>
  <c r="B89" i="2"/>
  <c r="B90" i="2"/>
  <c r="E94" i="2"/>
  <c r="E87" i="2"/>
  <c r="B94" i="41"/>
  <c r="A77" i="11"/>
  <c r="A78" i="11"/>
  <c r="C79" i="11"/>
  <c r="C77" i="11"/>
  <c r="D116" i="20"/>
  <c r="D113" i="13"/>
  <c r="G112" i="13"/>
  <c r="B91" i="2"/>
  <c r="A79" i="11"/>
  <c r="C78" i="11"/>
  <c r="A97" i="41"/>
  <c r="E116" i="20"/>
  <c r="F116" i="20"/>
  <c r="E113" i="13"/>
  <c r="F113" i="13"/>
  <c r="D114" i="13"/>
  <c r="D117" i="20"/>
  <c r="E117" i="20"/>
  <c r="F117" i="20"/>
  <c r="C80" i="11"/>
  <c r="A80" i="11"/>
  <c r="B92" i="2"/>
  <c r="B93" i="2"/>
  <c r="B94" i="2"/>
  <c r="C64" i="13"/>
  <c r="C64" i="20"/>
  <c r="A98" i="41"/>
  <c r="E114" i="13"/>
  <c r="F114" i="13"/>
  <c r="G113" i="13"/>
  <c r="B95" i="2"/>
  <c r="E95" i="2"/>
  <c r="A99" i="41"/>
  <c r="A100" i="41"/>
  <c r="D118" i="20"/>
  <c r="D115" i="13"/>
  <c r="G114" i="13"/>
  <c r="B98" i="2"/>
  <c r="B99" i="2"/>
  <c r="C48" i="11"/>
  <c r="A101" i="41"/>
  <c r="B103" i="41"/>
  <c r="B101" i="41"/>
  <c r="B100" i="41"/>
  <c r="E115" i="13"/>
  <c r="F115" i="13"/>
  <c r="E118" i="20"/>
  <c r="F118" i="20"/>
  <c r="A103" i="41"/>
  <c r="B104" i="41"/>
  <c r="B100" i="2"/>
  <c r="B101" i="2"/>
  <c r="B102" i="2"/>
  <c r="B103" i="2"/>
  <c r="B104" i="2"/>
  <c r="D116" i="13"/>
  <c r="G115" i="13"/>
  <c r="D119" i="20"/>
  <c r="A104" i="41"/>
  <c r="E246" i="2"/>
  <c r="B106" i="2"/>
  <c r="B108" i="2"/>
  <c r="B110" i="2"/>
  <c r="B112" i="2"/>
  <c r="B113" i="2"/>
  <c r="E104" i="2"/>
  <c r="E119" i="20"/>
  <c r="F119" i="20"/>
  <c r="E116" i="13"/>
  <c r="F116" i="13"/>
  <c r="B114" i="2"/>
  <c r="B115" i="2"/>
  <c r="B116" i="2"/>
  <c r="B117" i="2"/>
  <c r="B118" i="2"/>
  <c r="B119" i="2"/>
  <c r="B120" i="2"/>
  <c r="B121" i="2"/>
  <c r="B105" i="41"/>
  <c r="A105" i="41"/>
  <c r="D117" i="13"/>
  <c r="G116" i="13"/>
  <c r="D120" i="20"/>
  <c r="E121" i="2"/>
  <c r="B123" i="2"/>
  <c r="D125" i="2"/>
  <c r="E120" i="20"/>
  <c r="F120" i="20"/>
  <c r="E117" i="13"/>
  <c r="F117" i="13"/>
  <c r="D118" i="13"/>
  <c r="E118" i="13"/>
  <c r="F118" i="13"/>
  <c r="G117" i="13"/>
  <c r="D121" i="20"/>
  <c r="E121" i="20"/>
  <c r="F121" i="20"/>
  <c r="D299" i="2"/>
  <c r="B125" i="2"/>
  <c r="D122" i="20"/>
  <c r="E122" i="20"/>
  <c r="F122" i="20"/>
  <c r="C28" i="20"/>
  <c r="B140" i="2"/>
  <c r="C28" i="13"/>
  <c r="D119" i="13"/>
  <c r="G118" i="13"/>
  <c r="B141" i="2"/>
  <c r="B142" i="2"/>
  <c r="B143" i="2"/>
  <c r="B144" i="2"/>
  <c r="E145" i="2"/>
  <c r="D123" i="20"/>
  <c r="E119" i="13"/>
  <c r="F119" i="13"/>
  <c r="B145" i="2"/>
  <c r="B146" i="2"/>
  <c r="D120" i="13"/>
  <c r="G119" i="13"/>
  <c r="E123" i="20"/>
  <c r="F123" i="20"/>
  <c r="D124" i="20"/>
  <c r="E44" i="2"/>
  <c r="D294" i="2"/>
  <c r="B147" i="2"/>
  <c r="B148" i="2"/>
  <c r="E124" i="20"/>
  <c r="F124" i="20"/>
  <c r="E120" i="13"/>
  <c r="F120" i="13"/>
  <c r="D121" i="13"/>
  <c r="B149" i="2"/>
  <c r="D296" i="2"/>
  <c r="E149" i="2"/>
  <c r="D125" i="20"/>
  <c r="G120" i="13"/>
  <c r="E121" i="13"/>
  <c r="F121" i="13"/>
  <c r="D293" i="2"/>
  <c r="B151" i="2"/>
  <c r="E113" i="2"/>
  <c r="D122" i="13"/>
  <c r="G121" i="13"/>
  <c r="E125" i="20"/>
  <c r="F125" i="20"/>
  <c r="D126" i="20"/>
  <c r="E126" i="20"/>
  <c r="F126" i="20"/>
  <c r="B152" i="2"/>
  <c r="E122" i="13"/>
  <c r="F122" i="13"/>
  <c r="B153" i="2"/>
  <c r="B154" i="2"/>
  <c r="B155" i="2"/>
  <c r="B156" i="2"/>
  <c r="B157" i="2"/>
  <c r="B158" i="2"/>
  <c r="B159" i="2"/>
  <c r="E160" i="2"/>
  <c r="D123" i="13"/>
  <c r="G122" i="13"/>
  <c r="D127" i="20"/>
  <c r="E159" i="2"/>
  <c r="B160" i="2"/>
  <c r="B161" i="2"/>
  <c r="B162" i="2"/>
  <c r="B163" i="2"/>
  <c r="B164" i="2"/>
  <c r="B165" i="2"/>
  <c r="E127" i="20"/>
  <c r="F127" i="20"/>
  <c r="E123" i="13"/>
  <c r="F123" i="13"/>
  <c r="E165" i="2"/>
  <c r="D128" i="20"/>
  <c r="E128" i="20"/>
  <c r="F128" i="20"/>
  <c r="B167" i="2"/>
  <c r="D297" i="2"/>
  <c r="E167" i="2"/>
  <c r="D124" i="13"/>
  <c r="G123" i="13"/>
  <c r="B168" i="2"/>
  <c r="D129" i="20"/>
  <c r="E124" i="13"/>
  <c r="F124" i="13"/>
  <c r="C48" i="13"/>
  <c r="B169" i="2"/>
  <c r="C48" i="20"/>
  <c r="E30" i="2"/>
  <c r="D310" i="2"/>
  <c r="D312" i="2"/>
  <c r="D307" i="2"/>
  <c r="E169" i="2"/>
  <c r="D125" i="13"/>
  <c r="G124" i="13"/>
  <c r="E129" i="20"/>
  <c r="F129" i="20"/>
  <c r="B171" i="2"/>
  <c r="B172" i="2"/>
  <c r="D130" i="20"/>
  <c r="E125" i="13"/>
  <c r="F125" i="13"/>
  <c r="B173" i="2"/>
  <c r="B174" i="2"/>
  <c r="D126" i="13"/>
  <c r="G125" i="13"/>
  <c r="E130" i="20"/>
  <c r="F130" i="20"/>
  <c r="C76" i="20"/>
  <c r="B175" i="2"/>
  <c r="B176" i="2"/>
  <c r="B177" i="2"/>
  <c r="C76" i="13"/>
  <c r="C59" i="13"/>
  <c r="C59" i="20"/>
  <c r="E34" i="2"/>
  <c r="D131" i="20"/>
  <c r="E126" i="13"/>
  <c r="F126" i="13"/>
  <c r="E177" i="2"/>
  <c r="B179" i="2"/>
  <c r="B180" i="2"/>
  <c r="B181" i="2"/>
  <c r="D127" i="13"/>
  <c r="G126" i="13"/>
  <c r="E131" i="20"/>
  <c r="F131" i="20"/>
  <c r="B182" i="2"/>
  <c r="B183" i="2"/>
  <c r="B184" i="2"/>
  <c r="B185" i="2"/>
  <c r="B186" i="2"/>
  <c r="D132" i="20"/>
  <c r="E127" i="13"/>
  <c r="F127" i="13"/>
  <c r="E186" i="2"/>
  <c r="B188" i="2"/>
  <c r="B189" i="2"/>
  <c r="D128" i="13"/>
  <c r="G127" i="13"/>
  <c r="E132" i="20"/>
  <c r="F132" i="20"/>
  <c r="B190" i="2"/>
  <c r="D193" i="2"/>
  <c r="D133" i="20"/>
  <c r="E128" i="13"/>
  <c r="F128" i="13"/>
  <c r="D129" i="13"/>
  <c r="B191" i="2"/>
  <c r="B192" i="2"/>
  <c r="B193" i="2"/>
  <c r="C35" i="20"/>
  <c r="C35" i="13"/>
  <c r="E129" i="13"/>
  <c r="F129" i="13"/>
  <c r="G128" i="13"/>
  <c r="E133" i="20"/>
  <c r="F133" i="20"/>
  <c r="D134" i="20"/>
  <c r="B194" i="2"/>
  <c r="D130" i="13"/>
  <c r="G129" i="13"/>
  <c r="E134" i="20"/>
  <c r="F134" i="20"/>
  <c r="B195" i="2"/>
  <c r="D338" i="2"/>
  <c r="E199" i="2"/>
  <c r="D135" i="20"/>
  <c r="E130" i="13"/>
  <c r="F130" i="13"/>
  <c r="D131" i="13"/>
  <c r="B196" i="2"/>
  <c r="E200" i="2"/>
  <c r="E131" i="13"/>
  <c r="F131" i="13"/>
  <c r="G130" i="13"/>
  <c r="E135" i="20"/>
  <c r="F135" i="20"/>
  <c r="D136" i="20"/>
  <c r="B198" i="2"/>
  <c r="E201" i="2"/>
  <c r="D132" i="13"/>
  <c r="G131" i="13"/>
  <c r="E136" i="20"/>
  <c r="F136" i="20"/>
  <c r="D137" i="20"/>
  <c r="B199" i="2"/>
  <c r="B200" i="2"/>
  <c r="B201" i="2"/>
  <c r="B203" i="2"/>
  <c r="E137" i="20"/>
  <c r="F137" i="20"/>
  <c r="E132" i="13"/>
  <c r="F132" i="13"/>
  <c r="D138" i="20"/>
  <c r="E138" i="20"/>
  <c r="F138" i="20"/>
  <c r="C50" i="20"/>
  <c r="C50" i="13"/>
  <c r="B205" i="2"/>
  <c r="E203" i="2"/>
  <c r="D133" i="13"/>
  <c r="G132" i="13"/>
  <c r="C49" i="20"/>
  <c r="C49" i="13"/>
  <c r="B207" i="2"/>
  <c r="E198" i="2"/>
  <c r="E37" i="2"/>
  <c r="D139" i="20"/>
  <c r="E133" i="13"/>
  <c r="F133" i="13"/>
  <c r="B209" i="2"/>
  <c r="D301" i="2"/>
  <c r="D134" i="13"/>
  <c r="G133" i="13"/>
  <c r="E139" i="20"/>
  <c r="F139" i="20"/>
  <c r="D140" i="20"/>
  <c r="D211" i="2"/>
  <c r="B211" i="2"/>
  <c r="B213" i="2"/>
  <c r="E140" i="20"/>
  <c r="F140" i="20"/>
  <c r="E134" i="13"/>
  <c r="F134" i="13"/>
  <c r="D214" i="2"/>
  <c r="E13" i="2"/>
  <c r="B226" i="2"/>
  <c r="D135" i="13"/>
  <c r="G134" i="13"/>
  <c r="D141" i="20"/>
  <c r="B227" i="2"/>
  <c r="B228" i="2"/>
  <c r="B229" i="2"/>
  <c r="E141" i="20"/>
  <c r="F141" i="20"/>
  <c r="D142" i="20"/>
  <c r="E135" i="13"/>
  <c r="F135" i="13"/>
  <c r="E229" i="2"/>
  <c r="E231" i="2"/>
  <c r="B231" i="2"/>
  <c r="B233" i="2"/>
  <c r="B234" i="2"/>
  <c r="E68" i="2"/>
  <c r="D136" i="13"/>
  <c r="G135" i="13"/>
  <c r="E142" i="20"/>
  <c r="F142" i="20"/>
  <c r="D143" i="20"/>
  <c r="B235" i="2"/>
  <c r="B236" i="2"/>
  <c r="B237" i="2"/>
  <c r="B238" i="2"/>
  <c r="B239" i="2"/>
  <c r="B241" i="2"/>
  <c r="B244" i="2"/>
  <c r="B245" i="2"/>
  <c r="E143" i="20"/>
  <c r="F143" i="20"/>
  <c r="D144" i="20"/>
  <c r="E136" i="13"/>
  <c r="F136" i="13"/>
  <c r="B246" i="2"/>
  <c r="B247" i="2"/>
  <c r="B248" i="2"/>
  <c r="E239" i="2"/>
  <c r="D137" i="13"/>
  <c r="G136" i="13"/>
  <c r="E144" i="20"/>
  <c r="F144" i="20"/>
  <c r="B249" i="2"/>
  <c r="D145" i="20"/>
  <c r="E137" i="13"/>
  <c r="F137" i="13"/>
  <c r="D138" i="13"/>
  <c r="D256" i="2"/>
  <c r="B250" i="2"/>
  <c r="E138" i="13"/>
  <c r="F138" i="13"/>
  <c r="G137" i="13"/>
  <c r="E145" i="20"/>
  <c r="F145" i="20"/>
  <c r="B251" i="2"/>
  <c r="B252" i="2"/>
  <c r="D146" i="20"/>
  <c r="D139" i="13"/>
  <c r="G138" i="13"/>
  <c r="E252" i="2"/>
  <c r="B254" i="2"/>
  <c r="B255" i="2"/>
  <c r="D257" i="2"/>
  <c r="E139" i="13"/>
  <c r="F139" i="13"/>
  <c r="D140" i="13"/>
  <c r="E146" i="20"/>
  <c r="F146" i="20"/>
  <c r="D147" i="20"/>
  <c r="B256" i="2"/>
  <c r="B257" i="2"/>
  <c r="C19" i="20"/>
  <c r="D359" i="2"/>
  <c r="E147" i="20"/>
  <c r="F147" i="20"/>
  <c r="D148" i="20"/>
  <c r="E140" i="13"/>
  <c r="F140" i="13"/>
  <c r="D141" i="13"/>
  <c r="G139" i="13"/>
  <c r="D350" i="2"/>
  <c r="D258" i="2"/>
  <c r="G140" i="13"/>
  <c r="C16" i="13"/>
  <c r="C16" i="20"/>
  <c r="B258" i="2"/>
  <c r="C19" i="13"/>
  <c r="E141" i="13"/>
  <c r="F141" i="13"/>
  <c r="E148" i="20"/>
  <c r="F148" i="20"/>
  <c r="D149" i="20"/>
  <c r="B260" i="2"/>
  <c r="B77" i="41"/>
  <c r="E205" i="2"/>
  <c r="D191" i="2"/>
  <c r="D142" i="13"/>
  <c r="G141" i="13"/>
  <c r="E149" i="20"/>
  <c r="F149" i="20"/>
  <c r="D150" i="20"/>
  <c r="E142" i="13"/>
  <c r="F142" i="13"/>
  <c r="D143" i="13"/>
  <c r="E150" i="20"/>
  <c r="F150" i="20"/>
  <c r="D151" i="20"/>
  <c r="E143" i="13"/>
  <c r="F143" i="13"/>
  <c r="D144" i="13"/>
  <c r="G143" i="13"/>
  <c r="E151" i="20"/>
  <c r="F151" i="20"/>
  <c r="D152" i="20"/>
  <c r="E144" i="13"/>
  <c r="F144" i="13"/>
  <c r="D145" i="13"/>
  <c r="E145" i="13"/>
  <c r="F145" i="13"/>
  <c r="G144" i="13"/>
  <c r="E152" i="20"/>
  <c r="F152" i="20"/>
  <c r="D153" i="20"/>
  <c r="D146" i="13"/>
  <c r="G145" i="13"/>
  <c r="E146" i="13"/>
  <c r="F146" i="13"/>
  <c r="D147" i="13"/>
  <c r="E153" i="20"/>
  <c r="F153" i="20"/>
  <c r="D154" i="20"/>
  <c r="E154" i="20"/>
  <c r="F154" i="20"/>
  <c r="E147" i="13"/>
  <c r="F147" i="13"/>
  <c r="G146" i="13"/>
  <c r="D148" i="13"/>
  <c r="E148" i="13"/>
  <c r="G147" i="13"/>
  <c r="D155" i="20"/>
  <c r="E155" i="20"/>
  <c r="F155" i="20"/>
  <c r="F148" i="13"/>
  <c r="D149" i="13"/>
  <c r="E149" i="13"/>
  <c r="F149" i="13"/>
  <c r="D150" i="13"/>
  <c r="D156" i="20"/>
  <c r="G148" i="13"/>
  <c r="E150" i="13"/>
  <c r="F150" i="13"/>
  <c r="D151" i="13"/>
  <c r="G149" i="13"/>
  <c r="E156" i="20"/>
  <c r="F156" i="20"/>
  <c r="G150" i="13"/>
  <c r="D157" i="20"/>
  <c r="E151" i="13"/>
  <c r="F151" i="13"/>
  <c r="D152" i="13"/>
  <c r="G151" i="13"/>
  <c r="E152" i="13"/>
  <c r="F152" i="13"/>
  <c r="E157" i="20"/>
  <c r="F157" i="20"/>
  <c r="D158" i="20"/>
  <c r="D153" i="13"/>
  <c r="G152" i="13"/>
  <c r="E158" i="20"/>
  <c r="F158" i="20"/>
  <c r="D159" i="20"/>
  <c r="E153" i="13"/>
  <c r="F153" i="13"/>
  <c r="D154" i="13"/>
  <c r="E154" i="13"/>
  <c r="F154" i="13"/>
  <c r="D155" i="13"/>
  <c r="G153" i="13"/>
  <c r="E159" i="20"/>
  <c r="F159" i="20"/>
  <c r="D160" i="20"/>
  <c r="E155" i="13"/>
  <c r="F155" i="13"/>
  <c r="E160" i="20"/>
  <c r="E161" i="20"/>
  <c r="G154" i="13"/>
  <c r="F160" i="20"/>
  <c r="D156" i="13"/>
  <c r="E156" i="13"/>
  <c r="F156" i="13"/>
  <c r="D157" i="13"/>
  <c r="G155" i="13"/>
  <c r="G156" i="13"/>
  <c r="E157" i="13"/>
  <c r="F157" i="13"/>
  <c r="D158" i="13"/>
  <c r="E158" i="13"/>
  <c r="F158" i="13"/>
  <c r="D159" i="13"/>
  <c r="G157" i="13"/>
  <c r="G158" i="13"/>
  <c r="E159" i="13"/>
  <c r="F159" i="13"/>
  <c r="D160" i="13"/>
  <c r="E160" i="13"/>
  <c r="F160" i="13"/>
  <c r="D161" i="13"/>
  <c r="G159" i="13"/>
  <c r="E161" i="13"/>
  <c r="E162" i="13"/>
  <c r="G160" i="13"/>
  <c r="F161" i="13"/>
  <c r="G161" i="13"/>
  <c r="F23" i="32"/>
  <c r="F17" i="49"/>
  <c r="F23" i="49"/>
  <c r="F24" i="49"/>
  <c r="F24" i="32"/>
  <c r="F25" i="32"/>
  <c r="F25" i="49"/>
  <c r="F26" i="49"/>
  <c r="F26" i="32"/>
  <c r="F27" i="32"/>
  <c r="F27" i="49"/>
  <c r="F28" i="49"/>
  <c r="F28" i="32"/>
  <c r="F29" i="32"/>
  <c r="F29" i="49"/>
  <c r="F30" i="32"/>
  <c r="F30" i="49"/>
  <c r="F31" i="49"/>
  <c r="F31" i="32"/>
  <c r="F32" i="32"/>
  <c r="F32" i="49"/>
  <c r="F33" i="49"/>
  <c r="F33" i="32"/>
  <c r="F34" i="32"/>
  <c r="F34" i="49"/>
  <c r="F41" i="49"/>
  <c r="F38" i="49"/>
  <c r="F38" i="32"/>
  <c r="F41" i="32"/>
  <c r="F42" i="32"/>
  <c r="F43" i="32"/>
  <c r="F42" i="49"/>
  <c r="F43" i="49"/>
  <c r="F44" i="32"/>
  <c r="F45" i="32"/>
  <c r="F44" i="49"/>
  <c r="F46" i="32"/>
  <c r="F45" i="49"/>
  <c r="F47" i="32"/>
  <c r="F46" i="49"/>
  <c r="F47" i="49"/>
  <c r="F48" i="32"/>
  <c r="F49" i="32"/>
  <c r="F48" i="49"/>
  <c r="F49" i="49"/>
  <c r="F50" i="32"/>
  <c r="F51" i="32"/>
  <c r="F50" i="49"/>
  <c r="F51" i="49"/>
  <c r="F52" i="32"/>
  <c r="F52" i="49"/>
  <c r="F69" i="35"/>
  <c r="G106" i="2"/>
  <c r="G42" i="35"/>
  <c r="G82" i="2"/>
  <c r="L82" i="2"/>
  <c r="D62" i="35"/>
  <c r="I23" i="35"/>
  <c r="G72" i="2"/>
  <c r="D42" i="35"/>
  <c r="G79" i="2"/>
  <c r="L79" i="2"/>
  <c r="K23" i="35"/>
  <c r="G74" i="2"/>
  <c r="D23" i="35"/>
  <c r="G67" i="2"/>
  <c r="L67" i="2"/>
  <c r="C62" i="35"/>
  <c r="L228" i="2"/>
  <c r="I42" i="35"/>
  <c r="G84" i="2"/>
  <c r="G23" i="35"/>
  <c r="G70" i="2"/>
  <c r="K42" i="35"/>
  <c r="G86" i="2"/>
  <c r="C23" i="35"/>
  <c r="G66" i="2"/>
  <c r="L66" i="2"/>
  <c r="E23" i="35"/>
  <c r="G68" i="2"/>
  <c r="L70" i="2"/>
  <c r="L92" i="2"/>
  <c r="G92" i="2"/>
  <c r="C42" i="35"/>
  <c r="G78" i="2"/>
  <c r="G94" i="2"/>
  <c r="G93" i="2"/>
  <c r="E42" i="35"/>
  <c r="I48" i="11"/>
  <c r="K48" i="11"/>
  <c r="G75" i="2"/>
  <c r="L226" i="2"/>
  <c r="L229" i="2"/>
  <c r="L68" i="2"/>
  <c r="L78" i="2"/>
  <c r="L90" i="2"/>
  <c r="I51" i="11"/>
  <c r="I53" i="11"/>
  <c r="I55" i="11"/>
  <c r="I62" i="11"/>
  <c r="I64" i="11"/>
  <c r="I66" i="11"/>
  <c r="D64" i="35"/>
  <c r="L80" i="2"/>
  <c r="G80" i="2"/>
  <c r="G91" i="2"/>
  <c r="G90" i="2"/>
  <c r="K62" i="11"/>
  <c r="K64" i="11"/>
  <c r="K66" i="11"/>
  <c r="K51" i="11"/>
  <c r="K53" i="11"/>
  <c r="K55" i="11"/>
  <c r="K57" i="11"/>
  <c r="K58" i="11"/>
  <c r="G48" i="11"/>
  <c r="G62" i="11"/>
  <c r="G64" i="11"/>
  <c r="G66" i="11"/>
  <c r="I72" i="11"/>
  <c r="I74" i="11"/>
  <c r="I76" i="11"/>
  <c r="L231" i="2"/>
  <c r="J114" i="2"/>
  <c r="L114" i="2"/>
  <c r="J80" i="2"/>
  <c r="J174" i="2"/>
  <c r="L174" i="2"/>
  <c r="K72" i="11"/>
  <c r="K74" i="11"/>
  <c r="K76" i="11"/>
  <c r="K78" i="11"/>
  <c r="K79" i="11"/>
  <c r="H75" i="13"/>
  <c r="G75" i="20"/>
  <c r="J76" i="2"/>
  <c r="I68" i="11"/>
  <c r="I69" i="11"/>
  <c r="G68" i="11"/>
  <c r="E68" i="11"/>
  <c r="K68" i="11"/>
  <c r="K69" i="11"/>
  <c r="G95" i="2"/>
  <c r="E48" i="11"/>
  <c r="G87" i="2"/>
  <c r="G51" i="11"/>
  <c r="G53" i="11"/>
  <c r="G55" i="11"/>
  <c r="J235" i="2"/>
  <c r="L235" i="2"/>
  <c r="L239" i="2"/>
  <c r="L241" i="2"/>
  <c r="J164" i="2"/>
  <c r="L164" i="2"/>
  <c r="J162" i="2"/>
  <c r="J149" i="2"/>
  <c r="J81" i="2"/>
  <c r="L81" i="2"/>
  <c r="J69" i="2"/>
  <c r="L69" i="2"/>
  <c r="J161" i="2"/>
  <c r="G72" i="11"/>
  <c r="G74" i="11"/>
  <c r="G76" i="11"/>
  <c r="G69" i="11"/>
  <c r="M48" i="11"/>
  <c r="E62" i="11"/>
  <c r="E51" i="11"/>
  <c r="E72" i="11"/>
  <c r="M68" i="11"/>
  <c r="G76" i="20"/>
  <c r="G77" i="20"/>
  <c r="G78" i="20"/>
  <c r="G79" i="20"/>
  <c r="D97" i="20"/>
  <c r="G59" i="20"/>
  <c r="H76" i="13"/>
  <c r="H77" i="13"/>
  <c r="H78" i="13"/>
  <c r="H79" i="13"/>
  <c r="D98" i="13"/>
  <c r="F59" i="13"/>
  <c r="L91" i="2"/>
  <c r="J74" i="2"/>
  <c r="L74" i="2"/>
  <c r="J176" i="2"/>
  <c r="L176" i="2"/>
  <c r="J175" i="2"/>
  <c r="L175" i="2"/>
  <c r="L177" i="2"/>
  <c r="J115" i="2"/>
  <c r="L115" i="2"/>
  <c r="J84" i="2"/>
  <c r="L84" i="2"/>
  <c r="J117" i="2"/>
  <c r="J85" i="2"/>
  <c r="L85" i="2"/>
  <c r="J72" i="2"/>
  <c r="L72" i="2"/>
  <c r="J159" i="2"/>
  <c r="J73" i="2"/>
  <c r="L73" i="2"/>
  <c r="J181" i="2"/>
  <c r="L181" i="2"/>
  <c r="J110" i="2"/>
  <c r="L110" i="2"/>
  <c r="J86" i="2"/>
  <c r="L86" i="2"/>
  <c r="G64" i="20"/>
  <c r="F64" i="13"/>
  <c r="E53" i="11"/>
  <c r="M51" i="11"/>
  <c r="M62" i="11"/>
  <c r="E64" i="11"/>
  <c r="E74" i="11"/>
  <c r="M72" i="11"/>
  <c r="L75" i="2"/>
  <c r="J75" i="2"/>
  <c r="L87" i="2"/>
  <c r="L94" i="2"/>
  <c r="L93" i="2"/>
  <c r="L95" i="2"/>
  <c r="J95" i="2"/>
  <c r="E55" i="11"/>
  <c r="M53" i="11"/>
  <c r="J160" i="2"/>
  <c r="L160" i="2"/>
  <c r="J118" i="2"/>
  <c r="J199" i="2"/>
  <c r="L199" i="2"/>
  <c r="J185" i="2"/>
  <c r="L185" i="2"/>
  <c r="J116" i="2"/>
  <c r="L116" i="2"/>
  <c r="M74" i="11"/>
  <c r="E76" i="11"/>
  <c r="E66" i="11"/>
  <c r="E69" i="11"/>
  <c r="M69" i="11"/>
  <c r="M64" i="11"/>
  <c r="E70" i="11"/>
  <c r="G70" i="11"/>
  <c r="I70" i="11"/>
  <c r="E77" i="11"/>
  <c r="E78" i="11"/>
  <c r="E79" i="11"/>
  <c r="I77" i="11"/>
  <c r="I78" i="11"/>
  <c r="I79" i="11"/>
  <c r="G77" i="11"/>
  <c r="G78" i="11"/>
  <c r="G79" i="11"/>
  <c r="F37" i="20"/>
  <c r="E37" i="13"/>
  <c r="E56" i="11"/>
  <c r="E57" i="11"/>
  <c r="I56" i="11"/>
  <c r="I57" i="11"/>
  <c r="I58" i="11"/>
  <c r="G56" i="11"/>
  <c r="G57" i="11"/>
  <c r="G58" i="11"/>
  <c r="M57" i="11"/>
  <c r="E58" i="11"/>
  <c r="M58" i="11"/>
  <c r="E59" i="11"/>
  <c r="M79" i="11"/>
  <c r="I80" i="11"/>
  <c r="I59" i="11"/>
  <c r="G59" i="11"/>
  <c r="H28" i="30"/>
  <c r="I28" i="30"/>
  <c r="I27" i="30"/>
  <c r="E80" i="11"/>
  <c r="G80" i="11"/>
  <c r="H34" i="30"/>
  <c r="I34" i="30"/>
  <c r="I33" i="30"/>
  <c r="I25" i="30"/>
  <c r="L183" i="2"/>
  <c r="L186" i="2"/>
  <c r="D21" i="9"/>
  <c r="G148" i="2"/>
  <c r="D41" i="9"/>
  <c r="G156" i="2"/>
  <c r="D71" i="9"/>
  <c r="G158" i="2"/>
  <c r="D61" i="9"/>
  <c r="G157" i="2"/>
  <c r="L45" i="2"/>
  <c r="L46" i="2"/>
  <c r="F41" i="9"/>
  <c r="G161" i="2"/>
  <c r="L161" i="2"/>
  <c r="D33" i="9"/>
  <c r="G146" i="2"/>
  <c r="L44" i="2"/>
  <c r="L48" i="2"/>
  <c r="G159" i="2"/>
  <c r="G149" i="2"/>
  <c r="F71" i="9"/>
  <c r="G163" i="2"/>
  <c r="L163" i="2"/>
  <c r="F61" i="9"/>
  <c r="G162" i="2"/>
  <c r="L162" i="2"/>
  <c r="L159" i="2"/>
  <c r="E71" i="9"/>
  <c r="G165" i="2"/>
  <c r="G167" i="2"/>
  <c r="G169" i="2"/>
  <c r="L165" i="2"/>
  <c r="E41" i="9"/>
  <c r="E61" i="9"/>
  <c r="G113" i="2"/>
  <c r="L149" i="2"/>
  <c r="L113" i="2"/>
  <c r="L167" i="2"/>
  <c r="L169" i="2"/>
  <c r="I52" i="5"/>
  <c r="L103" i="2"/>
  <c r="I42" i="5"/>
  <c r="I34" i="5"/>
  <c r="I26" i="5"/>
  <c r="I41" i="5"/>
  <c r="G102" i="2"/>
  <c r="G44" i="5"/>
  <c r="I33" i="5"/>
  <c r="G101" i="2"/>
  <c r="I25" i="5"/>
  <c r="G100" i="2"/>
  <c r="G28" i="5"/>
  <c r="G36" i="5"/>
  <c r="E36" i="5"/>
  <c r="I35" i="5"/>
  <c r="I36" i="5"/>
  <c r="L101" i="2"/>
  <c r="I43" i="5"/>
  <c r="I44" i="5"/>
  <c r="L102" i="2"/>
  <c r="E44" i="5"/>
  <c r="I17" i="5"/>
  <c r="G20" i="5"/>
  <c r="G99" i="2"/>
  <c r="G104" i="2"/>
  <c r="E20" i="5"/>
  <c r="I19" i="5"/>
  <c r="I20" i="5"/>
  <c r="L99" i="2"/>
  <c r="I27" i="5"/>
  <c r="I28" i="5"/>
  <c r="L100" i="2"/>
  <c r="L104" i="2"/>
  <c r="E28" i="5"/>
  <c r="J74" i="6"/>
  <c r="J85" i="6"/>
  <c r="K85" i="6"/>
  <c r="E85" i="6"/>
  <c r="J56" i="6"/>
  <c r="K56" i="6"/>
  <c r="E56" i="6"/>
  <c r="J45" i="6"/>
  <c r="K74" i="6"/>
  <c r="E74" i="6"/>
  <c r="J90" i="6"/>
  <c r="J30" i="6"/>
  <c r="K45" i="6"/>
  <c r="E45" i="6"/>
  <c r="J60" i="6"/>
  <c r="J29" i="6"/>
  <c r="E86" i="6"/>
  <c r="E57" i="6"/>
  <c r="E81" i="6"/>
  <c r="E52" i="6"/>
  <c r="J31" i="6"/>
  <c r="G117" i="2"/>
  <c r="L117" i="2"/>
  <c r="E55" i="6"/>
  <c r="E84" i="6"/>
  <c r="I53" i="6"/>
  <c r="K53" i="6"/>
  <c r="E53" i="6"/>
  <c r="I82" i="6"/>
  <c r="K82" i="6"/>
  <c r="E82" i="6"/>
  <c r="E54" i="6"/>
  <c r="E83" i="6"/>
  <c r="E50" i="6"/>
  <c r="E79" i="6"/>
  <c r="E46" i="6"/>
  <c r="E75" i="6"/>
  <c r="E48" i="6"/>
  <c r="E77" i="6"/>
  <c r="E47" i="6"/>
  <c r="E76" i="6"/>
  <c r="E51" i="6"/>
  <c r="E80" i="6"/>
  <c r="E49" i="6"/>
  <c r="E78" i="6"/>
  <c r="E44" i="6"/>
  <c r="E73" i="6"/>
  <c r="E43" i="6"/>
  <c r="E72" i="6"/>
  <c r="E42" i="6"/>
  <c r="E71" i="6"/>
  <c r="E41" i="6"/>
  <c r="E70" i="6"/>
  <c r="E40" i="6"/>
  <c r="E69" i="6"/>
  <c r="I68" i="6"/>
  <c r="D90" i="6"/>
  <c r="D30" i="6"/>
  <c r="I39" i="6"/>
  <c r="D60" i="6"/>
  <c r="D29" i="6"/>
  <c r="K39" i="6"/>
  <c r="I60" i="6"/>
  <c r="I29" i="6"/>
  <c r="D31" i="6"/>
  <c r="K68" i="6"/>
  <c r="I90" i="6"/>
  <c r="I30" i="6"/>
  <c r="I31" i="6"/>
  <c r="G118" i="2"/>
  <c r="L118" i="2"/>
  <c r="K90" i="6"/>
  <c r="K30" i="6"/>
  <c r="E68" i="6"/>
  <c r="E90" i="6"/>
  <c r="E30" i="6"/>
  <c r="K60" i="6"/>
  <c r="K29" i="6"/>
  <c r="E39" i="6"/>
  <c r="E60" i="6"/>
  <c r="E29" i="6"/>
  <c r="E31" i="6"/>
  <c r="G120" i="2"/>
  <c r="K31" i="6"/>
  <c r="L120" i="2"/>
  <c r="L121" i="2"/>
  <c r="L125" i="2"/>
  <c r="G121" i="2"/>
  <c r="G125" i="2"/>
  <c r="G205" i="2"/>
  <c r="G198" i="2"/>
  <c r="G203" i="2"/>
  <c r="G213" i="2"/>
  <c r="F28" i="20"/>
  <c r="F30" i="20"/>
  <c r="L205" i="2"/>
  <c r="E28" i="13"/>
  <c r="E30" i="13"/>
  <c r="E34" i="13"/>
  <c r="E36" i="13"/>
  <c r="E40" i="13"/>
  <c r="F57" i="13"/>
  <c r="F56" i="13"/>
  <c r="G49" i="20"/>
  <c r="F49" i="13"/>
  <c r="L198" i="2"/>
  <c r="L203" i="2"/>
  <c r="G56" i="20"/>
  <c r="F34" i="20"/>
  <c r="F36" i="20"/>
  <c r="F40" i="20"/>
  <c r="G57" i="20"/>
  <c r="L213" i="2"/>
  <c r="L13" i="2"/>
  <c r="G50" i="20"/>
  <c r="F50" i="13"/>
  <c r="L30" i="2"/>
  <c r="L31" i="2"/>
  <c r="L20" i="2"/>
  <c r="G47" i="20"/>
  <c r="G51" i="20"/>
  <c r="G55" i="20"/>
  <c r="G58" i="20"/>
  <c r="L34" i="2"/>
  <c r="F47" i="13"/>
  <c r="F51" i="13"/>
  <c r="F55" i="13"/>
  <c r="F58" i="13"/>
  <c r="L37" i="2"/>
  <c r="F70" i="13"/>
  <c r="J97" i="13"/>
  <c r="G70" i="20"/>
  <c r="I96" i="20"/>
  <c r="G65" i="20"/>
  <c r="G66" i="20"/>
  <c r="G60" i="20"/>
  <c r="G68" i="20"/>
  <c r="G69" i="20"/>
  <c r="G71" i="20"/>
  <c r="F60" i="13"/>
  <c r="F68" i="13"/>
  <c r="F69" i="13"/>
  <c r="F71" i="13"/>
  <c r="F65" i="13"/>
  <c r="F66" i="13"/>
  <c r="G135" i="20"/>
  <c r="G150" i="20"/>
  <c r="G138" i="20"/>
  <c r="G104" i="20"/>
  <c r="G109" i="20"/>
  <c r="G113" i="20"/>
  <c r="G102" i="20"/>
  <c r="G143" i="20"/>
  <c r="G105" i="20"/>
  <c r="G155" i="20"/>
  <c r="G152" i="20"/>
  <c r="G107" i="20"/>
  <c r="G131" i="20"/>
  <c r="G141" i="20"/>
  <c r="G122" i="20"/>
  <c r="G132" i="20"/>
  <c r="G129" i="20"/>
  <c r="G125" i="20"/>
  <c r="G139" i="20"/>
  <c r="G110" i="20"/>
  <c r="G124" i="20"/>
  <c r="G133" i="20"/>
  <c r="G108" i="20"/>
  <c r="G149" i="20"/>
  <c r="G118" i="20"/>
  <c r="G154" i="20"/>
  <c r="G119" i="20"/>
  <c r="G130" i="20"/>
  <c r="G144" i="20"/>
  <c r="G115" i="20"/>
  <c r="G158" i="20"/>
  <c r="G136" i="20"/>
  <c r="G112" i="20"/>
  <c r="G111" i="20"/>
  <c r="G145" i="20"/>
  <c r="G103" i="20"/>
  <c r="G140" i="20"/>
  <c r="G146" i="20"/>
  <c r="G121" i="20"/>
  <c r="G157" i="20"/>
  <c r="G101" i="20"/>
  <c r="G159" i="20"/>
  <c r="G153" i="20"/>
  <c r="G106" i="20"/>
  <c r="G134" i="20"/>
  <c r="G116" i="20"/>
  <c r="G160" i="20"/>
  <c r="G148" i="20"/>
  <c r="G151" i="20"/>
  <c r="G156" i="20"/>
  <c r="G114" i="20"/>
  <c r="G147" i="20"/>
  <c r="G137" i="20"/>
  <c r="G123" i="20"/>
  <c r="G127" i="20"/>
  <c r="G126" i="20"/>
  <c r="G128" i="20"/>
  <c r="G120" i="20"/>
  <c r="G117" i="20"/>
  <c r="I97" i="20"/>
  <c r="H135" i="13"/>
  <c r="H127" i="13"/>
  <c r="H134" i="13"/>
  <c r="H142" i="13"/>
  <c r="H143" i="13"/>
  <c r="H107" i="13"/>
  <c r="H141" i="13"/>
  <c r="H119" i="13"/>
  <c r="H159" i="13"/>
  <c r="H155" i="13"/>
  <c r="H131" i="13"/>
  <c r="H111" i="13"/>
  <c r="H144" i="13"/>
  <c r="H123" i="13"/>
  <c r="H150" i="13"/>
  <c r="H103" i="13"/>
  <c r="H152" i="13"/>
  <c r="H104" i="13"/>
  <c r="H124" i="13"/>
  <c r="H156" i="13"/>
  <c r="H149" i="13"/>
  <c r="J98" i="13"/>
  <c r="H120" i="13"/>
  <c r="H108" i="13"/>
  <c r="H136" i="13"/>
  <c r="H130" i="13"/>
  <c r="H138" i="13"/>
  <c r="H151" i="13"/>
  <c r="H145" i="13"/>
  <c r="H146" i="13"/>
  <c r="H126" i="13"/>
  <c r="H147" i="13"/>
  <c r="H109" i="13"/>
  <c r="H125" i="13"/>
  <c r="H117" i="13"/>
  <c r="H113" i="13"/>
  <c r="H128" i="13"/>
  <c r="H139" i="13"/>
  <c r="H133" i="13"/>
  <c r="H102" i="13"/>
  <c r="H158" i="13"/>
  <c r="H129" i="13"/>
  <c r="H153" i="13"/>
  <c r="H132" i="13"/>
  <c r="H114" i="13"/>
  <c r="H137" i="13"/>
  <c r="H122" i="13"/>
  <c r="H106" i="13"/>
  <c r="H161" i="13"/>
  <c r="H105" i="13"/>
  <c r="H140" i="13"/>
  <c r="H121" i="13"/>
  <c r="H115" i="13"/>
  <c r="H157" i="13"/>
  <c r="H116" i="13"/>
  <c r="H118" i="13"/>
  <c r="H110" i="13"/>
  <c r="H160" i="13"/>
  <c r="H148" i="13"/>
  <c r="H154" i="13"/>
  <c r="H112" i="13"/>
  <c r="H162" i="13"/>
  <c r="H141" i="20"/>
  <c r="I141" i="20"/>
  <c r="H127" i="20"/>
  <c r="I127" i="20"/>
  <c r="H125" i="20"/>
  <c r="I125" i="20"/>
  <c r="H113" i="20"/>
  <c r="I113" i="20"/>
  <c r="H146" i="20"/>
  <c r="I146" i="20"/>
  <c r="H150" i="20"/>
  <c r="I150" i="20"/>
  <c r="H149" i="20"/>
  <c r="I149" i="20"/>
  <c r="H107" i="20"/>
  <c r="I107" i="20"/>
  <c r="H128" i="20"/>
  <c r="I128" i="20"/>
  <c r="H120" i="20"/>
  <c r="I120" i="20"/>
  <c r="H151" i="20"/>
  <c r="I151" i="20"/>
  <c r="H115" i="20"/>
  <c r="I115" i="20"/>
  <c r="H118" i="20"/>
  <c r="I118" i="20"/>
  <c r="H102" i="20"/>
  <c r="I102" i="20"/>
  <c r="H117" i="20"/>
  <c r="I117" i="20"/>
  <c r="H110" i="20"/>
  <c r="I110" i="20"/>
  <c r="H103" i="20"/>
  <c r="I103" i="20"/>
  <c r="H111" i="20"/>
  <c r="I111" i="20"/>
  <c r="H138" i="20"/>
  <c r="I138" i="20"/>
  <c r="H119" i="20"/>
  <c r="I119" i="20"/>
  <c r="H123" i="20"/>
  <c r="I123" i="20"/>
  <c r="H160" i="20"/>
  <c r="I160" i="20"/>
  <c r="H134" i="20"/>
  <c r="I134" i="20"/>
  <c r="H140" i="20"/>
  <c r="I140" i="20"/>
  <c r="H116" i="20"/>
  <c r="I116" i="20"/>
  <c r="H114" i="20"/>
  <c r="I114" i="20"/>
  <c r="H158" i="20"/>
  <c r="I158" i="20"/>
  <c r="H104" i="20"/>
  <c r="I104" i="20"/>
  <c r="H126" i="20"/>
  <c r="I126" i="20"/>
  <c r="H148" i="20"/>
  <c r="I148" i="20"/>
  <c r="H145" i="20"/>
  <c r="I145" i="20"/>
  <c r="H157" i="20"/>
  <c r="I157" i="20"/>
  <c r="H132" i="20"/>
  <c r="I132" i="20"/>
  <c r="H109" i="20"/>
  <c r="I109" i="20"/>
  <c r="H155" i="20"/>
  <c r="I155" i="20"/>
  <c r="H139" i="20"/>
  <c r="I139" i="20"/>
  <c r="H130" i="20"/>
  <c r="I130" i="20"/>
  <c r="H153" i="20"/>
  <c r="I153" i="20"/>
  <c r="H122" i="20"/>
  <c r="I122" i="20"/>
  <c r="H156" i="20"/>
  <c r="I156" i="20"/>
  <c r="H131" i="20"/>
  <c r="I131" i="20"/>
  <c r="H135" i="20"/>
  <c r="I135" i="20"/>
  <c r="H124" i="20"/>
  <c r="I124" i="20"/>
  <c r="H154" i="20"/>
  <c r="I154" i="20"/>
  <c r="H101" i="20"/>
  <c r="H147" i="20"/>
  <c r="I147" i="20"/>
  <c r="H105" i="20"/>
  <c r="I105" i="20"/>
  <c r="H143" i="20"/>
  <c r="I143" i="20"/>
  <c r="H159" i="20"/>
  <c r="I159" i="20"/>
  <c r="H133" i="20"/>
  <c r="I133" i="20"/>
  <c r="H108" i="20"/>
  <c r="I108" i="20"/>
  <c r="H106" i="20"/>
  <c r="I106" i="20"/>
  <c r="H142" i="20"/>
  <c r="I142" i="20"/>
  <c r="H152" i="20"/>
  <c r="I152" i="20"/>
  <c r="H137" i="20"/>
  <c r="I137" i="20"/>
  <c r="H136" i="20"/>
  <c r="I136" i="20"/>
  <c r="H112" i="20"/>
  <c r="I112" i="20"/>
  <c r="H144" i="20"/>
  <c r="I144" i="20"/>
  <c r="H129" i="20"/>
  <c r="I129" i="20"/>
  <c r="H121" i="20"/>
  <c r="I121" i="20"/>
  <c r="I109" i="13"/>
  <c r="J109" i="13"/>
  <c r="I138" i="13"/>
  <c r="J138" i="13"/>
  <c r="I111" i="13"/>
  <c r="J111" i="13"/>
  <c r="I141" i="13"/>
  <c r="J141" i="13"/>
  <c r="I134" i="13"/>
  <c r="J134" i="13"/>
  <c r="I104" i="13"/>
  <c r="J104" i="13"/>
  <c r="I142" i="13"/>
  <c r="J142" i="13"/>
  <c r="I105" i="13"/>
  <c r="J105" i="13"/>
  <c r="I145" i="13"/>
  <c r="J145" i="13"/>
  <c r="I160" i="13"/>
  <c r="J160" i="13"/>
  <c r="I157" i="13"/>
  <c r="J157" i="13"/>
  <c r="I127" i="13"/>
  <c r="J127" i="13"/>
  <c r="I108" i="13"/>
  <c r="J108" i="13"/>
  <c r="I115" i="13"/>
  <c r="J115" i="13"/>
  <c r="I128" i="13"/>
  <c r="J128" i="13"/>
  <c r="I130" i="13"/>
  <c r="J130" i="13"/>
  <c r="I125" i="13"/>
  <c r="J125" i="13"/>
  <c r="I123" i="13"/>
  <c r="J123" i="13"/>
  <c r="I151" i="13"/>
  <c r="J151" i="13"/>
  <c r="I152" i="13"/>
  <c r="J152" i="13"/>
  <c r="I146" i="13"/>
  <c r="J146" i="13"/>
  <c r="I154" i="13"/>
  <c r="J154" i="13"/>
  <c r="I121" i="13"/>
  <c r="J121" i="13"/>
  <c r="I135" i="13"/>
  <c r="J135" i="13"/>
  <c r="I126" i="13"/>
  <c r="J126" i="13"/>
  <c r="I120" i="13"/>
  <c r="J120" i="13"/>
  <c r="I110" i="13"/>
  <c r="J110" i="13"/>
  <c r="I136" i="13"/>
  <c r="J136" i="13"/>
  <c r="I159" i="13"/>
  <c r="J159" i="13"/>
  <c r="I122" i="13"/>
  <c r="J122" i="13"/>
  <c r="I129" i="13"/>
  <c r="J129" i="13"/>
  <c r="I144" i="13"/>
  <c r="J144" i="13"/>
  <c r="I156" i="13"/>
  <c r="J156" i="13"/>
  <c r="I149" i="13"/>
  <c r="J149" i="13"/>
  <c r="I147" i="13"/>
  <c r="J147" i="13"/>
  <c r="I106" i="13"/>
  <c r="J106" i="13"/>
  <c r="I139" i="13"/>
  <c r="J139" i="13"/>
  <c r="I155" i="13"/>
  <c r="J155" i="13"/>
  <c r="I114" i="13"/>
  <c r="J114" i="13"/>
  <c r="I158" i="13"/>
  <c r="J158" i="13"/>
  <c r="I131" i="13"/>
  <c r="J131" i="13"/>
  <c r="I118" i="13"/>
  <c r="J118" i="13"/>
  <c r="I116" i="13"/>
  <c r="J116" i="13"/>
  <c r="I103" i="13"/>
  <c r="J103" i="13"/>
  <c r="I133" i="13"/>
  <c r="J133" i="13"/>
  <c r="I117" i="13"/>
  <c r="J117" i="13"/>
  <c r="I132" i="13"/>
  <c r="J132" i="13"/>
  <c r="I140" i="13"/>
  <c r="J140" i="13"/>
  <c r="I112" i="13"/>
  <c r="J112" i="13"/>
  <c r="I148" i="13"/>
  <c r="J148" i="13"/>
  <c r="I150" i="13"/>
  <c r="J150" i="13"/>
  <c r="I143" i="13"/>
  <c r="J143" i="13"/>
  <c r="I107" i="13"/>
  <c r="J107" i="13"/>
  <c r="I124" i="13"/>
  <c r="J124" i="13"/>
  <c r="I161" i="13"/>
  <c r="J161" i="13"/>
  <c r="I137" i="13"/>
  <c r="J137" i="13"/>
  <c r="I102" i="13"/>
  <c r="I153" i="13"/>
  <c r="J153" i="13"/>
  <c r="I113" i="13"/>
  <c r="J113" i="13"/>
  <c r="I119" i="13"/>
  <c r="J119" i="13"/>
  <c r="G161" i="20"/>
  <c r="J102" i="13"/>
  <c r="J162" i="13"/>
  <c r="I162" i="13"/>
  <c r="I101" i="20"/>
  <c r="I161" i="20"/>
  <c r="H161" i="20"/>
  <c r="G23" i="48"/>
  <c r="G28" i="48"/>
  <c r="H23" i="48"/>
  <c r="I23" i="48"/>
  <c r="I28" i="48"/>
  <c r="H28" i="48"/>
  <c r="H12" i="49"/>
  <c r="I56" i="49"/>
  <c r="D23" i="49"/>
  <c r="H12" i="32"/>
  <c r="D23" i="32"/>
  <c r="I56" i="32"/>
  <c r="D24" i="49"/>
  <c r="H23" i="49"/>
  <c r="K23" i="49"/>
  <c r="D25" i="49"/>
  <c r="H24" i="49"/>
  <c r="K24" i="49"/>
  <c r="D24" i="32"/>
  <c r="H23" i="32"/>
  <c r="K23" i="32"/>
  <c r="D25" i="32"/>
  <c r="H24" i="32"/>
  <c r="K24" i="32"/>
  <c r="D26" i="49"/>
  <c r="H25" i="49"/>
  <c r="K25" i="49"/>
  <c r="D26" i="32"/>
  <c r="H25" i="32"/>
  <c r="K25" i="32"/>
  <c r="D27" i="49"/>
  <c r="H26" i="49"/>
  <c r="K26" i="49"/>
  <c r="D28" i="49"/>
  <c r="H27" i="49"/>
  <c r="K27" i="49"/>
  <c r="D27" i="32"/>
  <c r="H26" i="32"/>
  <c r="K26" i="32"/>
  <c r="D28" i="32"/>
  <c r="H27" i="32"/>
  <c r="K27" i="32"/>
  <c r="D29" i="49"/>
  <c r="H28" i="49"/>
  <c r="K28" i="49"/>
  <c r="D30" i="49"/>
  <c r="H29" i="49"/>
  <c r="K29" i="49"/>
  <c r="D29" i="32"/>
  <c r="H28" i="32"/>
  <c r="K28" i="32"/>
  <c r="D30" i="32"/>
  <c r="H29" i="32"/>
  <c r="K29" i="32"/>
  <c r="D31" i="49"/>
  <c r="H30" i="49"/>
  <c r="K30" i="49"/>
  <c r="D32" i="49"/>
  <c r="H31" i="49"/>
  <c r="K31" i="49"/>
  <c r="D31" i="32"/>
  <c r="H30" i="32"/>
  <c r="K30" i="32"/>
  <c r="D32" i="32"/>
  <c r="H31" i="32"/>
  <c r="K31" i="32"/>
  <c r="D33" i="49"/>
  <c r="H32" i="49"/>
  <c r="K32" i="49"/>
  <c r="D34" i="49"/>
  <c r="H34" i="49"/>
  <c r="H33" i="49"/>
  <c r="K33" i="49"/>
  <c r="D33" i="32"/>
  <c r="H32" i="32"/>
  <c r="K32" i="32"/>
  <c r="D34" i="32"/>
  <c r="H34" i="32"/>
  <c r="H33" i="32"/>
  <c r="K33" i="32"/>
  <c r="K34" i="49"/>
  <c r="K35" i="49"/>
  <c r="D38" i="49"/>
  <c r="H38" i="49"/>
  <c r="K38" i="49"/>
  <c r="H35" i="49"/>
  <c r="D41" i="49"/>
  <c r="H41" i="49"/>
  <c r="I41" i="49"/>
  <c r="K34" i="32"/>
  <c r="K35" i="32"/>
  <c r="D38" i="32"/>
  <c r="H38" i="32"/>
  <c r="K38" i="32"/>
  <c r="H35" i="32"/>
  <c r="D41" i="32"/>
  <c r="H41" i="32"/>
  <c r="I41" i="32"/>
  <c r="K41" i="49"/>
  <c r="D42" i="49"/>
  <c r="I42" i="49"/>
  <c r="I43" i="49"/>
  <c r="I44" i="49"/>
  <c r="I45" i="49"/>
  <c r="I46" i="49"/>
  <c r="I47" i="49"/>
  <c r="I48" i="49"/>
  <c r="I49" i="49"/>
  <c r="I50" i="49"/>
  <c r="I51" i="49"/>
  <c r="I52" i="49"/>
  <c r="I55" i="49"/>
  <c r="I57" i="49"/>
  <c r="H42" i="49"/>
  <c r="K42" i="49"/>
  <c r="D43" i="49"/>
  <c r="K41" i="32"/>
  <c r="D42" i="32"/>
  <c r="I42" i="32"/>
  <c r="I43" i="32"/>
  <c r="I44" i="32"/>
  <c r="I45" i="32"/>
  <c r="I46" i="32"/>
  <c r="I47" i="32"/>
  <c r="I48" i="32"/>
  <c r="I49" i="32"/>
  <c r="I50" i="32"/>
  <c r="I51" i="32"/>
  <c r="I52" i="32"/>
  <c r="I55" i="32"/>
  <c r="I57" i="32"/>
  <c r="H42" i="32"/>
  <c r="K42" i="32"/>
  <c r="D43" i="32"/>
  <c r="K43" i="49"/>
  <c r="D44" i="49"/>
  <c r="H43" i="49"/>
  <c r="K44" i="49"/>
  <c r="D45" i="49"/>
  <c r="H44" i="49"/>
  <c r="K43" i="32"/>
  <c r="D44" i="32"/>
  <c r="H43" i="32"/>
  <c r="H44" i="32"/>
  <c r="K44" i="32"/>
  <c r="D45" i="32"/>
  <c r="K45" i="49"/>
  <c r="D46" i="49"/>
  <c r="H45" i="49"/>
  <c r="K45" i="32"/>
  <c r="D46" i="32"/>
  <c r="H45" i="32"/>
  <c r="K46" i="49"/>
  <c r="D47" i="49"/>
  <c r="H46" i="49"/>
  <c r="H47" i="49"/>
  <c r="K47" i="49"/>
  <c r="D48" i="49"/>
  <c r="K46" i="32"/>
  <c r="D47" i="32"/>
  <c r="H46" i="32"/>
  <c r="K48" i="49"/>
  <c r="D49" i="49"/>
  <c r="H48" i="49"/>
  <c r="K47" i="32"/>
  <c r="D48" i="32"/>
  <c r="H47" i="32"/>
  <c r="K48" i="32"/>
  <c r="D49" i="32"/>
  <c r="H48" i="32"/>
  <c r="H49" i="49"/>
  <c r="K49" i="49"/>
  <c r="D50" i="49"/>
  <c r="K50" i="49"/>
  <c r="D51" i="49"/>
  <c r="H50" i="49"/>
  <c r="K49" i="32"/>
  <c r="D50" i="32"/>
  <c r="H49" i="32"/>
  <c r="K50" i="32"/>
  <c r="D51" i="32"/>
  <c r="H50" i="32"/>
  <c r="K51" i="49"/>
  <c r="D52" i="49"/>
  <c r="H51" i="49"/>
  <c r="H52" i="49"/>
  <c r="H53" i="49"/>
  <c r="K52" i="49"/>
  <c r="K51" i="32"/>
  <c r="D52" i="32"/>
  <c r="H51" i="32"/>
  <c r="K52" i="32"/>
  <c r="H52" i="32"/>
  <c r="H53" i="32"/>
</calcChain>
</file>

<file path=xl/sharedStrings.xml><?xml version="1.0" encoding="utf-8"?>
<sst xmlns="http://schemas.openxmlformats.org/spreadsheetml/2006/main" count="2238" uniqueCount="1166">
  <si>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</si>
  <si>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</si>
  <si>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</si>
  <si>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</si>
  <si>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</si>
  <si>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</si>
  <si>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</si>
  <si>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</si>
  <si>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</si>
  <si>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</si>
  <si>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</si>
  <si>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</si>
  <si>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</si>
  <si>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</si>
  <si>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</si>
  <si>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</si>
  <si>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</si>
  <si>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</si>
  <si>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</si>
  <si>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</si>
  <si>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</si>
  <si>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</si>
  <si>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</si>
  <si>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</si>
  <si>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</si>
  <si>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</si>
  <si>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</si>
  <si>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</si>
  <si>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</si>
  <si>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</si>
  <si>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</si>
  <si>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</si>
  <si>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</si>
  <si>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</si>
  <si>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</si>
  <si>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</si>
  <si>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</si>
  <si>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</si>
  <si>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</si>
  <si>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</si>
  <si>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</si>
  <si>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</si>
  <si>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</si>
  <si>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</si>
  <si>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</si>
  <si>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</si>
  <si>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</si>
  <si>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</si>
  <si>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</si>
  <si>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</si>
  <si>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</si>
  <si>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</si>
  <si>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</si>
  <si>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</si>
  <si>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</si>
  <si>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</si>
  <si>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</si>
  <si>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</si>
  <si>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</si>
  <si>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</si>
  <si>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</si>
  <si>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</si>
  <si>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</si>
  <si>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</si>
  <si>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</si>
  <si>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</si>
  <si>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</si>
  <si>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</si>
  <si>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</si>
  <si>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</si>
  <si>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</si>
  <si>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</si>
  <si>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</si>
  <si>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</si>
  <si>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</si>
  <si>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</si>
  <si>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</si>
  <si>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</si>
  <si>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</si>
  <si>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</si>
  <si>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</si>
  <si>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</si>
  <si>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</si>
  <si>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</si>
  <si>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</si>
  <si>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</si>
  <si>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</si>
  <si>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</si>
  <si>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</si>
  <si>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</si>
  <si>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</si>
  <si>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</si>
  <si>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</si>
  <si>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</si>
  <si>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</si>
  <si>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</si>
  <si>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</si>
  <si>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</si>
  <si>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</si>
  <si>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</si>
  <si>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</si>
  <si>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</si>
  <si>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</si>
  <si>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</si>
  <si>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</si>
  <si>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</si>
  <si>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</si>
  <si>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</si>
  <si>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</si>
  <si>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</si>
  <si>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</si>
  <si>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</si>
  <si>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</si>
  <si>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</si>
  <si>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</si>
  <si>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</si>
  <si>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</si>
  <si>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</si>
  <si>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</si>
  <si>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</si>
  <si>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</si>
  <si>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</si>
  <si>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</si>
  <si>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</si>
  <si>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</si>
  <si>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</si>
  <si>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</si>
  <si>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</si>
  <si>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</si>
  <si>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</si>
  <si>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</si>
  <si>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</si>
  <si>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</si>
  <si>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</si>
  <si>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</si>
  <si>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</si>
  <si>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</si>
  <si>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</si>
  <si>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</si>
  <si>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</si>
  <si>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</si>
  <si>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</si>
  <si>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</si>
  <si>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</si>
  <si>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</si>
  <si>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</si>
  <si>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</si>
  <si>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</si>
  <si>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</si>
  <si>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</si>
  <si>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</si>
  <si>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</si>
  <si>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</si>
  <si>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</si>
  <si>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</si>
  <si>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</si>
  <si>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</si>
  <si>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</si>
  <si>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</si>
  <si>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</si>
  <si>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</si>
  <si>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</si>
  <si>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</si>
  <si>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</si>
  <si>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</si>
  <si>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</si>
  <si>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</si>
  <si>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</si>
  <si>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</si>
  <si>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</si>
  <si>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</si>
  <si>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</si>
  <si>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</si>
  <si>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</si>
  <si>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</si>
  <si>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</si>
  <si>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</si>
  <si>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</si>
  <si>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</si>
  <si>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</si>
  <si>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</si>
  <si>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</si>
  <si>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</si>
  <si>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</si>
  <si>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</si>
  <si>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</si>
  <si>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</si>
  <si>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</si>
  <si>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</si>
  <si>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</si>
  <si>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</si>
  <si>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</si>
  <si>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</si>
  <si>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</si>
  <si>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</si>
  <si>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</si>
  <si>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</si>
  <si>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</si>
  <si>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</si>
  <si>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</si>
  <si>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</si>
  <si>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</si>
  <si>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</si>
  <si>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</si>
  <si>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</si>
  <si>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</si>
  <si>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</si>
  <si>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</si>
  <si>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</si>
  <si>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</si>
  <si>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</si>
  <si>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</si>
  <si>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</si>
  <si>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</si>
  <si>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</si>
  <si>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</si>
  <si>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</si>
  <si>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</si>
  <si>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</si>
  <si>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</si>
  <si>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</si>
  <si>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</si>
  <si>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</si>
  <si>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</si>
  <si>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</si>
  <si>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</si>
  <si>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</si>
  <si>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</si>
  <si>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</si>
  <si>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</si>
  <si>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</si>
  <si>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</si>
  <si>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</si>
  <si>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</si>
  <si>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</si>
  <si>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</si>
  <si>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</si>
  <si>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</si>
  <si>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</si>
  <si>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</si>
  <si>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</si>
  <si>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</si>
  <si>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</si>
  <si>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</si>
  <si>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</si>
  <si>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</si>
  <si>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</si>
  <si>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</si>
  <si>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</si>
  <si>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</si>
  <si>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</si>
  <si>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</si>
  <si>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</si>
  <si>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</si>
  <si>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</si>
  <si>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</si>
  <si>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</si>
  <si>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</si>
  <si>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</si>
  <si>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</si>
  <si>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</si>
  <si>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</si>
  <si>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</si>
  <si>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</si>
  <si>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</si>
  <si>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</si>
  <si>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</si>
  <si>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</si>
  <si>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</si>
  <si>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</si>
  <si>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</si>
  <si>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</si>
  <si>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</si>
  <si>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</si>
  <si>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</si>
  <si>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</si>
  <si>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</si>
  <si>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</si>
  <si>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</si>
  <si>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</si>
  <si>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</si>
  <si>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</si>
  <si>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</si>
  <si>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</si>
  <si>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</si>
  <si>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</si>
  <si>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</si>
  <si>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</si>
  <si>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</si>
  <si>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</si>
  <si>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</si>
  <si>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</si>
  <si>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</si>
  <si>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</si>
  <si>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</si>
  <si>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</si>
  <si>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</si>
  <si>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</si>
  <si>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</si>
  <si>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</si>
  <si>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</si>
  <si>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</si>
  <si>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</si>
  <si>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</si>
  <si>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</si>
  <si>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</si>
  <si>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</si>
  <si>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</si>
  <si>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</si>
  <si>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</si>
  <si>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</si>
  <si>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</si>
  <si>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</si>
  <si>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</si>
  <si>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</si>
  <si>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</si>
  <si>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</si>
  <si>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</si>
  <si>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</si>
  <si>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</si>
  <si>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</si>
  <si>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</si>
  <si>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</si>
  <si>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</si>
  <si>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</si>
  <si>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</si>
  <si>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</si>
  <si>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</si>
  <si>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</si>
  <si>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</si>
  <si>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</si>
  <si>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</si>
  <si>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</si>
  <si>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</si>
  <si>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</si>
  <si>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</si>
  <si>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</si>
  <si>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</si>
  <si>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</si>
  <si>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</si>
  <si>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</si>
  <si>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</si>
  <si>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</si>
  <si>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</si>
  <si>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</si>
  <si>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</si>
  <si>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</si>
  <si>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</si>
  <si>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</si>
  <si>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</si>
  <si>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</si>
  <si>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</si>
  <si>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</si>
  <si>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</si>
  <si>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</si>
  <si>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</si>
  <si>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</si>
  <si>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</si>
  <si>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</si>
  <si>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</si>
  <si>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</si>
  <si>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</si>
  <si>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</si>
  <si>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</si>
  <si>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</si>
  <si>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</si>
  <si>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</si>
  <si>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</si>
  <si>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</si>
  <si>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</si>
  <si>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</si>
  <si>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</si>
  <si>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</si>
  <si>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</si>
  <si>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</si>
  <si>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</si>
  <si>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</si>
  <si>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</si>
  <si>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</si>
  <si>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</si>
  <si>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</si>
  <si>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</si>
  <si>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</si>
  <si>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</si>
  <si>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</si>
  <si>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</si>
  <si>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</si>
  <si>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</si>
  <si>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</si>
  <si>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</si>
  <si>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</si>
  <si>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</si>
  <si>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</si>
  <si>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</si>
  <si>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</si>
  <si>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</si>
  <si>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</si>
  <si>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</si>
  <si>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</si>
  <si>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</si>
  <si>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</si>
  <si>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</si>
  <si>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</si>
  <si>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</si>
  <si>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</si>
  <si>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</si>
  <si>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</si>
  <si>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</si>
  <si>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</si>
  <si>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</si>
  <si>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</si>
  <si>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</si>
  <si>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</si>
  <si>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</si>
  <si>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</si>
  <si>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</si>
  <si>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</si>
  <si>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</si>
  <si>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</si>
  <si>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</si>
  <si>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</si>
  <si>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</si>
  <si>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</si>
  <si>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</si>
  <si>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</si>
  <si>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</si>
  <si>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</si>
  <si>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</si>
  <si>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</si>
  <si>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</si>
  <si>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</si>
  <si>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</si>
  <si>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</si>
  <si>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</si>
  <si>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</si>
  <si>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</si>
  <si>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</si>
  <si>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</si>
  <si>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</si>
  <si>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</si>
  <si>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</si>
  <si>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</si>
  <si>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</si>
  <si>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</si>
  <si>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</si>
  <si>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</si>
  <si>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</si>
  <si>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</si>
  <si>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</si>
  <si>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</si>
  <si>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</si>
  <si>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</si>
  <si>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</si>
  <si>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</si>
  <si>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</si>
  <si>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</si>
  <si>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</si>
  <si>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</si>
  <si>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</si>
  <si>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</si>
  <si>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</si>
  <si>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</si>
  <si>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</si>
  <si>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</si>
  <si>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</si>
  <si>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</si>
  <si>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</si>
  <si>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</si>
  <si>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</si>
  <si>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</si>
  <si>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</si>
  <si>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</si>
  <si>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</si>
  <si>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</si>
  <si>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</si>
  <si>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</si>
  <si>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</si>
  <si>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</si>
  <si>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</si>
  <si>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</si>
  <si>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</si>
  <si>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</si>
  <si>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</si>
  <si>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</si>
  <si>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</si>
  <si>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</si>
  <si>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</si>
  <si>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</si>
  <si>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</si>
  <si>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</si>
  <si>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</si>
  <si>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</si>
  <si>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</si>
  <si>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</si>
  <si>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</si>
  <si>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</si>
  <si>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</si>
  <si>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</si>
  <si>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</si>
  <si>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</si>
  <si>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</si>
  <si>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</si>
  <si>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</si>
  <si>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</si>
  <si>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</si>
  <si>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</si>
  <si>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</si>
  <si>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</si>
  <si>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</si>
  <si>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</si>
  <si>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</si>
  <si>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</si>
  <si>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</si>
  <si>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</si>
  <si>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</si>
  <si>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</si>
  <si>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</si>
  <si>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</si>
  <si>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</si>
  <si>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</si>
  <si>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</si>
  <si>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</si>
  <si>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</si>
  <si>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</si>
  <si>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</si>
  <si>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</si>
  <si>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</si>
  <si>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</si>
  <si>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</si>
  <si>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</si>
  <si>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</si>
  <si>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</si>
  <si>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</si>
  <si>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</si>
  <si>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</si>
  <si>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</si>
  <si>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</si>
  <si>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</si>
  <si>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</si>
  <si>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</si>
  <si>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</si>
  <si>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</si>
  <si>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</si>
  <si>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</si>
  <si>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</si>
  <si>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</si>
  <si>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</si>
  <si>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</si>
  <si>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</si>
  <si>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</si>
  <si>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</si>
  <si>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</si>
  <si>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</si>
  <si>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</si>
  <si>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</si>
  <si>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</si>
  <si>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</si>
  <si>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</si>
  <si>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</si>
  <si>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</si>
  <si>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</si>
  <si>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</si>
  <si>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</si>
  <si>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</si>
  <si>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</si>
  <si>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</si>
  <si>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</si>
  <si>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</si>
  <si>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</si>
  <si>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</si>
  <si>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</si>
  <si>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</si>
  <si>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</si>
  <si>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</si>
  <si>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</si>
  <si>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</si>
  <si>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</si>
  <si>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</si>
  <si>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</si>
  <si>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</si>
  <si>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</si>
  <si>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</si>
  <si>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</si>
  <si>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</si>
  <si>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</si>
  <si>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</si>
  <si>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</si>
  <si>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</si>
  <si>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</si>
  <si>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</si>
  <si>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</si>
  <si>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</si>
  <si>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</si>
  <si>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</si>
  <si>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</si>
  <si>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</si>
  <si>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</si>
  <si>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Real and Personal Property - Tennessee</t>
  </si>
  <si>
    <t>Less: Net Value  Exempted Generation Plant</t>
  </si>
  <si>
    <t>Taxable Property Basis</t>
  </si>
  <si>
    <t>Real and Personal Property - West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</si>
  <si>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</si>
  <si>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</si>
  <si>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</si>
  <si>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</si>
  <si>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</si>
  <si>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</si>
  <si>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</si>
  <si>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</si>
  <si>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  Land Rights - Va.</t>
  </si>
  <si>
    <t xml:space="preserve">  Energy Storage Equip</t>
  </si>
  <si>
    <t xml:space="preserve">  Overhead Conductor</t>
  </si>
  <si>
    <t xml:space="preserve">(4)  </t>
  </si>
  <si>
    <t xml:space="preserve">(5)  </t>
  </si>
  <si>
    <t>Transmission allocation factors are changed annually in January based on</t>
  </si>
  <si>
    <t xml:space="preserve">September factors as per the PJM tariff approved in FERC Docket ER08-1329 </t>
  </si>
  <si>
    <t>Attachment H-14B, Part II, pg. 15 of 21.</t>
  </si>
  <si>
    <t xml:space="preserve">(6)  </t>
  </si>
  <si>
    <t>APCo falls under the authority of Virginia, West Virginia and the FERC.  Therefore, APCo's rates are a composite of the jurisdictions under which it operates. Each jurisdictions' rate is multiplied by an allocation factor, and the product for each jurisdiction is added with the other jurisdictions to derive the composite rate for the company.</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</si>
  <si>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</si>
  <si>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</si>
  <si>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</si>
  <si>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</si>
  <si>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</si>
  <si>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</si>
  <si>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</si>
  <si>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</si>
  <si>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</si>
  <si>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</si>
  <si>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</si>
  <si>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</si>
  <si>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</si>
  <si>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</si>
  <si>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</si>
  <si>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</si>
  <si>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</si>
  <si>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</si>
  <si>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</si>
  <si>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</si>
  <si>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</si>
  <si>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</si>
  <si>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</si>
  <si>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</si>
  <si>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</si>
  <si>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</si>
  <si>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</si>
  <si>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</si>
  <si>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</si>
  <si>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</si>
  <si>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</si>
  <si>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</si>
  <si>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</si>
  <si>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</si>
  <si>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</si>
  <si>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</si>
  <si>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</si>
  <si>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</si>
  <si>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</si>
  <si>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</si>
  <si>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</si>
  <si>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</si>
  <si>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</si>
  <si>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</si>
  <si>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</si>
  <si>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</si>
  <si>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</si>
  <si>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</si>
  <si>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</si>
  <si>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</si>
  <si>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</si>
  <si>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</si>
  <si>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</si>
  <si>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</si>
  <si>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</si>
  <si>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</si>
  <si>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</si>
  <si>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</si>
  <si>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</si>
  <si>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</si>
  <si>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</si>
  <si>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</si>
  <si>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</si>
  <si>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</si>
  <si>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</si>
  <si>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</si>
  <si>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</si>
  <si>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</si>
  <si>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</si>
  <si>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</si>
  <si>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</si>
  <si>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</si>
  <si>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</si>
  <si>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</si>
  <si>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</si>
  <si>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</si>
  <si>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</si>
  <si>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</si>
  <si>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</si>
  <si>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</si>
  <si>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</si>
  <si>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</si>
  <si>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</si>
  <si>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</si>
  <si>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</si>
  <si>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</si>
  <si>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</si>
  <si>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</si>
  <si>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</si>
  <si>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</si>
  <si>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</si>
  <si>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</si>
  <si>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</si>
  <si>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</si>
  <si>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</si>
  <si>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</si>
  <si>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</si>
  <si>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</si>
  <si>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</si>
  <si>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</si>
  <si>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</si>
  <si>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</si>
  <si>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</si>
  <si>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</si>
  <si>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</si>
  <si>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</si>
  <si>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</si>
  <si>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</si>
  <si>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</si>
  <si>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</si>
  <si>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</si>
  <si>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</si>
  <si>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</si>
  <si>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</si>
  <si>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</si>
  <si>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</si>
  <si>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</si>
  <si>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</si>
  <si>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</si>
  <si>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</si>
  <si>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</si>
  <si>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</si>
  <si>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</si>
  <si>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</si>
  <si>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</si>
  <si>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</si>
  <si>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</si>
  <si>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</si>
  <si>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</si>
  <si>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</si>
  <si>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</si>
  <si>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</si>
  <si>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</si>
  <si>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</si>
  <si>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</si>
  <si>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</si>
  <si>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</si>
  <si>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</si>
  <si>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</si>
  <si>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</si>
  <si>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</si>
  <si>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</si>
  <si>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</si>
  <si>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</si>
  <si>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</si>
  <si>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</si>
  <si>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</si>
  <si>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Apportionment Factor - Note 1</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</si>
  <si>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</si>
  <si>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</si>
  <si>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</si>
  <si>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</si>
  <si>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</si>
  <si>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</si>
  <si>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J -  ATRR PROJECTED Calculation for PJM Projects Charged to Benefiting Zones</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</si>
  <si>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</si>
  <si>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</si>
  <si>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</si>
  <si>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</si>
  <si>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</si>
  <si>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</si>
  <si>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</si>
  <si>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</si>
  <si>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</si>
  <si>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 xml:space="preserve">  (4) The rates approved for each jurisdiction are updated when approved by that commission.  These demand-based allocation factors for all jurisdictions are updated when new rates are approved in one of the jurisdictions.  These allocation factors reflect I&amp;M's 12 monthly Coincident Peaks during test year of the most recent rate case.</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</si>
  <si>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</si>
  <si>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</si>
  <si>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</si>
  <si>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EFFECTIVE AS OF 09/1/2016</t>
  </si>
  <si>
    <t>FOR SINGLE JURISDICTION COMPANIES</t>
  </si>
  <si>
    <t>KINGSPORT POWER COMPANY</t>
  </si>
  <si>
    <t xml:space="preserve">  Composite Transmission Depreciation Rate</t>
  </si>
  <si>
    <t>Reference:</t>
  </si>
  <si>
    <t>Note 1:   Rates Approved In Tennessee Regulatory Authority Docket No. 16-00001.</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</si>
  <si>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</si>
  <si>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</si>
  <si>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</si>
  <si>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</si>
  <si>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</si>
  <si>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</si>
  <si>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</si>
  <si>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</si>
  <si>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</si>
  <si>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</si>
  <si>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</si>
  <si>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</si>
  <si>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</si>
  <si>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</si>
  <si>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</si>
  <si>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</si>
  <si>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</si>
  <si>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</si>
  <si>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</si>
  <si>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</si>
  <si>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</si>
  <si>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</si>
  <si>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</si>
  <si>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</si>
  <si>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</si>
  <si>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</si>
  <si>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</si>
  <si>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</si>
  <si>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</si>
  <si>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</si>
  <si>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</si>
  <si>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</si>
  <si>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</si>
  <si>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</si>
  <si>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</si>
  <si>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</si>
  <si>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</si>
  <si>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</si>
  <si>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</si>
  <si>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</si>
  <si>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</si>
  <si>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</si>
  <si>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</si>
  <si>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</si>
  <si>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</si>
  <si>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</si>
  <si>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</si>
  <si>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</si>
  <si>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</si>
  <si>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</si>
  <si>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</si>
  <si>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</si>
  <si>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</si>
  <si>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</si>
  <si>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</si>
  <si>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</si>
  <si>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</si>
  <si>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</si>
  <si>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</si>
  <si>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</si>
  <si>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</si>
  <si>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</si>
  <si>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</si>
  <si>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</si>
  <si>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</si>
  <si>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</si>
  <si>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</si>
  <si>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</si>
  <si>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</si>
  <si>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</si>
  <si>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</si>
  <si>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</si>
  <si>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</si>
  <si>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</si>
  <si>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STATE JURISDICTION #2</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</si>
  <si>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</si>
  <si>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</si>
  <si>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</si>
  <si>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</si>
  <si>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</si>
  <si>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</si>
  <si>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</si>
  <si>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</si>
  <si>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</si>
  <si>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</si>
  <si>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1650010</t>
  </si>
  <si>
    <t>Prepaid Pension Benefits</t>
  </si>
  <si>
    <t>1650014</t>
  </si>
  <si>
    <t>FAS 158 Qual Contra Asset</t>
  </si>
  <si>
    <t>1650021</t>
  </si>
  <si>
    <t>Prepaid Insurance - EIS</t>
  </si>
  <si>
    <t>Regulatory Commission Exp</t>
  </si>
  <si>
    <t>General Advertising Expenses</t>
  </si>
  <si>
    <t>9302000</t>
  </si>
  <si>
    <t>Misc General Expenses</t>
  </si>
  <si>
    <t>9302003</t>
  </si>
  <si>
    <t>Corporate &amp; Fiscal Expenses</t>
  </si>
  <si>
    <t>9302004</t>
  </si>
  <si>
    <t>Research, Develop&amp;Demonstr Exp</t>
  </si>
  <si>
    <t>9302006</t>
  </si>
  <si>
    <t>9302007</t>
  </si>
  <si>
    <t>Assoc Business Development Exp</t>
  </si>
  <si>
    <t>KENTUCKY POWER COMPANY</t>
  </si>
  <si>
    <t>Other Prepayments</t>
  </si>
  <si>
    <t>1650009</t>
  </si>
  <si>
    <t>Prepaid Carry Cost-Factored AR</t>
  </si>
  <si>
    <t>Prepaid Use Taxes</t>
  </si>
  <si>
    <t>Prepaid Sales Taxes</t>
  </si>
  <si>
    <t>1650023</t>
  </si>
  <si>
    <t>Prepaid Lease</t>
  </si>
  <si>
    <t>Ohio Franchise Tax Rate</t>
  </si>
  <si>
    <t>Phase-out Factor Note 1</t>
  </si>
  <si>
    <t>Apportionment Factor - Note 2</t>
  </si>
  <si>
    <t>KENTUCKY JURISDICTION</t>
  </si>
  <si>
    <t>WEST VIRGINIA JURISDICTION</t>
  </si>
  <si>
    <t>Real and Personal Property - Kentucky</t>
  </si>
  <si>
    <t>Real and Personal Property - W Va</t>
  </si>
  <si>
    <t>Prepaid - Gen</t>
  </si>
  <si>
    <t>Prepaid Interest - Distribution</t>
  </si>
  <si>
    <t>AR Factoring</t>
  </si>
  <si>
    <t>Pension</t>
  </si>
  <si>
    <t>SFAS 158 Contra Acct</t>
  </si>
  <si>
    <t>Prepaid Tax - Dist</t>
  </si>
  <si>
    <t>SFAS 112 Overfunding Asset</t>
  </si>
  <si>
    <t>Prepaid Lease - Dist</t>
  </si>
  <si>
    <t>Labor Related Expense</t>
  </si>
  <si>
    <t>9301000</t>
  </si>
  <si>
    <t>9301001</t>
  </si>
  <si>
    <t>Newspaper Advertising Space</t>
  </si>
  <si>
    <t>9301002</t>
  </si>
  <si>
    <t>Radio Station Advertising Time</t>
  </si>
  <si>
    <t>9301003</t>
  </si>
  <si>
    <t>TV Station Advertising Time</t>
  </si>
  <si>
    <t>9301010</t>
  </si>
  <si>
    <t>Publicity</t>
  </si>
  <si>
    <t>9301012</t>
  </si>
  <si>
    <t>Public Opinion Surveys</t>
  </si>
  <si>
    <t>9301015</t>
  </si>
  <si>
    <t>Other Corporate Comm Exp</t>
  </si>
  <si>
    <t>Cap Limit</t>
  </si>
  <si>
    <t>Capital Structure Percentages</t>
  </si>
  <si>
    <t>Capital Structure Equity Limit (Note Z)</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</si>
  <si>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</si>
  <si>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</si>
  <si>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</si>
  <si>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Transportation Equipment</t>
  </si>
  <si>
    <t>Power Operated Equipment</t>
  </si>
  <si>
    <t>KENTUCKY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</si>
  <si>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</si>
  <si>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</si>
  <si>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</si>
  <si>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</si>
  <si>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</si>
  <si>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</si>
  <si>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</si>
  <si>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</si>
  <si>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</si>
  <si>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</si>
  <si>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</si>
  <si>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</si>
  <si>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</si>
  <si>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</si>
  <si>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</si>
  <si>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</si>
  <si>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</si>
  <si>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</si>
  <si>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</si>
  <si>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410/411
Excess Amortization</t>
  </si>
  <si>
    <t>410/411 Deferred Tax Expense/ (Benefit)</t>
  </si>
  <si>
    <t>Reference</t>
  </si>
  <si>
    <t>Sum of Cols (I) - (O)</t>
  </si>
  <si>
    <t>Deferred Tax Account (NOTE B)</t>
  </si>
  <si>
    <t>1a</t>
  </si>
  <si>
    <t xml:space="preserve">ADFIT - FAS 109 Excess </t>
  </si>
  <si>
    <t>N/A</t>
  </si>
  <si>
    <t>TCJA 2017</t>
  </si>
  <si>
    <t>1b</t>
  </si>
  <si>
    <t>ADFIT - Accel Amortization Property</t>
  </si>
  <si>
    <t>Protected</t>
  </si>
  <si>
    <t>1c</t>
  </si>
  <si>
    <t>ADFIT - Accel Amort FAS 109 Excess</t>
  </si>
  <si>
    <t>WS B-1 Col B/C ADIT item 2.06</t>
  </si>
  <si>
    <t>1d</t>
  </si>
  <si>
    <t>ADFIT - Utility Property</t>
  </si>
  <si>
    <t>ARAM</t>
  </si>
  <si>
    <t>Life of Asset</t>
  </si>
  <si>
    <t>1e</t>
  </si>
  <si>
    <t>Unprotected</t>
  </si>
  <si>
    <t>10 Years</t>
  </si>
  <si>
    <t>1/2018 - 12/2027</t>
  </si>
  <si>
    <t>1f</t>
  </si>
  <si>
    <t>ADFIT - Utility Property FAS 109 Excess</t>
  </si>
  <si>
    <t>1g</t>
  </si>
  <si>
    <t>1h</t>
  </si>
  <si>
    <t>ADFIT - Other Utility Deferrals</t>
  </si>
  <si>
    <t>1i</t>
  </si>
  <si>
    <t>ADFIT - Other FAS 109 Excess</t>
  </si>
  <si>
    <t>1j</t>
  </si>
  <si>
    <t>NOTE E</t>
  </si>
  <si>
    <t>Regulatory Deferral Accounts</t>
  </si>
  <si>
    <t>2a</t>
  </si>
  <si>
    <t xml:space="preserve">Regulatory Asset  </t>
  </si>
  <si>
    <t xml:space="preserve"> Company Records</t>
  </si>
  <si>
    <t>2b</t>
  </si>
  <si>
    <t>Regulatory Liability</t>
  </si>
  <si>
    <t>FERC Form 1 p. 278 Ln. 3 Cols, (b) /(f)</t>
  </si>
  <si>
    <t>2c</t>
  </si>
  <si>
    <t>Total For Accounting Entires (Sum of Lines 1a through 2c)</t>
  </si>
  <si>
    <t>NOTE F</t>
  </si>
  <si>
    <t>TRANSMISSION FUNCTION BALANCES</t>
  </si>
  <si>
    <t>4a</t>
  </si>
  <si>
    <t>4b</t>
  </si>
  <si>
    <t>4c</t>
  </si>
  <si>
    <t>4d</t>
  </si>
  <si>
    <t>4e</t>
  </si>
  <si>
    <t>4f</t>
  </si>
  <si>
    <t>4g</t>
  </si>
  <si>
    <t>4h</t>
  </si>
  <si>
    <t>5c</t>
  </si>
  <si>
    <t>Total For Accounting Entires (Sum of Lines 4a through 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</si>
  <si>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</si>
  <si>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</si>
  <si>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</si>
  <si>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</si>
  <si>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</si>
  <si>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</si>
  <si>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</si>
  <si>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</si>
  <si>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</si>
  <si>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</si>
  <si>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</si>
  <si>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</si>
  <si>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The amount of excess amortization entries shown in lines 1a through 1j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t>
  </si>
  <si>
    <t>9280000</t>
  </si>
  <si>
    <t>Regulatory Commission Exp-Case</t>
  </si>
  <si>
    <t>9280002</t>
  </si>
  <si>
    <t>9280005</t>
  </si>
  <si>
    <t>Reg Com Exp-FERC Trans Cases</t>
  </si>
  <si>
    <t>PJM/OATT Over/Under Recovery</t>
  </si>
  <si>
    <t>EFFECTIVE AS OF 1/1/2020</t>
  </si>
  <si>
    <t>Appalachian Power Company</t>
  </si>
  <si>
    <t xml:space="preserve">  (1) As approved in VA Case No. PUE 2020-00015 on Nov. 24, 2020</t>
  </si>
  <si>
    <t>Approved by FERC March 2, 1990 in Docket ER90-132</t>
  </si>
  <si>
    <t xml:space="preserve">        Depreciation rates were made effective on January 1, 2020.</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</si>
  <si>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</si>
  <si>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</si>
  <si>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</si>
  <si>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</si>
  <si>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</si>
  <si>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EFFECTIVE AS OF MARCH 11, 2020</t>
  </si>
  <si>
    <t>MICHIGAN AND FERC</t>
  </si>
  <si>
    <t>$0 at Dec 2018 - use old rate</t>
  </si>
  <si>
    <t>(1) As approved in Indiana Cause No. 45235 effective March 11, 2020.</t>
  </si>
  <si>
    <t>(2) As approved in Michigan Case No. U-20359 effective February 1, 2020.</t>
  </si>
  <si>
    <t>(3) FERC wholesale formula rate agreements specify that the depreciation rates in the formula rates change upon approval of MPSC rates in the Michigan jurisdiction.</t>
  </si>
  <si>
    <t>EFFECTIVE AS OF 4/1/2012</t>
  </si>
  <si>
    <t>EFFECTIVE AS OF 3/1/2019</t>
  </si>
  <si>
    <r>
      <t>190</t>
    </r>
    <r>
      <rPr>
        <sz val="9"/>
        <color rgb="FFFF0000"/>
        <rFont val="Arial"/>
        <family val="2"/>
      </rPr>
      <t>4</t>
    </r>
    <r>
      <rPr>
        <sz val="9"/>
        <rFont val="Arial"/>
        <family val="2"/>
      </rPr>
      <t>001</t>
    </r>
  </si>
  <si>
    <t>WS B - 2 Col B/C, ADIT item 2.78</t>
  </si>
  <si>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</si>
  <si>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</si>
  <si>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</si>
  <si>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M+N+O , ADIT Item 5.33</t>
  </si>
  <si>
    <r>
      <t>282</t>
    </r>
    <r>
      <rPr>
        <sz val="9"/>
        <color rgb="FFFF0000"/>
        <rFont val="Arial"/>
        <family val="2"/>
      </rPr>
      <t>4</t>
    </r>
    <r>
      <rPr>
        <sz val="9"/>
        <rFont val="Arial"/>
        <family val="2"/>
      </rPr>
      <t>001</t>
    </r>
  </si>
  <si>
    <t>WS B - 1 Col C, ADIT Item 5.36</t>
  </si>
  <si>
    <r>
      <t>283</t>
    </r>
    <r>
      <rPr>
        <sz val="9"/>
        <color rgb="FFFF0000"/>
        <rFont val="Arial"/>
        <family val="2"/>
      </rPr>
      <t>1</t>
    </r>
    <r>
      <rPr>
        <sz val="9"/>
        <rFont val="Arial"/>
        <family val="2"/>
      </rPr>
      <t>001</t>
    </r>
  </si>
  <si>
    <t>WS B - 1 Col C, ADIT Item 9.68</t>
  </si>
  <si>
    <r>
      <t>283</t>
    </r>
    <r>
      <rPr>
        <sz val="9"/>
        <color rgb="FFFF0000"/>
        <rFont val="Arial"/>
        <family val="2"/>
      </rPr>
      <t>4</t>
    </r>
    <r>
      <rPr>
        <sz val="9"/>
        <rFont val="Arial"/>
        <family val="2"/>
      </rPr>
      <t>001</t>
    </r>
  </si>
  <si>
    <t>WS B - 1 Col C, ADIT Item 9.71</t>
  </si>
  <si>
    <t>WS B - 1 Col N, ADIT 5.33</t>
  </si>
  <si>
    <t>WS B - 1 Col N, item 9.68</t>
  </si>
  <si>
    <t>165000220</t>
  </si>
  <si>
    <t>165001220</t>
  </si>
  <si>
    <t>9301014</t>
  </si>
  <si>
    <t>Video Communications</t>
  </si>
  <si>
    <t>For Year Ended December 31, 2024</t>
  </si>
  <si>
    <t>1/1/2024 Beginning  Balances</t>
  </si>
  <si>
    <t>12/31/2024 Ending Balance</t>
  </si>
  <si>
    <t>2022 Forecasted Revenue Requirement For Year 2022</t>
  </si>
  <si>
    <t>2022 Collections</t>
  </si>
  <si>
    <t>An over or under collection will be recovered prorata over 2022, held for 2023 and returned prorate over 2024</t>
  </si>
  <si>
    <t>9280001</t>
  </si>
  <si>
    <t>Regulatory Commission Exp-Adm</t>
  </si>
  <si>
    <t>9280006</t>
  </si>
  <si>
    <t>State Publ Serv CommissionFees</t>
  </si>
  <si>
    <t>Assoc Bus Dev - Materials Sold</t>
  </si>
  <si>
    <t>9302017</t>
  </si>
  <si>
    <t>SellingPrice Normalization Exp</t>
  </si>
  <si>
    <t>165000219</t>
  </si>
  <si>
    <t>165000222</t>
  </si>
  <si>
    <t>1650006</t>
  </si>
  <si>
    <t>165001119</t>
  </si>
  <si>
    <t>165001120</t>
  </si>
  <si>
    <t>165001122</t>
  </si>
  <si>
    <t>165001219</t>
  </si>
  <si>
    <t>1650030</t>
  </si>
  <si>
    <t>Other Prepayments - Long Term</t>
  </si>
  <si>
    <t>1650035</t>
  </si>
  <si>
    <t>PRW Without MED-D Benefits</t>
  </si>
  <si>
    <t>1650037</t>
  </si>
  <si>
    <t>FAS158 Contra-PRW Exclud Med-D</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</si>
  <si>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</si>
  <si>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</si>
  <si>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</si>
  <si>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</si>
  <si>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</si>
  <si>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</si>
  <si>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</si>
  <si>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</si>
  <si>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</si>
  <si>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</si>
  <si>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</si>
  <si>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</si>
  <si>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</si>
  <si>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</si>
  <si>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</si>
  <si>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</si>
  <si>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</si>
  <si>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</si>
  <si>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</si>
  <si>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</si>
  <si>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</si>
  <si>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</si>
  <si>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</si>
  <si>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</si>
  <si>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</si>
  <si>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</si>
  <si>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</si>
  <si>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</si>
  <si>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</si>
  <si>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</si>
  <si>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</si>
  <si>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</si>
  <si>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</si>
  <si>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</si>
  <si>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</si>
  <si>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</si>
  <si>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</si>
  <si>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</si>
  <si>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</si>
  <si>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</si>
  <si>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</si>
  <si>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</si>
  <si>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</si>
  <si>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</si>
  <si>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</si>
  <si>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</si>
  <si>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</si>
  <si>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</si>
  <si>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</si>
  <si>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</si>
  <si>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</si>
  <si>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</si>
  <si>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</si>
  <si>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</si>
  <si>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</si>
  <si>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</si>
  <si>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</si>
  <si>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</si>
  <si>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</si>
  <si>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</si>
  <si>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</si>
  <si>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</si>
  <si>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</si>
  <si>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</si>
  <si>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</si>
  <si>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</si>
  <si>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</si>
  <si>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Kentucky</t>
  </si>
  <si>
    <t>State Income Tax Rate - Michigan</t>
  </si>
  <si>
    <t>State Income Tax Rate - West Virginia</t>
  </si>
  <si>
    <t>State Income Tax Rate - Illinois</t>
  </si>
  <si>
    <t>Senior Unsecured Notes - Series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</si>
</sst>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0.000000%"/>
  </numFmts>
  <fonts count="175">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9"/>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b/>
      <u/>
      <sz val="11"/>
      <name val="Arial"/>
      <family val="2"/>
    </font>
    <font>
      <sz val="10"/>
      <name val="Arial"/>
      <family val="2"/>
    </font>
    <font>
      <sz val="12"/>
      <name val="Arial MT"/>
      <family val="2"/>
    </font>
    <font>
      <sz val="9"/>
      <name val="Arial MT"/>
      <family val="2"/>
    </font>
    <font>
      <i/>
      <sz val="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i/>
      <sz val="12"/>
      <name val="Arial MT"/>
    </font>
    <font>
      <sz val="9"/>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theme="0" tint="-0.24991607409894101"/>
        <bgColor indexed="64"/>
      </patternFill>
    </fill>
    <fill>
      <patternFill patternType="darkUp">
        <bgColor theme="0" tint="-0.14990691854609822"/>
      </patternFill>
    </fill>
  </fills>
  <borders count="56">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s>
  <cellStyleXfs count="399">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3"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3" fillId="0" borderId="0" applyFont="0" applyFill="0" applyBorder="0" applyAlignment="0" applyProtection="0"/>
    <xf numFmtId="43" fontId="1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6" fillId="0" borderId="0" applyFont="0" applyFill="0" applyBorder="0" applyAlignment="0" applyProtection="0"/>
    <xf numFmtId="43" fontId="13" fillId="0" borderId="0" applyFont="0" applyFill="0" applyBorder="0" applyAlignment="0" applyProtection="0"/>
    <xf numFmtId="43" fontId="139"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36"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4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58" fillId="0" borderId="0" applyFont="0" applyFill="0" applyBorder="0" applyAlignment="0" applyProtection="0"/>
    <xf numFmtId="44" fontId="15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58" fillId="0" borderId="0" applyFont="0" applyFill="0" applyBorder="0" applyAlignment="0" applyProtection="0"/>
    <xf numFmtId="44" fontId="158" fillId="0" borderId="0" applyFont="0" applyFill="0" applyBorder="0" applyAlignment="0" applyProtection="0"/>
    <xf numFmtId="44" fontId="13" fillId="0" borderId="0" applyFont="0" applyFill="0" applyBorder="0" applyAlignment="0" applyProtection="0"/>
    <xf numFmtId="44" fontId="13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6" fillId="0" borderId="0" applyFont="0" applyFill="0" applyBorder="0" applyAlignment="0" applyProtection="0"/>
    <xf numFmtId="44" fontId="13"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62" fillId="0" borderId="0" applyFont="0" applyFill="0" applyBorder="0" applyAlignment="0" applyProtection="0"/>
    <xf numFmtId="44" fontId="13" fillId="0" borderId="0" applyFont="0" applyFill="0" applyBorder="0" applyAlignment="0" applyProtection="0"/>
    <xf numFmtId="44" fontId="136" fillId="0" borderId="0" applyFont="0" applyFill="0" applyBorder="0" applyAlignment="0" applyProtection="0"/>
    <xf numFmtId="44" fontId="13" fillId="0" borderId="0" applyFont="0" applyFill="0" applyBorder="0" applyAlignment="0" applyProtection="0"/>
    <xf numFmtId="44" fontId="162"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31" fillId="0" borderId="0"/>
    <xf numFmtId="3" fontId="13" fillId="0" borderId="0"/>
    <xf numFmtId="3" fontId="13" fillId="0" borderId="0"/>
    <xf numFmtId="3" fontId="131" fillId="0" borderId="0"/>
    <xf numFmtId="0" fontId="13" fillId="0" borderId="0"/>
    <xf numFmtId="0" fontId="13" fillId="0" borderId="0"/>
    <xf numFmtId="3" fontId="13" fillId="0" borderId="0"/>
    <xf numFmtId="3" fontId="131" fillId="0" borderId="0"/>
    <xf numFmtId="3" fontId="13" fillId="0" borderId="0"/>
    <xf numFmtId="0" fontId="162" fillId="0" borderId="0"/>
    <xf numFmtId="3" fontId="131" fillId="0" borderId="0"/>
    <xf numFmtId="3" fontId="13" fillId="0" borderId="0"/>
    <xf numFmtId="3" fontId="131" fillId="0" borderId="0"/>
    <xf numFmtId="3" fontId="13" fillId="0" borderId="0"/>
    <xf numFmtId="0"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2" fillId="0" borderId="0"/>
    <xf numFmtId="3" fontId="13" fillId="0" borderId="0"/>
    <xf numFmtId="0" fontId="13" fillId="0" borderId="0"/>
    <xf numFmtId="0" fontId="130" fillId="0" borderId="0"/>
    <xf numFmtId="0" fontId="163" fillId="0" borderId="0"/>
    <xf numFmtId="0" fontId="13" fillId="0" borderId="0"/>
    <xf numFmtId="0" fontId="13" fillId="0" borderId="0"/>
    <xf numFmtId="0" fontId="163" fillId="0" borderId="0"/>
    <xf numFmtId="0" fontId="13" fillId="0" borderId="0"/>
    <xf numFmtId="0"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 fillId="0" borderId="0"/>
    <xf numFmtId="3" fontId="139" fillId="0" borderId="0"/>
    <xf numFmtId="3" fontId="13" fillId="0" borderId="0"/>
    <xf numFmtId="3" fontId="139" fillId="0" borderId="0"/>
    <xf numFmtId="3" fontId="13" fillId="0" borderId="0"/>
    <xf numFmtId="0" fontId="13" fillId="0" borderId="0"/>
    <xf numFmtId="0" fontId="13" fillId="0" borderId="0"/>
    <xf numFmtId="3" fontId="13" fillId="0" borderId="0"/>
    <xf numFmtId="0" fontId="13" fillId="0" borderId="0"/>
    <xf numFmtId="0" fontId="13" fillId="0" borderId="0"/>
    <xf numFmtId="0" fontId="162" fillId="0" borderId="0"/>
    <xf numFmtId="172" fontId="159" fillId="0" borderId="0" applyProtection="0"/>
    <xf numFmtId="0" fontId="3" fillId="0" borderId="0"/>
    <xf numFmtId="0" fontId="13" fillId="0" borderId="0"/>
    <xf numFmtId="0" fontId="158" fillId="0" borderId="0"/>
    <xf numFmtId="0" fontId="158" fillId="0" borderId="0"/>
    <xf numFmtId="0" fontId="13" fillId="0" borderId="0"/>
    <xf numFmtId="0" fontId="131" fillId="0" borderId="0"/>
    <xf numFmtId="0" fontId="13" fillId="0" borderId="0"/>
    <xf numFmtId="0" fontId="13" fillId="0" borderId="0"/>
    <xf numFmtId="0" fontId="132" fillId="0" borderId="0"/>
    <xf numFmtId="0" fontId="13" fillId="0" borderId="0"/>
    <xf numFmtId="0" fontId="13" fillId="0" borderId="0"/>
    <xf numFmtId="0" fontId="13" fillId="0" borderId="0"/>
    <xf numFmtId="0" fontId="136" fillId="0" borderId="0"/>
    <xf numFmtId="0" fontId="13" fillId="0" borderId="0"/>
    <xf numFmtId="0" fontId="139" fillId="0" borderId="0"/>
    <xf numFmtId="0" fontId="13" fillId="0" borderId="0"/>
    <xf numFmtId="0" fontId="156" fillId="0" borderId="0"/>
    <xf numFmtId="0" fontId="13" fillId="0" borderId="0"/>
    <xf numFmtId="0" fontId="13" fillId="0" borderId="0"/>
    <xf numFmtId="0" fontId="13" fillId="0" borderId="0"/>
    <xf numFmtId="0" fontId="13" fillId="0" borderId="0"/>
    <xf numFmtId="0" fontId="13" fillId="0" borderId="0"/>
    <xf numFmtId="3" fontId="123" fillId="0" borderId="0"/>
    <xf numFmtId="3" fontId="13" fillId="0" borderId="0"/>
    <xf numFmtId="0" fontId="13" fillId="0" borderId="0"/>
    <xf numFmtId="3" fontId="13" fillId="0" borderId="0"/>
    <xf numFmtId="0" fontId="13" fillId="0" borderId="0"/>
    <xf numFmtId="0" fontId="162" fillId="0" borderId="0"/>
    <xf numFmtId="0" fontId="131" fillId="0" borderId="0"/>
    <xf numFmtId="0" fontId="13" fillId="0" borderId="0"/>
    <xf numFmtId="0" fontId="13" fillId="0" borderId="0"/>
    <xf numFmtId="0" fontId="132" fillId="0" borderId="0"/>
    <xf numFmtId="0" fontId="13" fillId="0" borderId="0"/>
    <xf numFmtId="0" fontId="139" fillId="0" borderId="0"/>
    <xf numFmtId="0" fontId="13" fillId="0" borderId="0"/>
    <xf numFmtId="0" fontId="162" fillId="0" borderId="0"/>
    <xf numFmtId="0" fontId="13" fillId="0" borderId="0"/>
    <xf numFmtId="0" fontId="162" fillId="0" borderId="0"/>
    <xf numFmtId="0" fontId="13" fillId="0" borderId="0"/>
    <xf numFmtId="0" fontId="162" fillId="0" borderId="0"/>
    <xf numFmtId="0" fontId="13" fillId="0" borderId="0"/>
    <xf numFmtId="0" fontId="4" fillId="0" borderId="0" applyProtection="0"/>
    <xf numFmtId="0" fontId="3" fillId="0" borderId="0"/>
    <xf numFmtId="0" fontId="132" fillId="0" borderId="0"/>
    <xf numFmtId="0" fontId="13" fillId="0" borderId="0"/>
    <xf numFmtId="0" fontId="13" fillId="0" borderId="0"/>
    <xf numFmtId="0" fontId="136" fillId="0" borderId="0"/>
    <xf numFmtId="0" fontId="13" fillId="0" borderId="0"/>
    <xf numFmtId="172" fontId="4" fillId="0" borderId="0" applyProtection="0"/>
    <xf numFmtId="0" fontId="3" fillId="0" borderId="0"/>
    <xf numFmtId="0" fontId="13" fillId="0" borderId="0"/>
    <xf numFmtId="172" fontId="4" fillId="0" borderId="0" applyProtection="0"/>
    <xf numFmtId="0" fontId="71" fillId="0" borderId="0"/>
    <xf numFmtId="0" fontId="4" fillId="0" borderId="0"/>
    <xf numFmtId="0" fontId="13" fillId="0" borderId="0"/>
    <xf numFmtId="0" fontId="3"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3" fillId="0" borderId="0" applyFont="0" applyFill="0" applyBorder="0" applyAlignment="0" applyProtection="0"/>
    <xf numFmtId="9" fontId="1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6"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6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6" fillId="0" borderId="0" applyFont="0" applyFill="0" applyBorder="0" applyAlignment="0" applyProtection="0"/>
    <xf numFmtId="9" fontId="13" fillId="0" borderId="0" applyFont="0" applyFill="0" applyBorder="0" applyAlignment="0" applyProtection="0"/>
    <xf numFmtId="9" fontId="162" fillId="0" borderId="0" applyFont="0" applyFill="0" applyBorder="0" applyAlignment="0" applyProtection="0"/>
    <xf numFmtId="9" fontId="14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 fillId="0" borderId="0"/>
    <xf numFmtId="172" fontId="4" fillId="0" borderId="0" applyProtection="0"/>
    <xf numFmtId="172" fontId="4" fillId="0" borderId="0" applyProtection="0"/>
    <xf numFmtId="43" fontId="4" fillId="0" borderId="0" applyFont="0" applyFill="0" applyBorder="0" applyAlignment="0" applyProtection="0"/>
    <xf numFmtId="9" fontId="4"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269">
    <xf numFmtId="0" fontId="0" fillId="0" borderId="0" xfId="0"/>
    <xf numFmtId="0" fontId="0" fillId="0" borderId="0" xfId="0" applyAlignment="1">
      <alignment horizontal="center"/>
    </xf>
    <xf numFmtId="0" fontId="6" fillId="0" borderId="0" xfId="0" applyFont="1"/>
    <xf numFmtId="3" fontId="6" fillId="0" borderId="0" xfId="0" applyNumberFormat="1" applyFont="1" applyAlignment="1">
      <alignment horizontal="center"/>
    </xf>
    <xf numFmtId="0" fontId="13" fillId="0" borderId="0" xfId="0" applyFont="1"/>
    <xf numFmtId="0" fontId="10" fillId="0" borderId="0" xfId="288" applyFont="1" applyAlignment="1">
      <alignment horizontal="center"/>
    </xf>
    <xf numFmtId="0" fontId="16" fillId="0" borderId="0" xfId="288" applyFont="1"/>
    <xf numFmtId="9" fontId="10" fillId="0" borderId="0" xfId="288" quotePrefix="1" applyNumberFormat="1" applyFont="1" applyAlignment="1">
      <alignment horizontal="center"/>
    </xf>
    <xf numFmtId="0" fontId="18" fillId="0" borderId="0" xfId="288" applyFont="1" applyAlignment="1">
      <alignment horizontal="right"/>
    </xf>
    <xf numFmtId="0" fontId="18" fillId="0" borderId="0" xfId="288" applyFont="1" applyAlignment="1">
      <alignment horizontal="center"/>
    </xf>
    <xf numFmtId="9" fontId="10" fillId="0" borderId="0" xfId="288" applyNumberFormat="1" applyFont="1" applyAlignment="1">
      <alignment horizontal="center"/>
    </xf>
    <xf numFmtId="0" fontId="19" fillId="0" borderId="0" xfId="0" applyFont="1" applyAlignment="1">
      <alignment horizontal="right"/>
    </xf>
    <xf numFmtId="0" fontId="0" fillId="0" borderId="0" xfId="0" applyAlignment="1">
      <alignment wrapText="1"/>
    </xf>
    <xf numFmtId="0" fontId="5" fillId="0" borderId="0" xfId="0" applyFont="1"/>
    <xf numFmtId="0" fontId="16" fillId="0" borderId="0" xfId="0" applyFont="1"/>
    <xf numFmtId="0" fontId="19" fillId="0" borderId="0" xfId="0" applyFont="1"/>
    <xf numFmtId="0" fontId="5" fillId="0" borderId="0" xfId="0" applyFont="1" applyAlignment="1">
      <alignment wrapText="1"/>
    </xf>
    <xf numFmtId="0" fontId="13" fillId="0" borderId="0" xfId="288" applyFont="1"/>
    <xf numFmtId="41" fontId="13" fillId="0" borderId="0" xfId="288" applyNumberFormat="1" applyFont="1"/>
    <xf numFmtId="0" fontId="16" fillId="0" borderId="0" xfId="288" applyFont="1" applyAlignment="1">
      <alignment horizontal="left"/>
    </xf>
    <xf numFmtId="3" fontId="13" fillId="0" borderId="0" xfId="0" applyNumberFormat="1" applyFont="1"/>
    <xf numFmtId="0" fontId="6" fillId="0" borderId="0" xfId="288" applyFont="1" applyAlignment="1">
      <alignment horizontal="right"/>
    </xf>
    <xf numFmtId="40" fontId="13" fillId="0" borderId="0" xfId="0" applyNumberFormat="1" applyFont="1"/>
    <xf numFmtId="0" fontId="6" fillId="0" borderId="0" xfId="288" applyFont="1"/>
    <xf numFmtId="0" fontId="10" fillId="0" borderId="0" xfId="288" applyFont="1" applyAlignment="1">
      <alignment horizontal="left"/>
    </xf>
    <xf numFmtId="0" fontId="10" fillId="0" borderId="0" xfId="288" applyFont="1"/>
    <xf numFmtId="0" fontId="13" fillId="0" borderId="0" xfId="288" applyFont="1" applyAlignment="1">
      <alignment horizontal="left"/>
    </xf>
    <xf numFmtId="0" fontId="7" fillId="0" borderId="0" xfId="288" applyFont="1" applyAlignment="1">
      <alignment horizontal="center"/>
    </xf>
    <xf numFmtId="37" fontId="6" fillId="0" borderId="0" xfId="0" applyNumberFormat="1" applyFont="1"/>
    <xf numFmtId="0" fontId="27" fillId="0" borderId="0" xfId="0" applyFont="1"/>
    <xf numFmtId="0" fontId="6" fillId="0" borderId="0" xfId="0" applyFont="1" applyAlignment="1">
      <alignment horizontal="center"/>
    </xf>
    <xf numFmtId="37" fontId="6" fillId="0" borderId="0" xfId="0" applyNumberFormat="1" applyFont="1" applyAlignment="1">
      <alignment horizontal="center"/>
    </xf>
    <xf numFmtId="10" fontId="6" fillId="0" borderId="0" xfId="0" applyNumberFormat="1" applyFont="1"/>
    <xf numFmtId="176" fontId="6" fillId="0" borderId="0" xfId="0" applyNumberFormat="1" applyFont="1"/>
    <xf numFmtId="3" fontId="20" fillId="0" borderId="0" xfId="0" applyNumberFormat="1" applyFont="1"/>
    <xf numFmtId="41" fontId="28" fillId="0" borderId="0" xfId="288" applyNumberFormat="1" applyFont="1"/>
    <xf numFmtId="0" fontId="29" fillId="0" borderId="0" xfId="288" applyFont="1" applyAlignment="1">
      <alignment horizontal="left"/>
    </xf>
    <xf numFmtId="0" fontId="27" fillId="0" borderId="0" xfId="288" applyFont="1"/>
    <xf numFmtId="41" fontId="27" fillId="0" borderId="0" xfId="288" applyNumberFormat="1" applyFont="1"/>
    <xf numFmtId="0" fontId="27" fillId="0" borderId="0" xfId="288" applyFont="1" applyAlignment="1">
      <alignment horizontal="left"/>
    </xf>
    <xf numFmtId="0" fontId="30" fillId="0" borderId="0" xfId="288" applyFont="1"/>
    <xf numFmtId="0" fontId="27" fillId="0" borderId="0" xfId="288" applyFont="1" applyAlignment="1">
      <alignment horizontal="center"/>
    </xf>
    <xf numFmtId="0" fontId="11" fillId="0" borderId="0" xfId="288" applyFont="1" applyAlignment="1">
      <alignment horizontal="center"/>
    </xf>
    <xf numFmtId="173" fontId="27" fillId="0" borderId="0" xfId="288" applyNumberFormat="1" applyFont="1"/>
    <xf numFmtId="173" fontId="27" fillId="0" borderId="0" xfId="288" applyNumberFormat="1" applyFont="1" applyAlignment="1">
      <alignment vertical="top"/>
    </xf>
    <xf numFmtId="41" fontId="27" fillId="0" borderId="13" xfId="288" applyNumberFormat="1" applyFont="1" applyBorder="1"/>
    <xf numFmtId="173" fontId="7" fillId="0" borderId="0" xfId="86" applyNumberFormat="1" applyFont="1" applyFill="1" applyAlignment="1">
      <alignment horizontal="center"/>
    </xf>
    <xf numFmtId="0" fontId="6" fillId="0" borderId="0" xfId="288" applyFont="1" applyAlignment="1">
      <alignment horizontal="center"/>
    </xf>
    <xf numFmtId="0" fontId="31" fillId="0" borderId="0" xfId="288" applyFont="1"/>
    <xf numFmtId="41" fontId="6" fillId="0" borderId="13" xfId="288" applyNumberFormat="1" applyFont="1" applyBorder="1"/>
    <xf numFmtId="38" fontId="13" fillId="0" borderId="0" xfId="0" applyNumberFormat="1" applyFont="1"/>
    <xf numFmtId="43" fontId="6" fillId="0" borderId="0" xfId="288" applyNumberFormat="1" applyFont="1"/>
    <xf numFmtId="3" fontId="6" fillId="0" borderId="0" xfId="0" applyNumberFormat="1" applyFont="1"/>
    <xf numFmtId="41" fontId="28" fillId="25" borderId="0" xfId="288" applyNumberFormat="1" applyFont="1" applyFill="1"/>
    <xf numFmtId="0" fontId="8" fillId="0" borderId="0" xfId="240" applyFont="1" applyAlignment="1">
      <alignment horizontal="left"/>
    </xf>
    <xf numFmtId="0" fontId="13" fillId="0" borderId="0" xfId="240"/>
    <xf numFmtId="0" fontId="13" fillId="0" borderId="0" xfId="240" applyAlignment="1">
      <alignment horizontal="center"/>
    </xf>
    <xf numFmtId="0" fontId="13" fillId="0" borderId="0" xfId="240" applyAlignment="1">
      <alignment horizontal="left"/>
    </xf>
    <xf numFmtId="0" fontId="10" fillId="0" borderId="0" xfId="240" applyFont="1" applyAlignment="1">
      <alignment horizontal="left"/>
    </xf>
    <xf numFmtId="0" fontId="13" fillId="0" borderId="0" xfId="240" applyAlignment="1">
      <alignment horizontal="center" wrapText="1"/>
    </xf>
    <xf numFmtId="3" fontId="13" fillId="0" borderId="0" xfId="240" applyNumberFormat="1"/>
    <xf numFmtId="173" fontId="13" fillId="0" borderId="0" xfId="92" applyNumberFormat="1" applyFont="1" applyFill="1" applyBorder="1" applyAlignment="1">
      <alignment horizontal="right"/>
    </xf>
    <xf numFmtId="0" fontId="9" fillId="0" borderId="0" xfId="240" applyFont="1"/>
    <xf numFmtId="0" fontId="10" fillId="0" borderId="0" xfId="240" applyFont="1"/>
    <xf numFmtId="0" fontId="10" fillId="0" borderId="0" xfId="240" applyFont="1" applyAlignment="1">
      <alignment horizontal="center"/>
    </xf>
    <xf numFmtId="164" fontId="13" fillId="0" borderId="0" xfId="311" applyNumberFormat="1" applyFont="1" applyFill="1" applyBorder="1" applyAlignment="1"/>
    <xf numFmtId="173" fontId="13" fillId="0" borderId="0" xfId="92" applyNumberFormat="1" applyFont="1" applyFill="1" applyBorder="1" applyAlignment="1">
      <alignment horizontal="left"/>
    </xf>
    <xf numFmtId="3" fontId="13" fillId="0" borderId="0" xfId="240" applyNumberFormat="1" applyAlignment="1">
      <alignment horizontal="right"/>
    </xf>
    <xf numFmtId="3" fontId="13" fillId="0" borderId="0" xfId="240" applyNumberFormat="1" applyAlignment="1">
      <alignment horizontal="center"/>
    </xf>
    <xf numFmtId="0" fontId="0" fillId="0" borderId="0" xfId="0" applyAlignment="1">
      <alignment horizontal="center" wrapText="1"/>
    </xf>
    <xf numFmtId="0" fontId="33" fillId="0" borderId="0" xfId="0" applyFont="1"/>
    <xf numFmtId="0" fontId="20" fillId="0" borderId="0" xfId="288" applyFont="1"/>
    <xf numFmtId="0" fontId="18" fillId="0" borderId="0" xfId="240" applyFont="1" applyAlignment="1">
      <alignment horizontal="left"/>
    </xf>
    <xf numFmtId="173" fontId="13" fillId="0" borderId="14" xfId="92" applyNumberFormat="1" applyFont="1" applyFill="1" applyBorder="1" applyAlignment="1">
      <alignment horizontal="right"/>
    </xf>
    <xf numFmtId="0" fontId="13" fillId="0" borderId="0" xfId="288" applyFont="1" applyAlignment="1">
      <alignment horizontal="center"/>
    </xf>
    <xf numFmtId="0" fontId="6" fillId="0" borderId="0" xfId="240" applyFont="1" applyAlignment="1">
      <alignment horizontal="center"/>
    </xf>
    <xf numFmtId="49" fontId="6" fillId="0" borderId="0" xfId="288" applyNumberFormat="1" applyFont="1" applyAlignment="1">
      <alignment horizontal="center"/>
    </xf>
    <xf numFmtId="0" fontId="0" fillId="0" borderId="0" xfId="0" applyAlignment="1">
      <alignment horizontal="right"/>
    </xf>
    <xf numFmtId="3" fontId="11" fillId="0" borderId="0" xfId="0" applyNumberFormat="1" applyFont="1" applyAlignment="1">
      <alignment horizontal="center"/>
    </xf>
    <xf numFmtId="0" fontId="13" fillId="0" borderId="0" xfId="0" applyFont="1" applyAlignment="1">
      <alignment horizontal="center"/>
    </xf>
    <xf numFmtId="173" fontId="13" fillId="0" borderId="0" xfId="86" applyNumberFormat="1" applyFont="1"/>
    <xf numFmtId="10" fontId="13" fillId="0" borderId="0" xfId="0" applyNumberFormat="1" applyFont="1"/>
    <xf numFmtId="10" fontId="0" fillId="0" borderId="0" xfId="0" applyNumberFormat="1"/>
    <xf numFmtId="184" fontId="19" fillId="0" borderId="0" xfId="298" applyNumberFormat="1" applyFont="1"/>
    <xf numFmtId="0" fontId="72" fillId="0" borderId="0" xfId="298" applyFont="1"/>
    <xf numFmtId="184" fontId="19" fillId="0" borderId="0" xfId="298" applyNumberFormat="1" applyFont="1" applyAlignment="1">
      <alignment horizontal="center"/>
    </xf>
    <xf numFmtId="0" fontId="13" fillId="0" borderId="0" xfId="298" applyFont="1"/>
    <xf numFmtId="0" fontId="19" fillId="0" borderId="0" xfId="298" applyFont="1"/>
    <xf numFmtId="0" fontId="19" fillId="0" borderId="0" xfId="298" applyFont="1" applyAlignment="1">
      <alignment horizontal="center"/>
    </xf>
    <xf numFmtId="184" fontId="73" fillId="0" borderId="0" xfId="298" applyNumberFormat="1" applyFont="1"/>
    <xf numFmtId="0" fontId="74" fillId="0" borderId="0" xfId="298" applyFont="1"/>
    <xf numFmtId="173" fontId="72" fillId="0" borderId="0" xfId="298" applyNumberFormat="1" applyFont="1"/>
    <xf numFmtId="0" fontId="75" fillId="0" borderId="0" xfId="298" applyFont="1"/>
    <xf numFmtId="184" fontId="13" fillId="0" borderId="0" xfId="298" applyNumberFormat="1" applyFont="1"/>
    <xf numFmtId="0" fontId="76" fillId="0" borderId="0" xfId="295" applyFont="1" applyAlignment="1">
      <alignment horizontal="center"/>
    </xf>
    <xf numFmtId="0" fontId="76" fillId="0" borderId="0" xfId="295" applyFont="1" applyAlignment="1">
      <alignment horizontal="left" indent="2"/>
    </xf>
    <xf numFmtId="39" fontId="76" fillId="0" borderId="0" xfId="295" applyNumberFormat="1" applyFont="1"/>
    <xf numFmtId="0" fontId="13" fillId="0" borderId="0" xfId="298" applyFont="1" applyAlignment="1">
      <alignment horizontal="center"/>
    </xf>
    <xf numFmtId="43" fontId="72" fillId="0" borderId="0" xfId="86" applyFont="1"/>
    <xf numFmtId="173" fontId="77" fillId="0" borderId="0" xfId="298" applyNumberFormat="1" applyFont="1"/>
    <xf numFmtId="184" fontId="6" fillId="0" borderId="0" xfId="298" applyNumberFormat="1" applyFont="1"/>
    <xf numFmtId="43" fontId="77" fillId="0" borderId="0" xfId="86" applyFont="1"/>
    <xf numFmtId="43" fontId="6" fillId="0" borderId="0" xfId="86" applyFont="1"/>
    <xf numFmtId="173" fontId="77" fillId="0" borderId="0" xfId="86" applyNumberFormat="1" applyFont="1"/>
    <xf numFmtId="173" fontId="6" fillId="0" borderId="0" xfId="86" applyNumberFormat="1" applyFont="1"/>
    <xf numFmtId="173" fontId="72" fillId="0" borderId="14" xfId="86" applyNumberFormat="1" applyFont="1" applyBorder="1"/>
    <xf numFmtId="0" fontId="72" fillId="0" borderId="0" xfId="0" applyFont="1"/>
    <xf numFmtId="10" fontId="6" fillId="0" borderId="14" xfId="0" applyNumberFormat="1" applyFont="1" applyBorder="1"/>
    <xf numFmtId="0" fontId="80" fillId="0" borderId="0" xfId="298" applyFont="1" applyAlignment="1">
      <alignment horizontal="center"/>
    </xf>
    <xf numFmtId="173" fontId="0" fillId="0" borderId="0" xfId="86" applyNumberFormat="1" applyFont="1" applyFill="1"/>
    <xf numFmtId="173" fontId="0" fillId="0" borderId="0" xfId="0" applyNumberFormat="1"/>
    <xf numFmtId="173" fontId="13" fillId="0" borderId="0" xfId="86" applyNumberFormat="1" applyFont="1" applyFill="1"/>
    <xf numFmtId="0" fontId="10" fillId="0" borderId="0" xfId="288" applyFont="1" applyAlignment="1">
      <alignment horizontal="center" wrapText="1"/>
    </xf>
    <xf numFmtId="38" fontId="13" fillId="0" borderId="0" xfId="0" applyNumberFormat="1" applyFont="1" applyAlignment="1">
      <alignment horizontal="center"/>
    </xf>
    <xf numFmtId="0" fontId="3" fillId="0" borderId="0" xfId="288" applyAlignment="1">
      <alignment horizontal="left"/>
    </xf>
    <xf numFmtId="0" fontId="81" fillId="0" borderId="0" xfId="288" applyFont="1" applyAlignment="1">
      <alignment horizontal="left"/>
    </xf>
    <xf numFmtId="0" fontId="3" fillId="0" borderId="0" xfId="288"/>
    <xf numFmtId="0" fontId="81" fillId="0" borderId="0" xfId="288" applyFont="1"/>
    <xf numFmtId="0" fontId="70" fillId="0" borderId="0" xfId="288" applyFont="1" applyAlignment="1">
      <alignment horizontal="center"/>
    </xf>
    <xf numFmtId="0" fontId="82" fillId="0" borderId="0" xfId="240" applyFont="1" applyAlignment="1">
      <alignment horizontal="left"/>
    </xf>
    <xf numFmtId="38" fontId="13" fillId="0" borderId="0" xfId="240" applyNumberFormat="1" applyAlignment="1">
      <alignment horizontal="right"/>
    </xf>
    <xf numFmtId="0" fontId="13" fillId="0" borderId="0" xfId="240" applyAlignment="1">
      <alignment horizontal="right"/>
    </xf>
    <xf numFmtId="38" fontId="13" fillId="0" borderId="0" xfId="0" applyNumberFormat="1" applyFont="1" applyAlignment="1">
      <alignment horizontal="right"/>
    </xf>
    <xf numFmtId="0" fontId="5" fillId="0" borderId="0" xfId="0" applyFont="1" applyAlignment="1">
      <alignment horizontal="center"/>
    </xf>
    <xf numFmtId="0" fontId="5" fillId="0" borderId="0" xfId="240" applyFont="1" applyAlignment="1">
      <alignment horizontal="center"/>
    </xf>
    <xf numFmtId="38" fontId="9" fillId="0" borderId="0" xfId="240" applyNumberFormat="1" applyFont="1"/>
    <xf numFmtId="173" fontId="9" fillId="0" borderId="14" xfId="86" applyNumberFormat="1" applyFont="1" applyFill="1" applyBorder="1" applyAlignment="1"/>
    <xf numFmtId="0" fontId="13" fillId="0" borderId="14" xfId="240" applyBorder="1" applyAlignment="1">
      <alignment horizontal="left"/>
    </xf>
    <xf numFmtId="41" fontId="72" fillId="0" borderId="0" xfId="298" applyNumberFormat="1" applyFont="1"/>
    <xf numFmtId="10" fontId="72" fillId="0" borderId="11" xfId="306" applyNumberFormat="1" applyFont="1" applyFill="1" applyBorder="1"/>
    <xf numFmtId="173" fontId="72" fillId="0" borderId="0" xfId="86" applyNumberFormat="1" applyFont="1" applyFill="1"/>
    <xf numFmtId="3" fontId="5" fillId="0" borderId="0" xfId="0" applyNumberFormat="1" applyFont="1" applyAlignment="1">
      <alignment horizontal="center"/>
    </xf>
    <xf numFmtId="10" fontId="13" fillId="0" borderId="0" xfId="306" applyNumberFormat="1" applyFont="1" applyAlignment="1">
      <alignment horizontal="right"/>
    </xf>
    <xf numFmtId="0" fontId="10" fillId="0" borderId="0" xfId="0" applyFont="1" applyAlignment="1">
      <alignment horizontal="center" wrapText="1"/>
    </xf>
    <xf numFmtId="0" fontId="10" fillId="0" borderId="0" xfId="0" applyFont="1" applyAlignment="1">
      <alignment wrapText="1"/>
    </xf>
    <xf numFmtId="10" fontId="9" fillId="0" borderId="0" xfId="306" applyNumberFormat="1" applyFont="1"/>
    <xf numFmtId="174" fontId="3" fillId="0" borderId="0" xfId="131" applyNumberFormat="1"/>
    <xf numFmtId="0" fontId="5" fillId="0" borderId="0" xfId="0" applyFont="1" applyAlignment="1">
      <alignment horizontal="right"/>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18" fillId="0" borderId="0" xfId="0" applyFont="1" applyAlignment="1">
      <alignment horizontal="left"/>
    </xf>
    <xf numFmtId="0" fontId="5" fillId="0" borderId="0" xfId="0" applyFont="1" applyAlignment="1">
      <alignment horizontal="left"/>
    </xf>
    <xf numFmtId="0" fontId="18"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3" fillId="0" borderId="0" xfId="240" applyNumberFormat="1"/>
    <xf numFmtId="0" fontId="13" fillId="25" borderId="0" xfId="240" applyFill="1" applyAlignment="1">
      <alignment horizontal="center"/>
    </xf>
    <xf numFmtId="0" fontId="10" fillId="25" borderId="0" xfId="240" applyFont="1" applyFill="1" applyAlignment="1">
      <alignment horizontal="left"/>
    </xf>
    <xf numFmtId="0" fontId="9" fillId="25" borderId="0" xfId="240" applyFont="1" applyFill="1"/>
    <xf numFmtId="0" fontId="13" fillId="25" borderId="0" xfId="240" applyFill="1" applyAlignment="1">
      <alignment horizontal="left"/>
    </xf>
    <xf numFmtId="0" fontId="13" fillId="25" borderId="0" xfId="240" applyFill="1"/>
    <xf numFmtId="173" fontId="13" fillId="25" borderId="0" xfId="92" applyNumberFormat="1" applyFont="1" applyFill="1" applyBorder="1" applyAlignment="1">
      <alignment horizontal="right"/>
    </xf>
    <xf numFmtId="0" fontId="0" fillId="25" borderId="0" xfId="0" applyFill="1"/>
    <xf numFmtId="164" fontId="13" fillId="25" borderId="0" xfId="311" applyNumberFormat="1" applyFont="1" applyFill="1" applyBorder="1" applyAlignment="1"/>
    <xf numFmtId="173" fontId="13" fillId="25" borderId="0" xfId="92" applyNumberFormat="1" applyFont="1" applyFill="1" applyBorder="1" applyAlignment="1">
      <alignment horizontal="left"/>
    </xf>
    <xf numFmtId="0" fontId="14" fillId="0" borderId="0" xfId="0" applyFont="1"/>
    <xf numFmtId="0" fontId="18" fillId="0" borderId="0" xfId="240" applyFont="1" applyAlignment="1">
      <alignment horizontal="center"/>
    </xf>
    <xf numFmtId="0" fontId="14" fillId="0" borderId="0" xfId="240" applyFont="1" applyAlignment="1">
      <alignment horizontal="left"/>
    </xf>
    <xf numFmtId="173" fontId="14" fillId="0" borderId="0" xfId="92" applyNumberFormat="1" applyFont="1" applyFill="1" applyBorder="1" applyAlignment="1">
      <alignment horizontal="right"/>
    </xf>
    <xf numFmtId="0" fontId="15" fillId="0" borderId="0" xfId="288" applyFont="1"/>
    <xf numFmtId="0" fontId="84" fillId="0" borderId="0" xfId="288" applyFont="1"/>
    <xf numFmtId="9" fontId="11" fillId="0" borderId="0" xfId="288" quotePrefix="1" applyNumberFormat="1" applyFont="1" applyAlignment="1">
      <alignment horizontal="center"/>
    </xf>
    <xf numFmtId="0" fontId="5" fillId="0" borderId="0" xfId="298" applyFont="1" applyAlignment="1">
      <alignment horizontal="center"/>
    </xf>
    <xf numFmtId="0" fontId="5" fillId="0" borderId="0" xfId="298" applyFont="1"/>
    <xf numFmtId="184" fontId="5" fillId="0" borderId="0" xfId="298" applyNumberFormat="1" applyFont="1" applyAlignment="1">
      <alignment horizontal="center"/>
    </xf>
    <xf numFmtId="0" fontId="10" fillId="0" borderId="0" xfId="298" applyFont="1"/>
    <xf numFmtId="0" fontId="5" fillId="0" borderId="11" xfId="298" applyFont="1" applyBorder="1" applyAlignment="1">
      <alignment horizontal="center"/>
    </xf>
    <xf numFmtId="184" fontId="5" fillId="0" borderId="11" xfId="298" applyNumberFormat="1" applyFont="1" applyBorder="1" applyAlignment="1">
      <alignment horizontal="center"/>
    </xf>
    <xf numFmtId="0" fontId="75" fillId="0" borderId="11" xfId="298" applyFont="1" applyBorder="1" applyAlignment="1">
      <alignment horizontal="center"/>
    </xf>
    <xf numFmtId="0" fontId="10" fillId="0" borderId="0" xfId="298" applyFont="1" applyAlignment="1">
      <alignment horizontal="center"/>
    </xf>
    <xf numFmtId="0" fontId="85" fillId="0" borderId="0" xfId="298" applyFont="1"/>
    <xf numFmtId="6" fontId="13" fillId="0" borderId="0" xfId="0" applyNumberFormat="1" applyFont="1" applyAlignment="1">
      <alignment horizontal="right"/>
    </xf>
    <xf numFmtId="0" fontId="10" fillId="0" borderId="0" xfId="0" applyFont="1" applyAlignment="1">
      <alignment horizontal="left"/>
    </xf>
    <xf numFmtId="173" fontId="87" fillId="0" borderId="0" xfId="86" applyNumberFormat="1" applyFont="1" applyFill="1"/>
    <xf numFmtId="173" fontId="72" fillId="0" borderId="0" xfId="86" applyNumberFormat="1" applyFont="1" applyFill="1" applyBorder="1"/>
    <xf numFmtId="9" fontId="72" fillId="0" borderId="0" xfId="306" applyFont="1" applyFill="1"/>
    <xf numFmtId="41" fontId="88" fillId="26" borderId="0" xfId="298" applyNumberFormat="1" applyFont="1" applyFill="1"/>
    <xf numFmtId="10" fontId="72" fillId="0" borderId="0" xfId="306" applyNumberFormat="1" applyFont="1" applyFill="1"/>
    <xf numFmtId="10" fontId="72" fillId="0" borderId="0" xfId="306" applyNumberFormat="1" applyFont="1" applyFill="1" applyBorder="1"/>
    <xf numFmtId="0" fontId="92" fillId="0" borderId="0" xfId="0" applyFont="1" applyAlignment="1">
      <alignment horizontal="center"/>
    </xf>
    <xf numFmtId="0" fontId="91" fillId="0" borderId="0" xfId="288" applyFont="1" applyAlignment="1">
      <alignment horizontal="center"/>
    </xf>
    <xf numFmtId="164" fontId="72" fillId="0" borderId="0" xfId="306" applyNumberFormat="1" applyFont="1" applyFill="1"/>
    <xf numFmtId="0" fontId="6" fillId="0" borderId="0" xfId="298" applyFont="1"/>
    <xf numFmtId="173" fontId="6" fillId="0" borderId="0" xfId="298" applyNumberFormat="1" applyFont="1"/>
    <xf numFmtId="164" fontId="0" fillId="0" borderId="0" xfId="306" applyNumberFormat="1" applyFont="1"/>
    <xf numFmtId="173" fontId="95" fillId="0" borderId="0" xfId="298" applyNumberFormat="1" applyFont="1"/>
    <xf numFmtId="0" fontId="24" fillId="0" borderId="0" xfId="288" applyFont="1" applyAlignment="1">
      <alignment horizontal="center"/>
    </xf>
    <xf numFmtId="37" fontId="13" fillId="0" borderId="0" xfId="240" applyNumberFormat="1" applyAlignment="1">
      <alignment horizontal="right"/>
    </xf>
    <xf numFmtId="37" fontId="9" fillId="0" borderId="0" xfId="240" applyNumberFormat="1" applyFont="1"/>
    <xf numFmtId="0" fontId="98" fillId="0" borderId="0" xfId="288" applyFont="1"/>
    <xf numFmtId="0" fontId="13"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wrapText="1"/>
    </xf>
    <xf numFmtId="173" fontId="0" fillId="0" borderId="14" xfId="0" applyNumberFormat="1" applyBorder="1"/>
    <xf numFmtId="9" fontId="0" fillId="0" borderId="0" xfId="306" applyFont="1"/>
    <xf numFmtId="0" fontId="100" fillId="0" borderId="0" xfId="0" applyFont="1" applyAlignment="1">
      <alignment horizontal="center" wrapText="1"/>
    </xf>
    <xf numFmtId="0" fontId="19" fillId="0" borderId="0" xfId="295" applyFont="1" applyAlignment="1">
      <alignment horizontal="center"/>
    </xf>
    <xf numFmtId="0" fontId="33" fillId="0" borderId="0" xfId="288" applyFont="1" applyAlignment="1">
      <alignment horizontal="left"/>
    </xf>
    <xf numFmtId="0" fontId="33" fillId="0" borderId="0" xfId="288" applyFont="1"/>
    <xf numFmtId="0" fontId="102" fillId="0" borderId="0" xfId="288" applyFont="1" applyAlignment="1">
      <alignment horizontal="center"/>
    </xf>
    <xf numFmtId="0" fontId="103" fillId="0" borderId="0" xfId="288" applyFont="1"/>
    <xf numFmtId="188" fontId="104" fillId="0" borderId="0" xfId="240" applyNumberFormat="1" applyFont="1" applyAlignment="1">
      <alignment horizontal="center"/>
    </xf>
    <xf numFmtId="38" fontId="0" fillId="0" borderId="0" xfId="0" applyNumberFormat="1"/>
    <xf numFmtId="0" fontId="3" fillId="0" borderId="0" xfId="0" applyFont="1"/>
    <xf numFmtId="3" fontId="14" fillId="0" borderId="0" xfId="240" applyNumberFormat="1" applyFont="1" applyAlignment="1">
      <alignment horizontal="center"/>
    </xf>
    <xf numFmtId="0" fontId="105" fillId="0" borderId="0" xfId="298" applyFont="1"/>
    <xf numFmtId="41" fontId="105" fillId="0" borderId="0" xfId="298" applyNumberFormat="1" applyFont="1"/>
    <xf numFmtId="43" fontId="6" fillId="0" borderId="0" xfId="86" applyFont="1" applyAlignment="1">
      <alignment horizontal="center"/>
    </xf>
    <xf numFmtId="43" fontId="6" fillId="0" borderId="0" xfId="86" applyFont="1" applyBorder="1" applyAlignment="1">
      <alignment horizontal="center"/>
    </xf>
    <xf numFmtId="43" fontId="5" fillId="0" borderId="0" xfId="86" applyFont="1" applyBorder="1" applyAlignment="1">
      <alignment horizontal="center"/>
    </xf>
    <xf numFmtId="43" fontId="5" fillId="0" borderId="0" xfId="86" applyFont="1" applyAlignment="1">
      <alignment horizontal="center"/>
    </xf>
    <xf numFmtId="43" fontId="16" fillId="0" borderId="0" xfId="86" applyFont="1"/>
    <xf numFmtId="0" fontId="5" fillId="0" borderId="11" xfId="298" applyFont="1" applyBorder="1"/>
    <xf numFmtId="0" fontId="72" fillId="0" borderId="0" xfId="298" applyFont="1" applyAlignment="1">
      <alignment horizontal="center"/>
    </xf>
    <xf numFmtId="173" fontId="79" fillId="0" borderId="0" xfId="298" applyNumberFormat="1" applyFont="1"/>
    <xf numFmtId="3" fontId="79" fillId="0" borderId="0" xfId="298" applyNumberFormat="1" applyFont="1"/>
    <xf numFmtId="0" fontId="23" fillId="0" borderId="0" xfId="288" applyFont="1"/>
    <xf numFmtId="38" fontId="27" fillId="0" borderId="13" xfId="288" applyNumberFormat="1" applyFont="1" applyBorder="1" applyAlignment="1">
      <alignment horizontal="right"/>
    </xf>
    <xf numFmtId="0" fontId="33" fillId="0" borderId="0" xfId="288" applyFont="1" applyAlignment="1">
      <alignment horizontal="center"/>
    </xf>
    <xf numFmtId="0" fontId="76" fillId="0" borderId="0" xfId="298" applyFont="1"/>
    <xf numFmtId="10" fontId="4" fillId="0" borderId="0" xfId="299" applyNumberFormat="1"/>
    <xf numFmtId="10" fontId="4" fillId="0" borderId="15" xfId="299" applyNumberFormat="1" applyBorder="1"/>
    <xf numFmtId="192" fontId="4" fillId="0" borderId="15" xfId="299" applyNumberFormat="1" applyBorder="1"/>
    <xf numFmtId="176" fontId="4" fillId="0" borderId="15" xfId="299" applyNumberFormat="1" applyBorder="1"/>
    <xf numFmtId="191" fontId="4" fillId="0" borderId="15" xfId="299" applyNumberFormat="1" applyBorder="1"/>
    <xf numFmtId="194" fontId="4" fillId="0" borderId="0" xfId="299" applyNumberFormat="1"/>
    <xf numFmtId="176" fontId="4" fillId="0" borderId="0" xfId="299" applyNumberFormat="1"/>
    <xf numFmtId="191" fontId="4" fillId="0" borderId="0" xfId="299" applyNumberFormat="1"/>
    <xf numFmtId="10" fontId="118" fillId="0" borderId="0" xfId="299" applyNumberFormat="1" applyFont="1"/>
    <xf numFmtId="173" fontId="121" fillId="0" borderId="0" xfId="0" applyNumberFormat="1" applyFont="1"/>
    <xf numFmtId="0" fontId="108" fillId="0" borderId="0" xfId="240" applyFont="1" applyAlignment="1">
      <alignment horizontal="center"/>
    </xf>
    <xf numFmtId="0" fontId="100" fillId="0" borderId="0" xfId="240" applyFont="1" applyAlignment="1">
      <alignment horizontal="left"/>
    </xf>
    <xf numFmtId="0" fontId="33" fillId="0" borderId="0" xfId="240" applyFont="1" applyAlignment="1">
      <alignment horizontal="center"/>
    </xf>
    <xf numFmtId="0" fontId="33" fillId="0" borderId="0" xfId="240" applyFont="1" applyAlignment="1">
      <alignment horizontal="left"/>
    </xf>
    <xf numFmtId="0" fontId="33" fillId="0" borderId="0" xfId="240" applyFont="1"/>
    <xf numFmtId="3" fontId="33" fillId="0" borderId="0" xfId="240" applyNumberFormat="1" applyFont="1"/>
    <xf numFmtId="0" fontId="108" fillId="0" borderId="0" xfId="240" applyFont="1"/>
    <xf numFmtId="0" fontId="120" fillId="0" borderId="0" xfId="288" applyFont="1" applyAlignment="1">
      <alignment horizontal="center"/>
    </xf>
    <xf numFmtId="0" fontId="100" fillId="0" borderId="0" xfId="0" applyFont="1" applyAlignment="1">
      <alignment horizontal="center"/>
    </xf>
    <xf numFmtId="41" fontId="0" fillId="0" borderId="0" xfId="0" applyNumberFormat="1"/>
    <xf numFmtId="37" fontId="122" fillId="0" borderId="13" xfId="0" applyNumberFormat="1" applyFont="1" applyBorder="1"/>
    <xf numFmtId="0" fontId="27" fillId="0" borderId="0" xfId="0" applyFont="1" applyAlignment="1">
      <alignment horizontal="left"/>
    </xf>
    <xf numFmtId="3" fontId="20" fillId="31" borderId="0" xfId="0" applyNumberFormat="1" applyFont="1" applyFill="1"/>
    <xf numFmtId="173" fontId="79" fillId="31" borderId="0" xfId="298" applyNumberFormat="1" applyFont="1" applyFill="1"/>
    <xf numFmtId="0" fontId="72" fillId="31" borderId="0" xfId="298" applyFont="1" applyFill="1" applyAlignment="1">
      <alignment horizontal="center"/>
    </xf>
    <xf numFmtId="174" fontId="0" fillId="0" borderId="0" xfId="131" applyNumberFormat="1" applyFont="1"/>
    <xf numFmtId="3" fontId="33" fillId="31" borderId="0" xfId="240" applyNumberFormat="1" applyFont="1" applyFill="1"/>
    <xf numFmtId="0" fontId="0" fillId="31" borderId="0" xfId="0" applyFill="1"/>
    <xf numFmtId="0" fontId="6" fillId="31" borderId="0" xfId="0" applyFont="1" applyFill="1"/>
    <xf numFmtId="10" fontId="13" fillId="0" borderId="0" xfId="306" applyNumberFormat="1" applyFont="1" applyFill="1"/>
    <xf numFmtId="174" fontId="0" fillId="0" borderId="0" xfId="0" applyNumberFormat="1"/>
    <xf numFmtId="10" fontId="72" fillId="31" borderId="0" xfId="306" applyNumberFormat="1" applyFont="1" applyFill="1"/>
    <xf numFmtId="41" fontId="72" fillId="31" borderId="0" xfId="298" applyNumberFormat="1" applyFont="1" applyFill="1"/>
    <xf numFmtId="0" fontId="72" fillId="31" borderId="0" xfId="298" applyFont="1" applyFill="1"/>
    <xf numFmtId="10" fontId="72" fillId="31" borderId="0" xfId="306" applyNumberFormat="1" applyFont="1" applyFill="1" applyBorder="1"/>
    <xf numFmtId="41" fontId="88" fillId="32" borderId="0" xfId="298" applyNumberFormat="1" applyFont="1" applyFill="1"/>
    <xf numFmtId="10" fontId="72" fillId="31" borderId="11" xfId="306" applyNumberFormat="1" applyFont="1" applyFill="1" applyBorder="1"/>
    <xf numFmtId="173" fontId="72" fillId="31" borderId="0" xfId="86" applyNumberFormat="1" applyFont="1" applyFill="1"/>
    <xf numFmtId="172" fontId="4" fillId="0" borderId="0" xfId="297" applyProtection="1"/>
    <xf numFmtId="172" fontId="6" fillId="0" borderId="0" xfId="297" applyFont="1" applyProtection="1"/>
    <xf numFmtId="0" fontId="7" fillId="0" borderId="0" xfId="297" applyNumberFormat="1" applyFont="1" applyAlignment="1" applyProtection="1">
      <alignment horizontal="left"/>
    </xf>
    <xf numFmtId="14" fontId="7" fillId="0" borderId="0" xfId="297" applyNumberFormat="1" applyFont="1" applyProtection="1"/>
    <xf numFmtId="172" fontId="7" fillId="0" borderId="0" xfId="297" applyFont="1" applyProtection="1"/>
    <xf numFmtId="0" fontId="6" fillId="0" borderId="0" xfId="297" applyNumberFormat="1" applyFont="1" applyProtection="1"/>
    <xf numFmtId="0" fontId="6" fillId="0" borderId="0" xfId="297" applyNumberFormat="1" applyFont="1" applyAlignment="1" applyProtection="1">
      <alignment horizontal="right"/>
    </xf>
    <xf numFmtId="0" fontId="20" fillId="0" borderId="0" xfId="86" applyNumberFormat="1" applyFont="1" applyFill="1" applyAlignment="1" applyProtection="1"/>
    <xf numFmtId="3" fontId="6" fillId="0" borderId="0" xfId="297" applyNumberFormat="1" applyFont="1" applyProtection="1"/>
    <xf numFmtId="0" fontId="4" fillId="0" borderId="0" xfId="297" applyNumberFormat="1" applyAlignment="1" applyProtection="1">
      <alignment horizontal="center"/>
    </xf>
    <xf numFmtId="0" fontId="6" fillId="0" borderId="0" xfId="297" applyNumberFormat="1" applyFont="1" applyAlignment="1" applyProtection="1">
      <alignment horizontal="center"/>
    </xf>
    <xf numFmtId="49" fontId="6" fillId="0" borderId="0" xfId="297" applyNumberFormat="1" applyFont="1" applyAlignment="1" applyProtection="1">
      <alignment horizontal="center"/>
    </xf>
    <xf numFmtId="3" fontId="22" fillId="0" borderId="0" xfId="0" applyNumberFormat="1" applyFont="1" applyAlignment="1">
      <alignment horizontal="center"/>
    </xf>
    <xf numFmtId="49" fontId="6" fillId="0" borderId="0" xfId="297" applyNumberFormat="1" applyFont="1" applyProtection="1"/>
    <xf numFmtId="39" fontId="6" fillId="0" borderId="0" xfId="86" applyNumberFormat="1" applyFont="1" applyAlignment="1" applyProtection="1">
      <alignment horizontal="center"/>
    </xf>
    <xf numFmtId="0" fontId="4" fillId="0" borderId="6" xfId="297" applyNumberFormat="1" applyBorder="1" applyAlignment="1" applyProtection="1">
      <alignment horizontal="center"/>
    </xf>
    <xf numFmtId="0" fontId="6" fillId="0" borderId="6" xfId="297" applyNumberFormat="1" applyFont="1" applyBorder="1" applyAlignment="1" applyProtection="1">
      <alignment horizontal="center"/>
    </xf>
    <xf numFmtId="0" fontId="6" fillId="0" borderId="0" xfId="297" applyNumberFormat="1" applyFont="1" applyAlignment="1" applyProtection="1">
      <alignment horizontal="left"/>
    </xf>
    <xf numFmtId="170" fontId="6" fillId="0" borderId="0" xfId="297" applyNumberFormat="1" applyFont="1" applyProtection="1"/>
    <xf numFmtId="3" fontId="6" fillId="0" borderId="0" xfId="297" applyNumberFormat="1" applyFont="1" applyAlignment="1" applyProtection="1">
      <alignment horizontal="left"/>
    </xf>
    <xf numFmtId="0" fontId="6" fillId="0" borderId="6" xfId="297" applyNumberFormat="1" applyFont="1" applyBorder="1" applyAlignment="1" applyProtection="1">
      <alignment horizontal="centerContinuous"/>
    </xf>
    <xf numFmtId="41" fontId="6" fillId="0" borderId="0" xfId="297" applyNumberFormat="1" applyFont="1" applyProtection="1"/>
    <xf numFmtId="3" fontId="6" fillId="0" borderId="0" xfId="297" applyNumberFormat="1" applyFont="1" applyAlignment="1" applyProtection="1">
      <alignment horizontal="center"/>
    </xf>
    <xf numFmtId="165" fontId="6" fillId="0" borderId="0" xfId="297" applyNumberFormat="1" applyFont="1" applyAlignment="1" applyProtection="1">
      <alignment horizontal="right"/>
    </xf>
    <xf numFmtId="42" fontId="6" fillId="0" borderId="0" xfId="297" applyNumberFormat="1" applyFont="1" applyProtection="1"/>
    <xf numFmtId="172" fontId="6" fillId="0" borderId="11" xfId="297" applyFont="1" applyBorder="1" applyProtection="1"/>
    <xf numFmtId="0" fontId="6" fillId="0" borderId="0" xfId="0" applyFont="1" applyAlignment="1">
      <alignment wrapText="1"/>
    </xf>
    <xf numFmtId="174" fontId="6" fillId="0" borderId="14" xfId="297" applyNumberFormat="1" applyFont="1" applyBorder="1" applyProtection="1"/>
    <xf numFmtId="172" fontId="78" fillId="0" borderId="0" xfId="297" applyFont="1" applyAlignment="1" applyProtection="1">
      <alignment horizontal="center" wrapText="1"/>
    </xf>
    <xf numFmtId="43" fontId="6" fillId="0" borderId="0" xfId="86" applyFont="1" applyProtection="1"/>
    <xf numFmtId="171" fontId="6" fillId="0" borderId="0" xfId="297" applyNumberFormat="1" applyFont="1" applyProtection="1"/>
    <xf numFmtId="10" fontId="6" fillId="0" borderId="0" xfId="297" applyNumberFormat="1" applyFont="1" applyProtection="1"/>
    <xf numFmtId="10" fontId="6" fillId="0" borderId="0" xfId="306" applyNumberFormat="1" applyFont="1" applyAlignment="1" applyProtection="1"/>
    <xf numFmtId="185" fontId="6" fillId="0" borderId="0" xfId="297" applyNumberFormat="1" applyFont="1" applyProtection="1"/>
    <xf numFmtId="43" fontId="6" fillId="0" borderId="0" xfId="86" applyFont="1" applyAlignment="1" applyProtection="1"/>
    <xf numFmtId="41" fontId="6" fillId="0" borderId="0" xfId="297" applyNumberFormat="1" applyFont="1" applyAlignment="1" applyProtection="1">
      <alignment horizontal="center"/>
    </xf>
    <xf numFmtId="41" fontId="6" fillId="0" borderId="14" xfId="297" applyNumberFormat="1" applyFont="1" applyBorder="1" applyAlignment="1" applyProtection="1">
      <alignment horizontal="center"/>
    </xf>
    <xf numFmtId="41" fontId="6" fillId="0" borderId="0" xfId="297" applyNumberFormat="1" applyFont="1" applyAlignment="1" applyProtection="1">
      <alignment horizontal="right"/>
    </xf>
    <xf numFmtId="42" fontId="6" fillId="0" borderId="0" xfId="306" applyNumberFormat="1" applyFont="1" applyAlignment="1" applyProtection="1"/>
    <xf numFmtId="43" fontId="6" fillId="0" borderId="0" xfId="297" applyNumberFormat="1" applyFont="1" applyAlignment="1" applyProtection="1">
      <alignment horizontal="right"/>
    </xf>
    <xf numFmtId="172" fontId="6" fillId="0" borderId="0" xfId="297" applyFont="1" applyAlignment="1" applyProtection="1">
      <alignment horizontal="right"/>
    </xf>
    <xf numFmtId="0" fontId="33" fillId="0" borderId="0" xfId="0" applyFont="1" applyAlignment="1">
      <alignment horizontal="center"/>
    </xf>
    <xf numFmtId="49" fontId="6" fillId="0" borderId="0" xfId="297" applyNumberFormat="1" applyFont="1" applyAlignment="1" applyProtection="1">
      <alignment horizontal="left"/>
    </xf>
    <xf numFmtId="0" fontId="4" fillId="0" borderId="0" xfId="297" applyNumberFormat="1" applyAlignment="1" applyProtection="1">
      <alignment horizontal="center" vertical="center"/>
    </xf>
    <xf numFmtId="3" fontId="7" fillId="0" borderId="0" xfId="297" applyNumberFormat="1" applyFont="1" applyAlignment="1" applyProtection="1">
      <alignment horizontal="center"/>
    </xf>
    <xf numFmtId="172" fontId="7" fillId="0" borderId="0" xfId="297" applyFont="1" applyAlignment="1" applyProtection="1">
      <alignment horizontal="center"/>
    </xf>
    <xf numFmtId="49" fontId="7" fillId="0" borderId="0" xfId="297" applyNumberFormat="1" applyFont="1" applyAlignment="1" applyProtection="1">
      <alignment horizontal="center"/>
    </xf>
    <xf numFmtId="0" fontId="11" fillId="0" borderId="0" xfId="297" applyNumberFormat="1" applyFont="1" applyAlignment="1" applyProtection="1">
      <alignment horizontal="center"/>
    </xf>
    <xf numFmtId="172" fontId="11" fillId="0" borderId="0" xfId="297" applyFont="1" applyAlignment="1" applyProtection="1">
      <alignment horizontal="center"/>
    </xf>
    <xf numFmtId="3" fontId="7" fillId="0" borderId="0" xfId="297" applyNumberFormat="1" applyFont="1" applyProtection="1"/>
    <xf numFmtId="173" fontId="6" fillId="0" borderId="0" xfId="86" applyNumberFormat="1" applyFont="1" applyFill="1" applyAlignment="1" applyProtection="1"/>
    <xf numFmtId="0" fontId="6" fillId="0" borderId="0" xfId="297" applyNumberFormat="1" applyFont="1" applyAlignment="1" applyProtection="1">
      <alignment vertical="center"/>
    </xf>
    <xf numFmtId="3" fontId="6" fillId="0" borderId="0" xfId="297" applyNumberFormat="1" applyFont="1" applyAlignment="1" applyProtection="1">
      <alignment vertical="center" wrapText="1"/>
    </xf>
    <xf numFmtId="3" fontId="6" fillId="0" borderId="0" xfId="297" applyNumberFormat="1" applyFont="1" applyAlignment="1" applyProtection="1">
      <alignment horizontal="center" vertical="center"/>
    </xf>
    <xf numFmtId="3" fontId="6" fillId="0" borderId="0" xfId="297" applyNumberFormat="1" applyFont="1" applyAlignment="1" applyProtection="1">
      <alignment vertical="center"/>
    </xf>
    <xf numFmtId="41" fontId="6" fillId="0" borderId="0" xfId="297" applyNumberFormat="1" applyFont="1" applyAlignment="1" applyProtection="1">
      <alignment vertical="center"/>
    </xf>
    <xf numFmtId="41" fontId="6" fillId="0" borderId="6" xfId="297" applyNumberFormat="1" applyFont="1" applyBorder="1" applyProtection="1"/>
    <xf numFmtId="178" fontId="7" fillId="0" borderId="0" xfId="297" applyNumberFormat="1" applyFont="1" applyAlignment="1" applyProtection="1">
      <alignment horizontal="right"/>
    </xf>
    <xf numFmtId="181" fontId="7" fillId="0" borderId="0" xfId="86" applyNumberFormat="1" applyFont="1" applyFill="1" applyAlignment="1" applyProtection="1"/>
    <xf numFmtId="178" fontId="6" fillId="0" borderId="0" xfId="297" applyNumberFormat="1" applyFont="1" applyProtection="1"/>
    <xf numFmtId="183" fontId="6" fillId="0" borderId="0" xfId="297" applyNumberFormat="1" applyFont="1" applyProtection="1"/>
    <xf numFmtId="182" fontId="6" fillId="0" borderId="0" xfId="297" applyNumberFormat="1" applyFont="1" applyProtection="1"/>
    <xf numFmtId="165" fontId="6" fillId="0" borderId="0" xfId="297" applyNumberFormat="1" applyFont="1" applyProtection="1"/>
    <xf numFmtId="0" fontId="6" fillId="0" borderId="0" xfId="297" applyNumberFormat="1" applyFont="1" applyAlignment="1" applyProtection="1">
      <alignment horizontal="center" vertical="center"/>
    </xf>
    <xf numFmtId="164" fontId="6" fillId="0" borderId="0" xfId="297" applyNumberFormat="1" applyFont="1" applyAlignment="1" applyProtection="1">
      <alignment horizontal="center"/>
    </xf>
    <xf numFmtId="177" fontId="6" fillId="0" borderId="0" xfId="86" applyNumberFormat="1" applyFont="1" applyFill="1" applyAlignment="1" applyProtection="1">
      <alignment horizontal="center"/>
    </xf>
    <xf numFmtId="3" fontId="7" fillId="0" borderId="0" xfId="297" applyNumberFormat="1" applyFont="1" applyAlignment="1" applyProtection="1">
      <alignment horizontal="right"/>
    </xf>
    <xf numFmtId="181" fontId="6" fillId="0" borderId="0" xfId="86" applyNumberFormat="1" applyFont="1" applyFill="1" applyAlignment="1" applyProtection="1"/>
    <xf numFmtId="164" fontId="6" fillId="0" borderId="0" xfId="297" applyNumberFormat="1" applyFont="1" applyAlignment="1" applyProtection="1">
      <alignment horizontal="left"/>
    </xf>
    <xf numFmtId="10" fontId="6" fillId="0" borderId="0" xfId="306" applyNumberFormat="1" applyFont="1" applyFill="1" applyAlignment="1" applyProtection="1"/>
    <xf numFmtId="175" fontId="6" fillId="0" borderId="0" xfId="297" applyNumberFormat="1" applyFont="1" applyProtection="1"/>
    <xf numFmtId="41" fontId="6" fillId="0" borderId="0" xfId="297" applyNumberFormat="1" applyFont="1" applyAlignment="1" applyProtection="1">
      <alignment horizontal="center" vertical="center"/>
    </xf>
    <xf numFmtId="0" fontId="90" fillId="0" borderId="0" xfId="297" applyNumberFormat="1" applyFont="1" applyAlignment="1" applyProtection="1">
      <alignment horizontal="center"/>
    </xf>
    <xf numFmtId="3" fontId="6" fillId="0" borderId="0" xfId="297" applyNumberFormat="1" applyFont="1" applyAlignment="1" applyProtection="1">
      <alignment horizontal="right"/>
    </xf>
    <xf numFmtId="172" fontId="6" fillId="0" borderId="0" xfId="297" applyFont="1" applyAlignment="1" applyProtection="1">
      <alignment horizontal="center"/>
    </xf>
    <xf numFmtId="0" fontId="7" fillId="0" borderId="0" xfId="297" applyNumberFormat="1" applyFont="1" applyAlignment="1" applyProtection="1">
      <alignment horizontal="center"/>
    </xf>
    <xf numFmtId="3" fontId="11" fillId="0" borderId="0" xfId="297" applyNumberFormat="1" applyFont="1" applyAlignment="1" applyProtection="1">
      <alignment horizontal="center"/>
    </xf>
    <xf numFmtId="3" fontId="11" fillId="0" borderId="0" xfId="297" applyNumberFormat="1" applyFont="1" applyProtection="1"/>
    <xf numFmtId="43" fontId="13" fillId="0" borderId="0" xfId="86" applyFont="1" applyAlignment="1" applyProtection="1"/>
    <xf numFmtId="3" fontId="99" fillId="0" borderId="0" xfId="297" applyNumberFormat="1" applyFont="1" applyAlignment="1" applyProtection="1">
      <alignment horizontal="right"/>
    </xf>
    <xf numFmtId="41" fontId="99" fillId="0" borderId="0" xfId="297" applyNumberFormat="1" applyFont="1" applyAlignment="1" applyProtection="1">
      <alignment horizontal="right"/>
    </xf>
    <xf numFmtId="43" fontId="6" fillId="0" borderId="0" xfId="306" applyNumberFormat="1" applyFont="1" applyFill="1" applyAlignment="1" applyProtection="1"/>
    <xf numFmtId="166" fontId="6" fillId="0" borderId="0" xfId="297" applyNumberFormat="1" applyFont="1" applyProtection="1"/>
    <xf numFmtId="167" fontId="6" fillId="0" borderId="0" xfId="297" applyNumberFormat="1" applyFont="1" applyProtection="1"/>
    <xf numFmtId="172" fontId="24" fillId="0" borderId="0" xfId="297" applyFont="1" applyProtection="1"/>
    <xf numFmtId="168" fontId="6" fillId="0" borderId="0" xfId="297" applyNumberFormat="1" applyFont="1" applyProtection="1"/>
    <xf numFmtId="10" fontId="6" fillId="0" borderId="0" xfId="297" applyNumberFormat="1" applyFont="1" applyAlignment="1" applyProtection="1">
      <alignment horizontal="right"/>
    </xf>
    <xf numFmtId="10" fontId="33" fillId="0" borderId="0" xfId="306" applyNumberFormat="1" applyFont="1" applyProtection="1"/>
    <xf numFmtId="3" fontId="24" fillId="0" borderId="0" xfId="297" applyNumberFormat="1" applyFont="1" applyProtection="1"/>
    <xf numFmtId="166" fontId="6" fillId="0" borderId="0" xfId="297" applyNumberFormat="1" applyFont="1" applyAlignment="1" applyProtection="1">
      <alignment horizontal="center"/>
    </xf>
    <xf numFmtId="186" fontId="24" fillId="0" borderId="0" xfId="297" applyNumberFormat="1" applyFont="1" applyAlignment="1" applyProtection="1">
      <alignment horizontal="center"/>
    </xf>
    <xf numFmtId="187" fontId="6" fillId="0" borderId="0" xfId="297" applyNumberFormat="1" applyFont="1" applyProtection="1"/>
    <xf numFmtId="179" fontId="6" fillId="0" borderId="0" xfId="297" applyNumberFormat="1" applyFont="1" applyAlignment="1" applyProtection="1">
      <alignment horizontal="right"/>
    </xf>
    <xf numFmtId="185" fontId="6" fillId="0" borderId="0" xfId="86" applyNumberFormat="1" applyFont="1" applyAlignment="1" applyProtection="1">
      <alignment horizontal="center"/>
    </xf>
    <xf numFmtId="41" fontId="24" fillId="0" borderId="0" xfId="297" applyNumberFormat="1" applyFont="1" applyProtection="1"/>
    <xf numFmtId="43" fontId="24" fillId="0" borderId="0" xfId="86" applyFont="1" applyAlignment="1" applyProtection="1"/>
    <xf numFmtId="179" fontId="6" fillId="0" borderId="0" xfId="297" applyNumberFormat="1" applyFont="1" applyAlignment="1" applyProtection="1">
      <alignment horizontal="center"/>
    </xf>
    <xf numFmtId="10" fontId="6" fillId="0" borderId="0" xfId="297" applyNumberFormat="1" applyFont="1" applyAlignment="1" applyProtection="1">
      <alignment horizontal="left"/>
    </xf>
    <xf numFmtId="186" fontId="6" fillId="0" borderId="0" xfId="297" applyNumberFormat="1" applyFont="1" applyAlignment="1" applyProtection="1">
      <alignment horizontal="center"/>
    </xf>
    <xf numFmtId="168" fontId="6" fillId="0" borderId="0" xfId="297" applyNumberFormat="1" applyFont="1" applyAlignment="1" applyProtection="1">
      <alignment horizontal="left"/>
    </xf>
    <xf numFmtId="41" fontId="6" fillId="0" borderId="11" xfId="297" applyNumberFormat="1" applyFont="1" applyBorder="1" applyProtection="1"/>
    <xf numFmtId="179" fontId="6" fillId="0" borderId="0" xfId="297" applyNumberFormat="1" applyFont="1" applyProtection="1"/>
    <xf numFmtId="164" fontId="6" fillId="0" borderId="0" xfId="297" applyNumberFormat="1" applyFont="1" applyAlignment="1" applyProtection="1">
      <alignment horizontal="left" vertical="center"/>
    </xf>
    <xf numFmtId="180" fontId="6" fillId="0" borderId="0" xfId="297" applyNumberFormat="1" applyFont="1" applyProtection="1"/>
    <xf numFmtId="173" fontId="6" fillId="0" borderId="14" xfId="86" applyNumberFormat="1" applyFont="1" applyBorder="1" applyAlignment="1" applyProtection="1"/>
    <xf numFmtId="0" fontId="7" fillId="0" borderId="0" xfId="297" applyNumberFormat="1" applyFont="1" applyProtection="1"/>
    <xf numFmtId="0" fontId="6" fillId="0" borderId="0" xfId="0" applyFont="1" applyAlignment="1">
      <alignment horizontal="left"/>
    </xf>
    <xf numFmtId="173" fontId="6" fillId="0" borderId="6" xfId="86" applyNumberFormat="1" applyFont="1" applyBorder="1" applyAlignment="1" applyProtection="1"/>
    <xf numFmtId="165" fontId="7" fillId="0" borderId="0" xfId="297" applyNumberFormat="1" applyFont="1" applyAlignment="1" applyProtection="1">
      <alignment horizontal="right"/>
    </xf>
    <xf numFmtId="3" fontId="6" fillId="0" borderId="0" xfId="297" applyNumberFormat="1" applyFont="1" applyAlignment="1" applyProtection="1">
      <alignment horizontal="center" wrapText="1"/>
    </xf>
    <xf numFmtId="4" fontId="6" fillId="0" borderId="0" xfId="297" applyNumberFormat="1" applyFont="1" applyProtection="1"/>
    <xf numFmtId="173" fontId="6" fillId="0" borderId="6" xfId="86" applyNumberFormat="1" applyFont="1" applyFill="1" applyBorder="1" applyAlignment="1" applyProtection="1"/>
    <xf numFmtId="172" fontId="7" fillId="0" borderId="0" xfId="297" applyFont="1" applyAlignment="1" applyProtection="1">
      <alignment horizontal="right"/>
    </xf>
    <xf numFmtId="165" fontId="7" fillId="0" borderId="0" xfId="297" applyNumberFormat="1" applyFont="1" applyProtection="1"/>
    <xf numFmtId="166" fontId="7" fillId="0" borderId="0" xfId="297" applyNumberFormat="1" applyFont="1" applyProtection="1"/>
    <xf numFmtId="3" fontId="6" fillId="0" borderId="6" xfId="297" applyNumberFormat="1" applyFont="1" applyBorder="1" applyAlignment="1" applyProtection="1">
      <alignment horizontal="center"/>
    </xf>
    <xf numFmtId="0" fontId="15" fillId="0" borderId="0" xfId="297" applyNumberFormat="1" applyFont="1" applyAlignment="1" applyProtection="1">
      <alignment horizontal="left"/>
    </xf>
    <xf numFmtId="181" fontId="6" fillId="0" borderId="0" xfId="86" applyNumberFormat="1" applyFont="1" applyFill="1" applyAlignment="1" applyProtection="1">
      <alignment horizontal="center"/>
    </xf>
    <xf numFmtId="181" fontId="6" fillId="0" borderId="6" xfId="86" applyNumberFormat="1" applyFont="1" applyFill="1" applyBorder="1" applyAlignment="1" applyProtection="1">
      <alignment horizontal="center"/>
    </xf>
    <xf numFmtId="185" fontId="6" fillId="0" borderId="0" xfId="86" applyNumberFormat="1" applyFont="1" applyFill="1" applyAlignment="1" applyProtection="1"/>
    <xf numFmtId="169" fontId="6" fillId="0" borderId="16" xfId="297" applyNumberFormat="1" applyFont="1" applyBorder="1" applyProtection="1"/>
    <xf numFmtId="3" fontId="6" fillId="0" borderId="0" xfId="297" quotePrefix="1" applyNumberFormat="1" applyFont="1" applyProtection="1"/>
    <xf numFmtId="169" fontId="6" fillId="0" borderId="0" xfId="297" applyNumberFormat="1" applyFont="1" applyProtection="1"/>
    <xf numFmtId="169" fontId="6" fillId="0" borderId="6" xfId="297" applyNumberFormat="1" applyFont="1" applyBorder="1" applyProtection="1"/>
    <xf numFmtId="181" fontId="23" fillId="0" borderId="0" xfId="86" applyNumberFormat="1" applyFont="1" applyFill="1" applyProtection="1"/>
    <xf numFmtId="169" fontId="7" fillId="0" borderId="0" xfId="297" applyNumberFormat="1" applyFont="1" applyProtection="1"/>
    <xf numFmtId="3" fontId="7" fillId="0" borderId="0" xfId="297" quotePrefix="1" applyNumberFormat="1" applyFont="1" applyProtection="1"/>
    <xf numFmtId="172" fontId="4" fillId="0" borderId="0" xfId="297" applyAlignment="1" applyProtection="1">
      <alignment horizontal="center"/>
    </xf>
    <xf numFmtId="0" fontId="27" fillId="0" borderId="0" xfId="297" applyNumberFormat="1" applyFont="1" applyProtection="1"/>
    <xf numFmtId="0" fontId="120" fillId="0" borderId="0" xfId="297" applyNumberFormat="1" applyFont="1" applyProtection="1"/>
    <xf numFmtId="172" fontId="27" fillId="0" borderId="0" xfId="297" applyFont="1" applyProtection="1"/>
    <xf numFmtId="0" fontId="27" fillId="0" borderId="0" xfId="0" applyFont="1" applyAlignment="1">
      <alignment vertical="top" wrapText="1"/>
    </xf>
    <xf numFmtId="172" fontId="27" fillId="0" borderId="0" xfId="297" applyFont="1" applyAlignment="1" applyProtection="1">
      <alignment wrapText="1"/>
    </xf>
    <xf numFmtId="172" fontId="120" fillId="0" borderId="0" xfId="297" applyFont="1" applyProtection="1"/>
    <xf numFmtId="0" fontId="4" fillId="0" borderId="0" xfId="297" applyNumberFormat="1" applyProtection="1"/>
    <xf numFmtId="0" fontId="89" fillId="0" borderId="0" xfId="297"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4" fillId="0" borderId="0" xfId="0" applyFont="1"/>
    <xf numFmtId="0" fontId="4" fillId="0" borderId="0" xfId="301" applyFont="1"/>
    <xf numFmtId="0" fontId="4" fillId="0" borderId="0" xfId="301" applyFont="1" applyAlignment="1">
      <alignment horizontal="right"/>
    </xf>
    <xf numFmtId="0" fontId="11" fillId="0" borderId="0" xfId="301" applyFont="1" applyAlignment="1">
      <alignment horizontal="center"/>
    </xf>
    <xf numFmtId="0" fontId="6" fillId="0" borderId="0" xfId="301" applyFont="1"/>
    <xf numFmtId="0" fontId="83" fillId="0" borderId="0" xfId="301" applyFont="1"/>
    <xf numFmtId="0" fontId="27" fillId="0" borderId="0" xfId="0" applyFont="1" applyAlignment="1">
      <alignment horizontal="center"/>
    </xf>
    <xf numFmtId="0" fontId="4" fillId="0" borderId="0" xfId="0" applyFont="1" applyAlignment="1">
      <alignment horizontal="right"/>
    </xf>
    <xf numFmtId="0" fontId="7" fillId="0" borderId="0" xfId="301" applyFont="1"/>
    <xf numFmtId="0" fontId="27" fillId="0" borderId="0" xfId="301" applyFont="1" applyAlignment="1">
      <alignment horizontal="center"/>
    </xf>
    <xf numFmtId="0" fontId="10" fillId="0" borderId="0" xfId="301" applyFont="1" applyAlignment="1">
      <alignment horizontal="center"/>
    </xf>
    <xf numFmtId="0" fontId="10" fillId="0" borderId="0" xfId="301" applyFont="1"/>
    <xf numFmtId="0" fontId="13" fillId="0" borderId="0" xfId="301" applyFont="1"/>
    <xf numFmtId="173" fontId="13" fillId="0" borderId="0" xfId="301" applyNumberFormat="1" applyFont="1"/>
    <xf numFmtId="0" fontId="109" fillId="0" borderId="0" xfId="0" applyFont="1"/>
    <xf numFmtId="0" fontId="100" fillId="0" borderId="0" xfId="301" applyFont="1" applyAlignment="1">
      <alignment horizontal="center"/>
    </xf>
    <xf numFmtId="0" fontId="100" fillId="0" borderId="0" xfId="301" applyFont="1"/>
    <xf numFmtId="0" fontId="108" fillId="0" borderId="0" xfId="0" applyFont="1"/>
    <xf numFmtId="0" fontId="108" fillId="0" borderId="0" xfId="301" applyFont="1"/>
    <xf numFmtId="172" fontId="13" fillId="0" borderId="0" xfId="301" applyNumberFormat="1" applyFont="1" applyAlignment="1">
      <alignment horizontal="center"/>
    </xf>
    <xf numFmtId="43" fontId="13" fillId="0" borderId="0" xfId="129" applyFont="1" applyFill="1" applyProtection="1"/>
    <xf numFmtId="43" fontId="108" fillId="0" borderId="0" xfId="129" applyFont="1" applyFill="1" applyProtection="1"/>
    <xf numFmtId="184" fontId="13" fillId="0" borderId="0" xfId="0" applyNumberFormat="1" applyFont="1"/>
    <xf numFmtId="173" fontId="13" fillId="0" borderId="13" xfId="0" applyNumberFormat="1" applyFont="1" applyBorder="1"/>
    <xf numFmtId="173" fontId="13" fillId="0" borderId="13" xfId="301" applyNumberFormat="1" applyFont="1" applyBorder="1"/>
    <xf numFmtId="173" fontId="6" fillId="0" borderId="0" xfId="301" applyNumberFormat="1" applyFont="1"/>
    <xf numFmtId="0" fontId="13" fillId="0" borderId="0" xfId="0" applyFont="1" applyAlignment="1">
      <alignment vertical="top" wrapText="1"/>
    </xf>
    <xf numFmtId="0" fontId="7" fillId="0" borderId="0" xfId="0" applyFont="1" applyAlignment="1">
      <alignment horizontal="center"/>
    </xf>
    <xf numFmtId="173" fontId="7" fillId="0" borderId="0" xfId="0" applyNumberFormat="1" applyFont="1" applyAlignment="1">
      <alignment horizontal="center"/>
    </xf>
    <xf numFmtId="173" fontId="3" fillId="0" borderId="0" xfId="86" applyNumberFormat="1" applyProtection="1"/>
    <xf numFmtId="0" fontId="12" fillId="0" borderId="0" xfId="0" applyFont="1"/>
    <xf numFmtId="0" fontId="19" fillId="0" borderId="0" xfId="0" applyFont="1" applyAlignment="1">
      <alignment horizontal="left"/>
    </xf>
    <xf numFmtId="0" fontId="67" fillId="0" borderId="0" xfId="0" applyFont="1"/>
    <xf numFmtId="0" fontId="7" fillId="0" borderId="0" xfId="0" applyFont="1" applyAlignment="1">
      <alignment horizontal="left"/>
    </xf>
    <xf numFmtId="0" fontId="13" fillId="0" borderId="0" xfId="297" applyNumberFormat="1" applyFont="1" applyProtection="1"/>
    <xf numFmtId="3" fontId="13" fillId="0" borderId="0" xfId="297" applyNumberFormat="1" applyFont="1" applyProtection="1"/>
    <xf numFmtId="10" fontId="3" fillId="0" borderId="0" xfId="306" applyNumberFormat="1" applyAlignment="1" applyProtection="1">
      <alignment horizontal="right"/>
    </xf>
    <xf numFmtId="172" fontId="13" fillId="0" borderId="0" xfId="297" applyFont="1" applyProtection="1"/>
    <xf numFmtId="10" fontId="13" fillId="0" borderId="0" xfId="306" applyNumberFormat="1" applyFont="1" applyFill="1" applyAlignment="1" applyProtection="1">
      <alignment horizontal="right"/>
    </xf>
    <xf numFmtId="3" fontId="10" fillId="0" borderId="0" xfId="297" applyNumberFormat="1" applyFont="1" applyProtection="1"/>
    <xf numFmtId="10" fontId="13" fillId="0" borderId="0" xfId="297" applyNumberFormat="1" applyFont="1" applyAlignment="1" applyProtection="1">
      <alignment horizontal="right"/>
    </xf>
    <xf numFmtId="3" fontId="14" fillId="0" borderId="0" xfId="297" applyNumberFormat="1" applyFont="1" applyAlignment="1" applyProtection="1">
      <alignment horizontal="center"/>
    </xf>
    <xf numFmtId="10" fontId="14" fillId="0" borderId="0" xfId="297" applyNumberFormat="1" applyFont="1" applyAlignment="1" applyProtection="1">
      <alignment horizontal="center"/>
    </xf>
    <xf numFmtId="0" fontId="13" fillId="0" borderId="0" xfId="297" applyNumberFormat="1" applyFont="1" applyAlignment="1" applyProtection="1">
      <alignment horizontal="right"/>
    </xf>
    <xf numFmtId="10" fontId="0" fillId="0" borderId="0" xfId="0" applyNumberFormat="1" applyAlignment="1">
      <alignment horizontal="center"/>
    </xf>
    <xf numFmtId="164" fontId="13" fillId="0" borderId="0" xfId="306" applyNumberFormat="1" applyFont="1" applyAlignment="1" applyProtection="1"/>
    <xf numFmtId="166" fontId="13" fillId="0" borderId="0" xfId="297" applyNumberFormat="1" applyFont="1" applyAlignment="1" applyProtection="1">
      <alignment horizontal="center"/>
    </xf>
    <xf numFmtId="41" fontId="13" fillId="0" borderId="0" xfId="297" applyNumberFormat="1" applyFont="1" applyProtection="1"/>
    <xf numFmtId="41" fontId="13" fillId="0" borderId="0" xfId="297" applyNumberFormat="1" applyFont="1" applyAlignment="1" applyProtection="1">
      <alignment horizontal="center"/>
    </xf>
    <xf numFmtId="164" fontId="14" fillId="0" borderId="0" xfId="306" applyNumberFormat="1" applyFont="1" applyAlignment="1" applyProtection="1"/>
    <xf numFmtId="3" fontId="13" fillId="0" borderId="0" xfId="297" applyNumberFormat="1" applyFont="1" applyAlignment="1" applyProtection="1">
      <alignment horizontal="right"/>
    </xf>
    <xf numFmtId="172" fontId="3" fillId="0" borderId="17" xfId="297" applyFont="1" applyBorder="1" applyProtection="1"/>
    <xf numFmtId="0" fontId="3" fillId="0" borderId="0" xfId="297" applyNumberFormat="1" applyFont="1" applyAlignment="1" applyProtection="1">
      <alignment horizontal="center"/>
    </xf>
    <xf numFmtId="172" fontId="3" fillId="0" borderId="0" xfId="297" applyFont="1" applyProtection="1"/>
    <xf numFmtId="3" fontId="3" fillId="0" borderId="18" xfId="297" applyNumberFormat="1" applyFont="1" applyBorder="1" applyProtection="1"/>
    <xf numFmtId="10" fontId="13" fillId="0" borderId="0" xfId="297" applyNumberFormat="1" applyFont="1" applyAlignment="1" applyProtection="1">
      <alignment horizontal="left"/>
    </xf>
    <xf numFmtId="0" fontId="3" fillId="0" borderId="17" xfId="0" applyFont="1" applyBorder="1"/>
    <xf numFmtId="0" fontId="3" fillId="0" borderId="18" xfId="0" applyFont="1" applyBorder="1"/>
    <xf numFmtId="166" fontId="3" fillId="0" borderId="19" xfId="297" applyNumberFormat="1" applyFont="1" applyBorder="1" applyAlignment="1" applyProtection="1">
      <alignment horizontal="center"/>
    </xf>
    <xf numFmtId="0" fontId="3" fillId="0" borderId="6" xfId="297" applyNumberFormat="1" applyFont="1" applyBorder="1" applyAlignment="1" applyProtection="1">
      <alignment horizontal="center"/>
    </xf>
    <xf numFmtId="174" fontId="3" fillId="0" borderId="20" xfId="0" applyNumberFormat="1" applyFont="1" applyBorder="1"/>
    <xf numFmtId="41" fontId="3" fillId="0" borderId="0" xfId="297" applyNumberFormat="1" applyFont="1" applyProtection="1"/>
    <xf numFmtId="0" fontId="13" fillId="31" borderId="0" xfId="297" applyNumberFormat="1" applyFont="1" applyFill="1" applyProtection="1"/>
    <xf numFmtId="41" fontId="13" fillId="0" borderId="0" xfId="297" applyNumberFormat="1" applyFont="1" applyAlignment="1" applyProtection="1">
      <alignment horizontal="left"/>
    </xf>
    <xf numFmtId="41" fontId="3" fillId="0" borderId="0" xfId="297" applyNumberFormat="1" applyFont="1" applyAlignment="1" applyProtection="1">
      <alignment horizontal="right"/>
    </xf>
    <xf numFmtId="167" fontId="13" fillId="0" borderId="0" xfId="297" applyNumberFormat="1" applyFont="1" applyProtection="1"/>
    <xf numFmtId="164" fontId="13" fillId="0" borderId="0" xfId="297" applyNumberFormat="1" applyFont="1" applyAlignment="1" applyProtection="1">
      <alignment horizontal="left"/>
    </xf>
    <xf numFmtId="3" fontId="13" fillId="0" borderId="0" xfId="297" applyNumberFormat="1" applyFont="1" applyAlignment="1" applyProtection="1">
      <alignment vertical="center" wrapText="1"/>
    </xf>
    <xf numFmtId="41" fontId="13" fillId="0" borderId="0" xfId="297" applyNumberFormat="1" applyFont="1" applyAlignment="1" applyProtection="1">
      <alignment vertical="center"/>
    </xf>
    <xf numFmtId="41" fontId="13" fillId="0" borderId="0" xfId="297" applyNumberFormat="1" applyFont="1" applyAlignment="1" applyProtection="1">
      <alignment horizontal="center" vertical="center"/>
    </xf>
    <xf numFmtId="41" fontId="13" fillId="0" borderId="0" xfId="297" applyNumberFormat="1" applyFont="1" applyAlignment="1" applyProtection="1">
      <alignment horizontal="right"/>
    </xf>
    <xf numFmtId="173" fontId="13" fillId="0" borderId="0" xfId="86" applyNumberFormat="1" applyFont="1" applyProtection="1"/>
    <xf numFmtId="41" fontId="13" fillId="0" borderId="0" xfId="0" applyNumberFormat="1" applyFont="1"/>
    <xf numFmtId="41" fontId="13" fillId="0" borderId="11" xfId="297" applyNumberFormat="1" applyFont="1" applyBorder="1" applyProtection="1"/>
    <xf numFmtId="41" fontId="14" fillId="0" borderId="0" xfId="297" applyNumberFormat="1" applyFont="1" applyProtection="1"/>
    <xf numFmtId="3" fontId="13" fillId="0" borderId="0" xfId="297" applyNumberFormat="1" applyFont="1" applyAlignment="1" applyProtection="1">
      <alignment horizontal="center"/>
    </xf>
    <xf numFmtId="0" fontId="13" fillId="0" borderId="0" xfId="297" applyNumberFormat="1" applyFont="1" applyAlignment="1" applyProtection="1">
      <alignment horizontal="center"/>
    </xf>
    <xf numFmtId="10" fontId="13" fillId="0" borderId="0" xfId="297" applyNumberFormat="1" applyFont="1" applyProtection="1"/>
    <xf numFmtId="169" fontId="13" fillId="0" borderId="0" xfId="297" applyNumberFormat="1" applyFont="1" applyProtection="1"/>
    <xf numFmtId="169" fontId="10" fillId="0" borderId="0" xfId="297" applyNumberFormat="1" applyFont="1" applyProtection="1"/>
    <xf numFmtId="173" fontId="13" fillId="0" borderId="0" xfId="86" applyNumberFormat="1" applyFont="1" applyFill="1" applyBorder="1" applyProtection="1"/>
    <xf numFmtId="41" fontId="14" fillId="0" borderId="0" xfId="0" applyNumberFormat="1" applyFont="1"/>
    <xf numFmtId="181" fontId="13" fillId="0" borderId="0" xfId="86" applyNumberFormat="1" applyFont="1" applyProtection="1"/>
    <xf numFmtId="10" fontId="14" fillId="0" borderId="0" xfId="0" applyNumberFormat="1" applyFont="1"/>
    <xf numFmtId="0" fontId="13" fillId="31" borderId="0" xfId="0" applyFont="1" applyFill="1"/>
    <xf numFmtId="173" fontId="13" fillId="0" borderId="0" xfId="86" applyNumberFormat="1" applyFont="1" applyFill="1" applyProtection="1"/>
    <xf numFmtId="173" fontId="13" fillId="0" borderId="0" xfId="86" applyNumberFormat="1" applyFont="1" applyBorder="1" applyProtection="1"/>
    <xf numFmtId="43" fontId="13" fillId="0" borderId="0" xfId="86" applyFont="1" applyProtection="1"/>
    <xf numFmtId="173" fontId="13" fillId="0" borderId="0" xfId="0" applyNumberFormat="1" applyFont="1"/>
    <xf numFmtId="0" fontId="69" fillId="0" borderId="0" xfId="0" applyFont="1"/>
    <xf numFmtId="174" fontId="13" fillId="0" borderId="0" xfId="0" applyNumberFormat="1" applyFont="1"/>
    <xf numFmtId="0" fontId="7" fillId="0" borderId="0" xfId="0" applyFont="1"/>
    <xf numFmtId="0" fontId="10" fillId="0" borderId="21" xfId="0" applyFont="1" applyBorder="1"/>
    <xf numFmtId="0" fontId="10" fillId="0" borderId="16" xfId="0" applyFont="1" applyBorder="1"/>
    <xf numFmtId="0" fontId="13" fillId="0" borderId="16" xfId="0" applyFont="1" applyBorder="1"/>
    <xf numFmtId="173" fontId="10" fillId="0" borderId="22"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7" xfId="0" applyFont="1" applyBorder="1"/>
    <xf numFmtId="0" fontId="7" fillId="0" borderId="0" xfId="86" applyNumberFormat="1" applyFont="1" applyFill="1" applyBorder="1" applyAlignment="1" applyProtection="1">
      <alignment horizontal="left"/>
    </xf>
    <xf numFmtId="173" fontId="10" fillId="0" borderId="23" xfId="86" applyNumberFormat="1" applyFont="1" applyBorder="1" applyProtection="1"/>
    <xf numFmtId="0" fontId="10" fillId="0" borderId="0" xfId="0" applyFont="1"/>
    <xf numFmtId="173" fontId="10" fillId="0" borderId="19" xfId="86" applyNumberFormat="1" applyFont="1" applyBorder="1" applyProtection="1"/>
    <xf numFmtId="173" fontId="13" fillId="0" borderId="6" xfId="86" applyNumberFormat="1" applyFont="1" applyBorder="1" applyProtection="1"/>
    <xf numFmtId="173" fontId="13" fillId="0" borderId="20"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4" xfId="0" applyFont="1" applyBorder="1" applyAlignment="1">
      <alignment horizontal="center"/>
    </xf>
    <xf numFmtId="0" fontId="0" fillId="0" borderId="25" xfId="0" applyBorder="1"/>
    <xf numFmtId="0" fontId="0" fillId="0" borderId="26" xfId="0" applyBorder="1"/>
    <xf numFmtId="0" fontId="13" fillId="0" borderId="17" xfId="0" applyFont="1" applyBorder="1"/>
    <xf numFmtId="0" fontId="10" fillId="0" borderId="22" xfId="0" applyFont="1" applyBorder="1" applyAlignment="1">
      <alignment horizontal="center"/>
    </xf>
    <xf numFmtId="173" fontId="13" fillId="0" borderId="0" xfId="0" applyNumberFormat="1" applyFont="1" applyAlignment="1">
      <alignment horizontal="right"/>
    </xf>
    <xf numFmtId="10" fontId="13" fillId="0" borderId="18" xfId="0" applyNumberFormat="1" applyFont="1" applyBorder="1"/>
    <xf numFmtId="173" fontId="13" fillId="0" borderId="18" xfId="0" applyNumberFormat="1" applyFont="1" applyBorder="1" applyAlignment="1">
      <alignment horizontal="right"/>
    </xf>
    <xf numFmtId="0" fontId="13" fillId="0" borderId="19" xfId="0" applyFont="1" applyBorder="1"/>
    <xf numFmtId="0" fontId="13" fillId="0" borderId="6" xfId="0" applyFont="1" applyBorder="1" applyAlignment="1">
      <alignment horizontal="center"/>
    </xf>
    <xf numFmtId="0" fontId="0" fillId="0" borderId="6" xfId="0" applyBorder="1"/>
    <xf numFmtId="0" fontId="10" fillId="0" borderId="27"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7" xfId="86" applyNumberFormat="1" applyFont="1" applyBorder="1" applyAlignment="1" applyProtection="1">
      <alignment horizontal="center" wrapText="1"/>
    </xf>
    <xf numFmtId="173" fontId="10" fillId="0" borderId="22" xfId="86" applyNumberFormat="1" applyFont="1" applyBorder="1" applyAlignment="1" applyProtection="1">
      <alignment horizontal="center" wrapText="1"/>
    </xf>
    <xf numFmtId="0" fontId="10" fillId="0" borderId="28" xfId="0" applyFont="1" applyBorder="1" applyAlignment="1">
      <alignment horizontal="center" wrapText="1"/>
    </xf>
    <xf numFmtId="173" fontId="10" fillId="28" borderId="27" xfId="86" applyNumberFormat="1" applyFont="1" applyFill="1" applyBorder="1" applyAlignment="1" applyProtection="1">
      <alignment horizontal="center" wrapText="1"/>
    </xf>
    <xf numFmtId="0" fontId="10" fillId="0" borderId="29" xfId="0" applyFont="1" applyBorder="1" applyAlignment="1">
      <alignment horizontal="center"/>
    </xf>
    <xf numFmtId="0" fontId="10" fillId="0" borderId="6" xfId="0" applyFont="1" applyBorder="1" applyAlignment="1">
      <alignment horizontal="center"/>
    </xf>
    <xf numFmtId="173" fontId="10" fillId="0" borderId="29" xfId="86" applyNumberFormat="1" applyFont="1" applyBorder="1" applyAlignment="1" applyProtection="1">
      <alignment horizontal="center"/>
    </xf>
    <xf numFmtId="173" fontId="10" fillId="0" borderId="20" xfId="86" applyNumberFormat="1" applyFont="1" applyBorder="1" applyAlignment="1" applyProtection="1">
      <alignment horizontal="center"/>
    </xf>
    <xf numFmtId="0" fontId="10" fillId="0" borderId="28" xfId="0" applyFont="1" applyBorder="1" applyAlignment="1">
      <alignment horizontal="center"/>
    </xf>
    <xf numFmtId="173" fontId="10" fillId="28" borderId="29" xfId="86" applyNumberFormat="1" applyFont="1" applyFill="1" applyBorder="1" applyAlignment="1" applyProtection="1">
      <alignment horizontal="center"/>
    </xf>
    <xf numFmtId="0" fontId="13" fillId="0" borderId="28" xfId="0" applyFont="1" applyBorder="1" applyAlignment="1">
      <alignment horizontal="center"/>
    </xf>
    <xf numFmtId="173" fontId="13" fillId="0" borderId="28" xfId="86" applyNumberFormat="1" applyFont="1" applyBorder="1" applyProtection="1"/>
    <xf numFmtId="173" fontId="13" fillId="0" borderId="28" xfId="86" applyNumberFormat="1" applyFont="1" applyFill="1" applyBorder="1" applyProtection="1"/>
    <xf numFmtId="173" fontId="13" fillId="0" borderId="18" xfId="86" applyNumberFormat="1" applyFont="1" applyFill="1" applyBorder="1" applyProtection="1"/>
    <xf numFmtId="174" fontId="13" fillId="0" borderId="28" xfId="0" applyNumberFormat="1" applyFont="1" applyBorder="1"/>
    <xf numFmtId="174" fontId="9" fillId="29" borderId="27" xfId="0" applyNumberFormat="1" applyFont="1" applyFill="1" applyBorder="1"/>
    <xf numFmtId="174" fontId="13" fillId="28" borderId="27" xfId="0" applyNumberFormat="1" applyFont="1" applyFill="1" applyBorder="1"/>
    <xf numFmtId="173" fontId="13" fillId="0" borderId="28" xfId="0" applyNumberFormat="1" applyFont="1" applyBorder="1"/>
    <xf numFmtId="173" fontId="13" fillId="0" borderId="18" xfId="86" applyNumberFormat="1" applyFont="1" applyBorder="1" applyProtection="1"/>
    <xf numFmtId="174" fontId="9" fillId="29" borderId="28" xfId="0" applyNumberFormat="1" applyFont="1" applyFill="1" applyBorder="1"/>
    <xf numFmtId="174" fontId="13" fillId="28" borderId="28" xfId="0" applyNumberFormat="1" applyFont="1" applyFill="1" applyBorder="1"/>
    <xf numFmtId="174" fontId="13" fillId="28" borderId="28" xfId="0" applyNumberFormat="1" applyFont="1" applyFill="1" applyBorder="1" applyAlignment="1">
      <alignment wrapText="1"/>
    </xf>
    <xf numFmtId="0" fontId="13" fillId="0" borderId="29" xfId="0" applyFont="1" applyBorder="1" applyAlignment="1">
      <alignment horizontal="center"/>
    </xf>
    <xf numFmtId="173" fontId="13" fillId="0" borderId="6" xfId="0" applyNumberFormat="1" applyFont="1" applyBorder="1"/>
    <xf numFmtId="173" fontId="13" fillId="0" borderId="29" xfId="0" applyNumberFormat="1" applyFont="1" applyBorder="1"/>
    <xf numFmtId="173" fontId="13" fillId="0" borderId="29" xfId="86" applyNumberFormat="1" applyFont="1" applyBorder="1" applyProtection="1"/>
    <xf numFmtId="174" fontId="13" fillId="0" borderId="29" xfId="0" applyNumberFormat="1" applyFont="1" applyBorder="1"/>
    <xf numFmtId="174" fontId="9" fillId="29" borderId="29" xfId="0" applyNumberFormat="1" applyFont="1" applyFill="1" applyBorder="1"/>
    <xf numFmtId="174" fontId="13" fillId="28" borderId="29" xfId="0" applyNumberFormat="1" applyFont="1" applyFill="1" applyBorder="1"/>
    <xf numFmtId="0" fontId="0" fillId="33" borderId="0" xfId="0" applyFill="1"/>
    <xf numFmtId="10" fontId="0" fillId="0" borderId="0" xfId="306" applyNumberFormat="1" applyFont="1" applyAlignment="1" applyProtection="1">
      <alignment horizontal="right"/>
    </xf>
    <xf numFmtId="172" fontId="13" fillId="0" borderId="21" xfId="297" applyFont="1" applyBorder="1" applyProtection="1"/>
    <xf numFmtId="172" fontId="13" fillId="0" borderId="16" xfId="297" applyFont="1" applyBorder="1" applyProtection="1"/>
    <xf numFmtId="3" fontId="13" fillId="0" borderId="22" xfId="297" applyNumberFormat="1" applyFont="1" applyBorder="1" applyProtection="1"/>
    <xf numFmtId="172" fontId="13" fillId="0" borderId="17" xfId="297" applyFont="1" applyBorder="1" applyProtection="1"/>
    <xf numFmtId="3" fontId="13" fillId="0" borderId="18" xfId="297" applyNumberFormat="1" applyFont="1" applyBorder="1" applyProtection="1"/>
    <xf numFmtId="0" fontId="13" fillId="0" borderId="0" xfId="297" quotePrefix="1" applyNumberFormat="1" applyFont="1" applyAlignment="1" applyProtection="1">
      <alignment horizontal="center"/>
    </xf>
    <xf numFmtId="0" fontId="13" fillId="0" borderId="18" xfId="0" applyFont="1" applyBorder="1"/>
    <xf numFmtId="10" fontId="33" fillId="0" borderId="0" xfId="0" applyNumberFormat="1" applyFont="1" applyAlignment="1">
      <alignment horizontal="center"/>
    </xf>
    <xf numFmtId="0" fontId="13" fillId="0" borderId="0" xfId="0" applyFont="1" applyAlignment="1">
      <alignment horizontal="right"/>
    </xf>
    <xf numFmtId="174" fontId="13" fillId="0" borderId="18" xfId="0" applyNumberFormat="1" applyFont="1" applyBorder="1"/>
    <xf numFmtId="174" fontId="13" fillId="0" borderId="20" xfId="0" applyNumberFormat="1" applyFont="1" applyBorder="1"/>
    <xf numFmtId="173" fontId="13" fillId="0" borderId="22" xfId="0" applyNumberFormat="1" applyFont="1" applyBorder="1"/>
    <xf numFmtId="166" fontId="13" fillId="0" borderId="19" xfId="297" applyNumberFormat="1" applyFont="1" applyBorder="1" applyAlignment="1" applyProtection="1">
      <alignment horizontal="center"/>
    </xf>
    <xf numFmtId="0" fontId="13" fillId="0" borderId="6" xfId="297" applyNumberFormat="1" applyFont="1" applyBorder="1" applyAlignment="1" applyProtection="1">
      <alignment horizontal="center"/>
    </xf>
    <xf numFmtId="173" fontId="13" fillId="0" borderId="6" xfId="297" quotePrefix="1" applyNumberFormat="1" applyFont="1" applyBorder="1" applyAlignment="1" applyProtection="1">
      <alignment horizontal="center"/>
    </xf>
    <xf numFmtId="10" fontId="13" fillId="0" borderId="0" xfId="306" applyNumberFormat="1" applyFont="1" applyFill="1" applyBorder="1" applyAlignment="1" applyProtection="1"/>
    <xf numFmtId="0" fontId="128" fillId="27" borderId="0" xfId="0" applyFont="1" applyFill="1"/>
    <xf numFmtId="0" fontId="10" fillId="0" borderId="21" xfId="0" applyFont="1" applyBorder="1" applyAlignment="1">
      <alignment horizontal="center"/>
    </xf>
    <xf numFmtId="173" fontId="13" fillId="0" borderId="17" xfId="86" applyNumberFormat="1" applyFont="1" applyBorder="1" applyProtection="1"/>
    <xf numFmtId="173" fontId="10" fillId="0" borderId="0" xfId="86" applyNumberFormat="1" applyFont="1" applyBorder="1" applyProtection="1"/>
    <xf numFmtId="173" fontId="13" fillId="0" borderId="18" xfId="0" applyNumberFormat="1" applyFont="1" applyBorder="1"/>
    <xf numFmtId="173" fontId="10" fillId="0" borderId="11" xfId="86" applyNumberFormat="1" applyFont="1" applyBorder="1" applyProtection="1"/>
    <xf numFmtId="173" fontId="13" fillId="0" borderId="23" xfId="0" applyNumberFormat="1" applyFont="1" applyBorder="1"/>
    <xf numFmtId="173" fontId="10" fillId="0" borderId="6" xfId="86" applyNumberFormat="1" applyFont="1" applyFill="1" applyBorder="1" applyAlignment="1" applyProtection="1">
      <alignment horizontal="left"/>
    </xf>
    <xf numFmtId="173" fontId="10" fillId="0" borderId="20" xfId="86" applyNumberFormat="1" applyFont="1" applyFill="1" applyBorder="1" applyAlignment="1" applyProtection="1">
      <alignment horizontal="left"/>
    </xf>
    <xf numFmtId="173" fontId="13" fillId="0" borderId="27" xfId="0" applyNumberFormat="1" applyFont="1" applyBorder="1"/>
    <xf numFmtId="174" fontId="13" fillId="0" borderId="27" xfId="0" applyNumberFormat="1" applyFont="1" applyBorder="1"/>
    <xf numFmtId="0" fontId="10" fillId="0" borderId="0" xfId="297" applyNumberFormat="1" applyFont="1" applyAlignment="1" applyProtection="1">
      <alignment vertical="center"/>
    </xf>
    <xf numFmtId="0" fontId="107" fillId="0" borderId="0" xfId="0" applyFont="1"/>
    <xf numFmtId="0" fontId="10" fillId="0" borderId="0" xfId="297" applyNumberFormat="1" applyFont="1" applyAlignment="1" applyProtection="1">
      <alignment vertical="top"/>
    </xf>
    <xf numFmtId="0" fontId="23" fillId="0" borderId="0" xfId="0" applyFont="1"/>
    <xf numFmtId="0" fontId="111" fillId="0" borderId="0" xfId="299" applyFont="1"/>
    <xf numFmtId="0" fontId="4" fillId="0" borderId="0" xfId="299"/>
    <xf numFmtId="0" fontId="112" fillId="0" borderId="0" xfId="299" applyFont="1"/>
    <xf numFmtId="0" fontId="113" fillId="0" borderId="0" xfId="299" applyFont="1" applyAlignment="1">
      <alignment horizontal="center"/>
    </xf>
    <xf numFmtId="0" fontId="114" fillId="0" borderId="0" xfId="299" applyFont="1"/>
    <xf numFmtId="176" fontId="113" fillId="0" borderId="0" xfId="299" applyNumberFormat="1" applyFont="1" applyAlignment="1">
      <alignment horizontal="center"/>
    </xf>
    <xf numFmtId="0" fontId="113" fillId="0" borderId="0" xfId="299" applyFont="1"/>
    <xf numFmtId="176" fontId="113" fillId="0" borderId="0" xfId="299" quotePrefix="1" applyNumberFormat="1" applyFont="1" applyAlignment="1">
      <alignment horizontal="center"/>
    </xf>
    <xf numFmtId="193" fontId="113" fillId="0" borderId="0" xfId="299" quotePrefix="1" applyNumberFormat="1" applyFont="1" applyAlignment="1">
      <alignment horizontal="center"/>
    </xf>
    <xf numFmtId="0" fontId="115" fillId="0" borderId="0" xfId="299" applyFont="1"/>
    <xf numFmtId="0" fontId="116" fillId="0" borderId="15" xfId="299" applyFont="1" applyBorder="1"/>
    <xf numFmtId="0" fontId="112" fillId="0" borderId="15" xfId="299" applyFont="1" applyBorder="1"/>
    <xf numFmtId="0" fontId="4" fillId="0" borderId="0" xfId="299" applyAlignment="1">
      <alignment horizontal="left"/>
    </xf>
    <xf numFmtId="0" fontId="117" fillId="0" borderId="0" xfId="299" applyFont="1"/>
    <xf numFmtId="176" fontId="4" fillId="0" borderId="0" xfId="299" quotePrefix="1" applyNumberFormat="1" applyAlignment="1">
      <alignment horizontal="right"/>
    </xf>
    <xf numFmtId="0" fontId="117" fillId="0" borderId="0" xfId="299" applyFont="1" applyAlignment="1">
      <alignment horizontal="right"/>
    </xf>
    <xf numFmtId="0" fontId="118" fillId="0" borderId="0" xfId="299" applyFont="1"/>
    <xf numFmtId="0" fontId="119" fillId="0" borderId="0" xfId="299" applyFont="1"/>
    <xf numFmtId="0" fontId="43" fillId="0" borderId="0" xfId="299" applyFont="1"/>
    <xf numFmtId="0" fontId="124" fillId="0" borderId="0" xfId="0" applyFont="1" applyAlignment="1">
      <alignment horizontal="left"/>
    </xf>
    <xf numFmtId="0" fontId="124" fillId="0" borderId="0" xfId="0" applyFont="1"/>
    <xf numFmtId="0" fontId="124" fillId="0" borderId="27" xfId="0" applyFont="1" applyBorder="1" applyAlignment="1">
      <alignment horizontal="center" wrapText="1"/>
    </xf>
    <xf numFmtId="0" fontId="124" fillId="0" borderId="28" xfId="0" applyFont="1" applyBorder="1" applyAlignment="1">
      <alignment horizontal="center" wrapText="1"/>
    </xf>
    <xf numFmtId="0" fontId="124" fillId="0" borderId="28" xfId="0" applyFont="1" applyBorder="1"/>
    <xf numFmtId="170" fontId="124" fillId="0" borderId="0" xfId="0" applyNumberFormat="1" applyFont="1"/>
    <xf numFmtId="170" fontId="125" fillId="0" borderId="0" xfId="0" applyNumberFormat="1" applyFont="1" applyAlignment="1">
      <alignment horizontal="center"/>
    </xf>
    <xf numFmtId="170" fontId="6" fillId="0" borderId="0" xfId="0" applyNumberFormat="1" applyFont="1"/>
    <xf numFmtId="5" fontId="124" fillId="0" borderId="29" xfId="0" applyNumberFormat="1" applyFont="1" applyBorder="1" applyAlignment="1">
      <alignment horizontal="center"/>
    </xf>
    <xf numFmtId="173" fontId="124" fillId="0" borderId="0" xfId="0" applyNumberFormat="1" applyFont="1"/>
    <xf numFmtId="0" fontId="124" fillId="0" borderId="0" xfId="0" applyFont="1" applyAlignment="1">
      <alignment horizontal="center"/>
    </xf>
    <xf numFmtId="173" fontId="124" fillId="0" borderId="6" xfId="0" applyNumberFormat="1" applyFont="1" applyBorder="1"/>
    <xf numFmtId="0" fontId="124" fillId="0" borderId="6" xfId="0" applyFont="1" applyBorder="1" applyAlignment="1">
      <alignment horizontal="center"/>
    </xf>
    <xf numFmtId="0" fontId="6" fillId="0" borderId="6" xfId="0" applyFont="1" applyBorder="1"/>
    <xf numFmtId="173" fontId="124" fillId="0" borderId="0" xfId="0" applyNumberFormat="1" applyFont="1" applyAlignment="1">
      <alignment horizontal="left"/>
    </xf>
    <xf numFmtId="0" fontId="125" fillId="0" borderId="0" xfId="0" applyFont="1" applyAlignment="1">
      <alignment horizontal="left"/>
    </xf>
    <xf numFmtId="0" fontId="125" fillId="0" borderId="0" xfId="0" applyFont="1" applyAlignment="1">
      <alignment horizontal="center" wrapText="1"/>
    </xf>
    <xf numFmtId="0" fontId="125" fillId="0" borderId="0" xfId="0" applyFont="1" applyAlignment="1">
      <alignment horizontal="center"/>
    </xf>
    <xf numFmtId="173" fontId="125" fillId="0" borderId="0" xfId="0" applyNumberFormat="1" applyFont="1" applyAlignment="1">
      <alignment horizontal="center" wrapText="1"/>
    </xf>
    <xf numFmtId="173" fontId="125" fillId="0" borderId="0" xfId="0" applyNumberFormat="1" applyFont="1" applyAlignment="1">
      <alignment horizontal="center"/>
    </xf>
    <xf numFmtId="176" fontId="124" fillId="0" borderId="0" xfId="310" applyNumberFormat="1" applyFont="1" applyFill="1" applyProtection="1"/>
    <xf numFmtId="173" fontId="124" fillId="0" borderId="0" xfId="0" applyNumberFormat="1" applyFont="1" applyAlignment="1">
      <alignment horizontal="center"/>
    </xf>
    <xf numFmtId="0" fontId="126" fillId="0" borderId="0" xfId="0" applyFont="1" applyAlignment="1">
      <alignment horizontal="center"/>
    </xf>
    <xf numFmtId="173" fontId="124" fillId="0" borderId="0" xfId="91" applyNumberFormat="1" applyFont="1" applyFill="1" applyProtection="1"/>
    <xf numFmtId="176" fontId="124" fillId="0" borderId="0" xfId="0" applyNumberFormat="1" applyFont="1"/>
    <xf numFmtId="173" fontId="124" fillId="0" borderId="11" xfId="91" applyNumberFormat="1" applyFont="1" applyFill="1" applyBorder="1" applyProtection="1"/>
    <xf numFmtId="173" fontId="125" fillId="0" borderId="0" xfId="91" applyNumberFormat="1" applyFont="1" applyFill="1" applyProtection="1"/>
    <xf numFmtId="173" fontId="125" fillId="0" borderId="0" xfId="91" applyNumberFormat="1" applyFont="1" applyFill="1" applyAlignment="1" applyProtection="1">
      <alignment horizontal="center"/>
    </xf>
    <xf numFmtId="0" fontId="126" fillId="0" borderId="0" xfId="0" applyFont="1"/>
    <xf numFmtId="173" fontId="125" fillId="0" borderId="0" xfId="0" applyNumberFormat="1" applyFont="1"/>
    <xf numFmtId="195" fontId="6" fillId="0" borderId="0" xfId="0" applyNumberFormat="1" applyFont="1"/>
    <xf numFmtId="173" fontId="6" fillId="0" borderId="0" xfId="91" applyNumberFormat="1" applyFont="1" applyFill="1" applyProtection="1"/>
    <xf numFmtId="173" fontId="6" fillId="0" borderId="0" xfId="134" applyNumberFormat="1" applyFont="1" applyFill="1" applyProtection="1"/>
    <xf numFmtId="0" fontId="127" fillId="0" borderId="0" xfId="0" applyFont="1"/>
    <xf numFmtId="176" fontId="0" fillId="0" borderId="0" xfId="0" applyNumberFormat="1"/>
    <xf numFmtId="174" fontId="0" fillId="0" borderId="0" xfId="134" applyNumberFormat="1" applyFont="1" applyFill="1" applyProtection="1"/>
    <xf numFmtId="173" fontId="124" fillId="0" borderId="0" xfId="212" applyNumberFormat="1" applyFont="1"/>
    <xf numFmtId="43" fontId="13" fillId="0" borderId="0" xfId="212" applyNumberFormat="1"/>
    <xf numFmtId="43" fontId="6" fillId="0" borderId="0" xfId="212" applyNumberFormat="1" applyFont="1"/>
    <xf numFmtId="0" fontId="20" fillId="34" borderId="0" xfId="86" applyNumberFormat="1" applyFont="1" applyFill="1" applyAlignment="1" applyProtection="1">
      <protection locked="0"/>
    </xf>
    <xf numFmtId="173" fontId="20" fillId="34" borderId="0" xfId="86" applyNumberFormat="1" applyFont="1" applyFill="1" applyAlignment="1" applyProtection="1">
      <alignment horizontal="right"/>
      <protection locked="0"/>
    </xf>
    <xf numFmtId="41" fontId="20" fillId="34" borderId="0" xfId="297" applyNumberFormat="1" applyFont="1" applyFill="1" applyProtection="1">
      <protection locked="0"/>
    </xf>
    <xf numFmtId="41" fontId="20" fillId="34" borderId="6" xfId="297" applyNumberFormat="1" applyFont="1" applyFill="1" applyBorder="1" applyProtection="1">
      <protection locked="0"/>
    </xf>
    <xf numFmtId="3" fontId="20" fillId="34" borderId="6" xfId="297" applyNumberFormat="1" applyFont="1" applyFill="1" applyBorder="1" applyProtection="1">
      <protection locked="0"/>
    </xf>
    <xf numFmtId="10" fontId="20" fillId="34" borderId="0" xfId="306" applyNumberFormat="1" applyFont="1" applyFill="1" applyAlignment="1" applyProtection="1">
      <protection locked="0"/>
    </xf>
    <xf numFmtId="173" fontId="9" fillId="34" borderId="0" xfId="92" applyNumberFormat="1" applyFont="1" applyFill="1" applyBorder="1" applyAlignment="1" applyProtection="1">
      <alignment horizontal="right"/>
      <protection locked="0"/>
    </xf>
    <xf numFmtId="0" fontId="33" fillId="34" borderId="0" xfId="240" applyFont="1" applyFill="1" applyProtection="1">
      <protection locked="0"/>
    </xf>
    <xf numFmtId="173" fontId="9" fillId="34" borderId="11" xfId="92" applyNumberFormat="1" applyFont="1" applyFill="1" applyBorder="1" applyAlignment="1" applyProtection="1">
      <alignment horizontal="right"/>
      <protection locked="0"/>
    </xf>
    <xf numFmtId="41" fontId="9" fillId="34" borderId="0" xfId="288" applyNumberFormat="1" applyFont="1" applyFill="1" applyProtection="1">
      <protection locked="0"/>
    </xf>
    <xf numFmtId="37" fontId="9" fillId="34" borderId="0" xfId="0" applyNumberFormat="1" applyFont="1" applyFill="1" applyProtection="1">
      <protection locked="0"/>
    </xf>
    <xf numFmtId="3" fontId="129" fillId="34" borderId="0" xfId="0" applyNumberFormat="1" applyFont="1" applyFill="1" applyProtection="1">
      <protection locked="0"/>
    </xf>
    <xf numFmtId="37" fontId="129" fillId="34" borderId="0" xfId="0" applyNumberFormat="1" applyFont="1" applyFill="1" applyProtection="1">
      <protection locked="0"/>
    </xf>
    <xf numFmtId="1" fontId="64" fillId="34" borderId="0" xfId="0" applyNumberFormat="1" applyFont="1" applyFill="1" applyAlignment="1" applyProtection="1">
      <alignment horizontal="left"/>
      <protection locked="0"/>
    </xf>
    <xf numFmtId="38" fontId="64" fillId="0" borderId="16" xfId="0" applyNumberFormat="1" applyFont="1" applyBorder="1"/>
    <xf numFmtId="173" fontId="9" fillId="0" borderId="0" xfId="86" applyNumberFormat="1" applyFont="1" applyFill="1" applyProtection="1"/>
    <xf numFmtId="173" fontId="0" fillId="0" borderId="11" xfId="0" applyNumberFormat="1" applyBorder="1"/>
    <xf numFmtId="173" fontId="9" fillId="34" borderId="0" xfId="129" applyNumberFormat="1" applyFont="1" applyFill="1" applyProtection="1">
      <protection locked="0"/>
    </xf>
    <xf numFmtId="0" fontId="20" fillId="34" borderId="0" xfId="288" applyFont="1" applyFill="1" applyAlignment="1" applyProtection="1">
      <alignment horizontal="center"/>
      <protection locked="0"/>
    </xf>
    <xf numFmtId="3" fontId="20" fillId="34" borderId="0" xfId="0" applyNumberFormat="1" applyFont="1" applyFill="1" applyProtection="1">
      <protection locked="0"/>
    </xf>
    <xf numFmtId="41" fontId="20" fillId="34" borderId="0" xfId="288" applyNumberFormat="1" applyFont="1" applyFill="1" applyProtection="1">
      <protection locked="0"/>
    </xf>
    <xf numFmtId="10" fontId="79" fillId="34" borderId="11" xfId="306" applyNumberFormat="1" applyFont="1" applyFill="1" applyBorder="1" applyProtection="1">
      <protection locked="0"/>
    </xf>
    <xf numFmtId="41" fontId="79" fillId="34" borderId="11" xfId="298" applyNumberFormat="1" applyFont="1" applyFill="1" applyBorder="1" applyProtection="1">
      <protection locked="0"/>
    </xf>
    <xf numFmtId="173" fontId="79" fillId="34" borderId="0" xfId="298" applyNumberFormat="1" applyFont="1" applyFill="1" applyProtection="1">
      <protection locked="0"/>
    </xf>
    <xf numFmtId="0" fontId="72" fillId="34" borderId="0" xfId="298" applyFont="1" applyFill="1" applyAlignment="1" applyProtection="1">
      <alignment horizontal="center"/>
      <protection locked="0"/>
    </xf>
    <xf numFmtId="0" fontId="9" fillId="34" borderId="0" xfId="86" applyNumberFormat="1" applyFont="1" applyFill="1" applyAlignment="1" applyProtection="1">
      <protection locked="0"/>
    </xf>
    <xf numFmtId="173" fontId="3" fillId="34" borderId="6" xfId="297" applyNumberFormat="1" applyFont="1" applyFill="1" applyBorder="1" applyAlignment="1" applyProtection="1">
      <alignment horizontal="center"/>
      <protection locked="0"/>
    </xf>
    <xf numFmtId="0" fontId="20" fillId="34" borderId="0" xfId="86" applyNumberFormat="1" applyFont="1" applyFill="1" applyAlignment="1" applyProtection="1">
      <alignment horizontal="left"/>
      <protection locked="0"/>
    </xf>
    <xf numFmtId="173" fontId="164" fillId="34" borderId="18" xfId="86" applyNumberFormat="1" applyFont="1" applyFill="1" applyBorder="1" applyAlignment="1" applyProtection="1">
      <alignment horizontal="right"/>
      <protection locked="0"/>
    </xf>
    <xf numFmtId="173" fontId="9" fillId="34" borderId="18" xfId="86" applyNumberFormat="1" applyFont="1" applyFill="1" applyBorder="1" applyAlignment="1" applyProtection="1">
      <alignment horizontal="right"/>
      <protection locked="0"/>
    </xf>
    <xf numFmtId="0" fontId="9" fillId="34" borderId="20" xfId="0" applyFont="1" applyFill="1" applyBorder="1" applyAlignment="1" applyProtection="1">
      <alignment horizontal="right"/>
      <protection locked="0"/>
    </xf>
    <xf numFmtId="173" fontId="9" fillId="34" borderId="18" xfId="0" applyNumberFormat="1" applyFont="1" applyFill="1" applyBorder="1" applyAlignment="1" applyProtection="1">
      <alignment horizontal="right"/>
      <protection locked="0"/>
    </xf>
    <xf numFmtId="174" fontId="9" fillId="34" borderId="28" xfId="0" applyNumberFormat="1" applyFont="1" applyFill="1" applyBorder="1" applyProtection="1">
      <protection locked="0"/>
    </xf>
    <xf numFmtId="174" fontId="9" fillId="34" borderId="29" xfId="0" applyNumberFormat="1" applyFont="1" applyFill="1" applyBorder="1" applyProtection="1">
      <protection locked="0"/>
    </xf>
    <xf numFmtId="174" fontId="13" fillId="34" borderId="0" xfId="0" applyNumberFormat="1" applyFont="1" applyFill="1" applyProtection="1">
      <protection locked="0"/>
    </xf>
    <xf numFmtId="174" fontId="13" fillId="34" borderId="6" xfId="0" applyNumberFormat="1" applyFont="1" applyFill="1" applyBorder="1" applyProtection="1">
      <protection locked="0"/>
    </xf>
    <xf numFmtId="0" fontId="70" fillId="34" borderId="0" xfId="0" applyFont="1" applyFill="1" applyAlignment="1" applyProtection="1">
      <alignment horizontal="left"/>
      <protection locked="0"/>
    </xf>
    <xf numFmtId="0" fontId="9" fillId="34" borderId="18" xfId="0" applyFont="1" applyFill="1" applyBorder="1" applyAlignment="1" applyProtection="1">
      <alignment horizontal="right"/>
      <protection locked="0"/>
    </xf>
    <xf numFmtId="0" fontId="18" fillId="0" borderId="0" xfId="288" applyFont="1" applyAlignment="1">
      <alignment wrapText="1"/>
    </xf>
    <xf numFmtId="173" fontId="9" fillId="34" borderId="0" xfId="91" applyNumberFormat="1" applyFont="1" applyFill="1" applyBorder="1" applyProtection="1">
      <protection locked="0"/>
    </xf>
    <xf numFmtId="173" fontId="21" fillId="34" borderId="0" xfId="86" applyNumberFormat="1" applyFont="1" applyFill="1" applyProtection="1">
      <protection locked="0"/>
    </xf>
    <xf numFmtId="189" fontId="21" fillId="34" borderId="0" xfId="0" applyNumberFormat="1" applyFont="1" applyFill="1" applyProtection="1">
      <protection locked="0"/>
    </xf>
    <xf numFmtId="0" fontId="0" fillId="34" borderId="0" xfId="0" applyFill="1" applyAlignment="1" applyProtection="1">
      <alignment horizontal="center"/>
      <protection locked="0"/>
    </xf>
    <xf numFmtId="0" fontId="21" fillId="34" borderId="0" xfId="0" applyFont="1" applyFill="1" applyProtection="1">
      <protection locked="0"/>
    </xf>
    <xf numFmtId="170" fontId="124" fillId="34" borderId="29" xfId="0" applyNumberFormat="1" applyFont="1" applyFill="1" applyBorder="1" applyAlignment="1" applyProtection="1">
      <alignment horizontal="center"/>
      <protection locked="0"/>
    </xf>
    <xf numFmtId="176" fontId="124" fillId="34" borderId="0" xfId="310" applyNumberFormat="1" applyFont="1" applyFill="1" applyProtection="1">
      <protection locked="0"/>
    </xf>
    <xf numFmtId="197" fontId="165" fillId="31" borderId="0" xfId="0" applyNumberFormat="1" applyFont="1" applyFill="1" applyAlignment="1">
      <alignment horizontal="right"/>
    </xf>
    <xf numFmtId="41" fontId="9" fillId="34" borderId="0" xfId="289" applyNumberFormat="1" applyFont="1" applyFill="1"/>
    <xf numFmtId="41" fontId="9" fillId="34" borderId="11" xfId="289" applyNumberFormat="1" applyFont="1" applyFill="1" applyBorder="1"/>
    <xf numFmtId="173" fontId="13" fillId="0" borderId="28" xfId="101" applyNumberFormat="1" applyFont="1" applyFill="1" applyBorder="1" applyProtection="1"/>
    <xf numFmtId="173" fontId="13" fillId="0" borderId="18" xfId="101" applyNumberFormat="1" applyFont="1" applyFill="1" applyBorder="1" applyProtection="1"/>
    <xf numFmtId="173" fontId="9" fillId="0" borderId="0" xfId="129" applyNumberFormat="1" applyFont="1" applyFill="1" applyProtection="1">
      <protection locked="0"/>
    </xf>
    <xf numFmtId="0" fontId="133" fillId="0" borderId="0" xfId="0" applyFont="1" applyAlignment="1">
      <alignment vertical="center"/>
    </xf>
    <xf numFmtId="0" fontId="82" fillId="0" borderId="0" xfId="240" applyFont="1" applyAlignment="1">
      <alignment horizontal="center"/>
    </xf>
    <xf numFmtId="173" fontId="79" fillId="0" borderId="0" xfId="298" applyNumberFormat="1" applyFont="1" applyProtection="1">
      <protection locked="0"/>
    </xf>
    <xf numFmtId="0" fontId="72" fillId="0" borderId="0" xfId="298" applyFont="1" applyAlignment="1" applyProtection="1">
      <alignment horizontal="center"/>
      <protection locked="0"/>
    </xf>
    <xf numFmtId="0" fontId="134" fillId="0" borderId="0" xfId="0" applyFont="1" applyAlignment="1">
      <alignment horizontal="center"/>
    </xf>
    <xf numFmtId="172" fontId="13" fillId="0" borderId="0" xfId="294" applyFont="1"/>
    <xf numFmtId="0" fontId="13" fillId="0" borderId="0" xfId="300"/>
    <xf numFmtId="173" fontId="13" fillId="0" borderId="31" xfId="91" applyNumberFormat="1" applyFont="1" applyBorder="1"/>
    <xf numFmtId="173" fontId="13" fillId="0" borderId="14" xfId="91" applyNumberFormat="1" applyFont="1" applyBorder="1"/>
    <xf numFmtId="173" fontId="13" fillId="0" borderId="32" xfId="91" applyNumberFormat="1" applyFont="1" applyBorder="1"/>
    <xf numFmtId="0" fontId="13" fillId="0" borderId="14" xfId="0" applyFont="1" applyBorder="1" applyAlignment="1">
      <alignment horizontal="center"/>
    </xf>
    <xf numFmtId="0" fontId="13" fillId="0" borderId="11" xfId="300" applyBorder="1"/>
    <xf numFmtId="0" fontId="13" fillId="0" borderId="33" xfId="0" applyFont="1" applyBorder="1" applyAlignment="1">
      <alignment horizontal="center"/>
    </xf>
    <xf numFmtId="0" fontId="13" fillId="0" borderId="34" xfId="0" applyFont="1" applyBorder="1" applyAlignment="1">
      <alignment horizontal="center"/>
    </xf>
    <xf numFmtId="0" fontId="13" fillId="0" borderId="0" xfId="300" quotePrefix="1" applyAlignment="1">
      <alignment horizontal="left"/>
    </xf>
    <xf numFmtId="0" fontId="134" fillId="0" borderId="0" xfId="0" applyFont="1"/>
    <xf numFmtId="3" fontId="13" fillId="0" borderId="35" xfId="240" applyNumberFormat="1" applyBorder="1" applyAlignment="1">
      <alignment horizontal="center" wrapText="1"/>
    </xf>
    <xf numFmtId="3" fontId="13" fillId="0" borderId="11" xfId="240" applyNumberFormat="1" applyBorder="1" applyAlignment="1">
      <alignment horizontal="center" wrapText="1"/>
    </xf>
    <xf numFmtId="3" fontId="13" fillId="0" borderId="33" xfId="240" applyNumberFormat="1" applyBorder="1" applyAlignment="1">
      <alignment horizontal="center" wrapText="1"/>
    </xf>
    <xf numFmtId="0" fontId="10" fillId="0" borderId="0" xfId="300" applyFont="1" applyAlignment="1">
      <alignment horizontal="center"/>
    </xf>
    <xf numFmtId="0" fontId="10" fillId="0" borderId="36" xfId="300" applyFont="1" applyBorder="1" applyAlignment="1">
      <alignment horizontal="center"/>
    </xf>
    <xf numFmtId="0" fontId="10" fillId="0" borderId="34" xfId="300" applyFont="1" applyBorder="1" applyAlignment="1">
      <alignment horizontal="center"/>
    </xf>
    <xf numFmtId="0" fontId="10" fillId="0" borderId="36" xfId="300" applyFont="1" applyBorder="1" applyAlignment="1">
      <alignment horizontal="center" wrapText="1"/>
    </xf>
    <xf numFmtId="0" fontId="10" fillId="0" borderId="0" xfId="300" applyFont="1" applyAlignment="1">
      <alignment horizontal="center" wrapText="1"/>
    </xf>
    <xf numFmtId="0" fontId="10" fillId="0" borderId="34" xfId="300" applyFont="1" applyBorder="1" applyAlignment="1">
      <alignment horizontal="center" wrapText="1"/>
    </xf>
    <xf numFmtId="0" fontId="13" fillId="0" borderId="34" xfId="0" applyFont="1" applyBorder="1" applyAlignment="1">
      <alignment horizontal="center" wrapText="1"/>
    </xf>
    <xf numFmtId="0" fontId="13" fillId="0" borderId="37" xfId="0" applyFont="1" applyBorder="1"/>
    <xf numFmtId="0" fontId="13" fillId="0" borderId="2" xfId="0" applyFont="1" applyBorder="1"/>
    <xf numFmtId="0" fontId="13" fillId="0" borderId="38" xfId="0" applyFont="1" applyBorder="1"/>
    <xf numFmtId="0" fontId="10" fillId="0" borderId="2" xfId="300" applyFont="1" applyBorder="1" applyAlignment="1">
      <alignment horizontal="centerContinuous" wrapText="1"/>
    </xf>
    <xf numFmtId="0" fontId="13" fillId="0" borderId="38" xfId="0" applyFont="1" applyBorder="1" applyAlignment="1">
      <alignment horizontal="center"/>
    </xf>
    <xf numFmtId="37" fontId="13" fillId="0" borderId="0" xfId="300" applyNumberFormat="1"/>
    <xf numFmtId="173" fontId="13" fillId="0" borderId="14" xfId="92" applyNumberFormat="1" applyFont="1" applyBorder="1"/>
    <xf numFmtId="0" fontId="13" fillId="0" borderId="39" xfId="300" applyBorder="1" applyAlignment="1">
      <alignment horizontal="right"/>
    </xf>
    <xf numFmtId="0" fontId="13" fillId="0" borderId="40" xfId="0" applyFont="1" applyBorder="1" applyAlignment="1">
      <alignment horizontal="center"/>
    </xf>
    <xf numFmtId="0" fontId="13" fillId="0" borderId="35" xfId="300" applyBorder="1"/>
    <xf numFmtId="0" fontId="13" fillId="0" borderId="36" xfId="300" applyBorder="1"/>
    <xf numFmtId="0" fontId="13" fillId="0" borderId="36" xfId="300" quotePrefix="1" applyBorder="1" applyAlignment="1">
      <alignment horizontal="left"/>
    </xf>
    <xf numFmtId="3" fontId="25" fillId="0" borderId="35" xfId="240" applyNumberFormat="1" applyFont="1" applyBorder="1" applyAlignment="1">
      <alignment horizontal="center" wrapText="1"/>
    </xf>
    <xf numFmtId="3" fontId="25" fillId="0" borderId="11" xfId="240" applyNumberFormat="1" applyFont="1" applyBorder="1" applyAlignment="1">
      <alignment horizontal="center" wrapText="1"/>
    </xf>
    <xf numFmtId="0" fontId="10" fillId="0" borderId="36" xfId="287" applyFont="1" applyBorder="1" applyAlignment="1">
      <alignment horizontal="center" wrapText="1"/>
    </xf>
    <xf numFmtId="0" fontId="10" fillId="0" borderId="37" xfId="300" applyFont="1" applyBorder="1" applyAlignment="1">
      <alignment horizontal="center" wrapText="1"/>
    </xf>
    <xf numFmtId="0" fontId="13" fillId="0" borderId="38" xfId="0" applyFont="1" applyBorder="1" applyAlignment="1">
      <alignment horizontal="center" wrapText="1"/>
    </xf>
    <xf numFmtId="0" fontId="10" fillId="0" borderId="0" xfId="300" applyFont="1" applyAlignment="1">
      <alignment horizontal="centerContinuous"/>
    </xf>
    <xf numFmtId="0" fontId="13" fillId="0" borderId="0" xfId="218"/>
    <xf numFmtId="0" fontId="13" fillId="0" borderId="0" xfId="300" applyAlignment="1">
      <alignment horizontal="left"/>
    </xf>
    <xf numFmtId="0" fontId="18" fillId="0" borderId="0" xfId="240" applyFont="1" applyAlignment="1">
      <alignment horizontal="center" vertical="center"/>
    </xf>
    <xf numFmtId="0" fontId="18" fillId="0" borderId="0" xfId="288" applyFont="1" applyAlignment="1">
      <alignment horizontal="center" vertical="center" wrapText="1"/>
    </xf>
    <xf numFmtId="0" fontId="18" fillId="0" borderId="0" xfId="240" quotePrefix="1" applyFont="1" applyAlignment="1">
      <alignment horizontal="center" vertical="center" wrapText="1"/>
    </xf>
    <xf numFmtId="0" fontId="18" fillId="0" borderId="0" xfId="240" applyFont="1" applyAlignment="1">
      <alignment horizontal="left" vertical="center"/>
    </xf>
    <xf numFmtId="173" fontId="0" fillId="0" borderId="11" xfId="86" applyNumberFormat="1" applyFont="1" applyFill="1" applyBorder="1"/>
    <xf numFmtId="173" fontId="64" fillId="0" borderId="0" xfId="86" applyNumberFormat="1" applyFont="1" applyFill="1" applyAlignment="1" applyProtection="1">
      <alignment horizontal="left"/>
      <protection locked="0"/>
    </xf>
    <xf numFmtId="173" fontId="64" fillId="0" borderId="11" xfId="86" applyNumberFormat="1" applyFont="1" applyFill="1" applyBorder="1" applyAlignment="1" applyProtection="1">
      <alignment horizontal="left"/>
      <protection locked="0"/>
    </xf>
    <xf numFmtId="0" fontId="16" fillId="0" borderId="0" xfId="0" applyFont="1" applyAlignment="1">
      <alignment horizontal="center"/>
    </xf>
    <xf numFmtId="0" fontId="16" fillId="0" borderId="0" xfId="0" applyFont="1" applyAlignment="1">
      <alignment horizontal="right"/>
    </xf>
    <xf numFmtId="0" fontId="97" fillId="0" borderId="0" xfId="300" applyFont="1" applyAlignment="1">
      <alignment horizontal="centerContinuous"/>
    </xf>
    <xf numFmtId="0" fontId="16" fillId="0" borderId="0" xfId="300" applyFont="1" applyAlignment="1">
      <alignment horizontal="left"/>
    </xf>
    <xf numFmtId="0" fontId="97" fillId="0" borderId="0" xfId="300" applyFont="1" applyAlignment="1">
      <alignment horizontal="center"/>
    </xf>
    <xf numFmtId="0" fontId="10" fillId="0" borderId="41" xfId="300" applyFont="1" applyBorder="1" applyAlignment="1">
      <alignment horizontal="center" wrapText="1"/>
    </xf>
    <xf numFmtId="0" fontId="16" fillId="0" borderId="0" xfId="0" applyFont="1" applyAlignment="1">
      <alignment wrapText="1"/>
    </xf>
    <xf numFmtId="0" fontId="10" fillId="0" borderId="10" xfId="300" applyFont="1" applyBorder="1" applyAlignment="1">
      <alignment horizontal="center"/>
    </xf>
    <xf numFmtId="0" fontId="135" fillId="0" borderId="0" xfId="0" applyFont="1"/>
    <xf numFmtId="3" fontId="25" fillId="0" borderId="33" xfId="240" applyNumberFormat="1" applyFont="1" applyBorder="1" applyAlignment="1">
      <alignment horizontal="center" wrapText="1"/>
    </xf>
    <xf numFmtId="3" fontId="25" fillId="0" borderId="42" xfId="240" applyNumberFormat="1" applyFont="1" applyBorder="1" applyAlignment="1">
      <alignment wrapText="1"/>
    </xf>
    <xf numFmtId="41" fontId="13" fillId="0" borderId="10" xfId="300" applyNumberFormat="1" applyBorder="1"/>
    <xf numFmtId="3" fontId="25" fillId="0" borderId="42" xfId="240" applyNumberFormat="1" applyFont="1" applyBorder="1" applyAlignment="1">
      <alignment horizontal="center" wrapText="1"/>
    </xf>
    <xf numFmtId="0" fontId="16" fillId="0" borderId="0" xfId="300" applyFont="1"/>
    <xf numFmtId="37" fontId="16" fillId="0" borderId="0" xfId="300" applyNumberFormat="1" applyFont="1"/>
    <xf numFmtId="172" fontId="16" fillId="0" borderId="0" xfId="294" applyFont="1"/>
    <xf numFmtId="0" fontId="13" fillId="0" borderId="0" xfId="290" applyAlignment="1">
      <alignment vertical="top"/>
    </xf>
    <xf numFmtId="0" fontId="135" fillId="0" borderId="0" xfId="0" applyFont="1" applyAlignment="1">
      <alignment horizontal="center"/>
    </xf>
    <xf numFmtId="0" fontId="96" fillId="0" borderId="0" xfId="291" applyFont="1"/>
    <xf numFmtId="0" fontId="97" fillId="0" borderId="0" xfId="0" applyFont="1" applyAlignment="1">
      <alignment horizontal="center"/>
    </xf>
    <xf numFmtId="0" fontId="97" fillId="0" borderId="0" xfId="0" quotePrefix="1" applyFont="1" applyAlignment="1">
      <alignment horizontal="center"/>
    </xf>
    <xf numFmtId="0" fontId="10" fillId="0" borderId="0" xfId="291" applyFont="1" applyAlignment="1">
      <alignment horizontal="left"/>
    </xf>
    <xf numFmtId="173" fontId="13" fillId="0" borderId="0" xfId="91" applyNumberFormat="1" applyFont="1" applyFill="1" applyProtection="1"/>
    <xf numFmtId="0" fontId="13" fillId="0" borderId="0" xfId="291"/>
    <xf numFmtId="0" fontId="13" fillId="0" borderId="0" xfId="212"/>
    <xf numFmtId="0" fontId="13" fillId="0" borderId="0" xfId="291" applyAlignment="1">
      <alignment horizontal="left"/>
    </xf>
    <xf numFmtId="173" fontId="9" fillId="34" borderId="0" xfId="91" applyNumberFormat="1" applyFont="1" applyFill="1" applyProtection="1">
      <protection locked="0"/>
    </xf>
    <xf numFmtId="0" fontId="13" fillId="0" borderId="0" xfId="290" applyAlignment="1">
      <alignment horizontal="left"/>
    </xf>
    <xf numFmtId="173" fontId="9" fillId="0" borderId="0" xfId="91" applyNumberFormat="1" applyFont="1" applyFill="1" applyProtection="1">
      <protection locked="0"/>
    </xf>
    <xf numFmtId="10" fontId="13" fillId="0" borderId="0" xfId="310" applyNumberFormat="1" applyFont="1" applyFill="1" applyBorder="1" applyProtection="1"/>
    <xf numFmtId="173" fontId="9" fillId="30" borderId="6" xfId="91" applyNumberFormat="1" applyFont="1" applyFill="1" applyBorder="1" applyAlignment="1" applyProtection="1">
      <protection locked="0"/>
    </xf>
    <xf numFmtId="10" fontId="10" fillId="0" borderId="0" xfId="310" applyNumberFormat="1" applyFont="1" applyFill="1" applyBorder="1" applyProtection="1"/>
    <xf numFmtId="0" fontId="10" fillId="0" borderId="0" xfId="291" applyFont="1"/>
    <xf numFmtId="173" fontId="13" fillId="0" borderId="0" xfId="310" applyNumberFormat="1" applyFont="1" applyFill="1" applyBorder="1" applyProtection="1"/>
    <xf numFmtId="10" fontId="10" fillId="0" borderId="43" xfId="310" applyNumberFormat="1" applyFont="1" applyFill="1" applyBorder="1" applyProtection="1"/>
    <xf numFmtId="0" fontId="106" fillId="0" borderId="0" xfId="212" applyFont="1" applyAlignment="1">
      <alignment horizontal="center"/>
    </xf>
    <xf numFmtId="0" fontId="16" fillId="0" borderId="0" xfId="291" applyFont="1"/>
    <xf numFmtId="41" fontId="10" fillId="0" borderId="0" xfId="291" applyNumberFormat="1" applyFont="1" applyAlignment="1">
      <alignment horizontal="center" wrapText="1"/>
    </xf>
    <xf numFmtId="0" fontId="10" fillId="0" borderId="0" xfId="291" applyFont="1" applyAlignment="1">
      <alignment horizontal="center" wrapText="1"/>
    </xf>
    <xf numFmtId="0" fontId="9" fillId="34" borderId="0" xfId="291" applyFont="1" applyFill="1" applyProtection="1">
      <protection locked="0"/>
    </xf>
    <xf numFmtId="173" fontId="16" fillId="0" borderId="0" xfId="291" applyNumberFormat="1" applyFont="1"/>
    <xf numFmtId="196" fontId="9" fillId="34" borderId="0" xfId="291" applyNumberFormat="1" applyFont="1" applyFill="1" applyProtection="1">
      <protection locked="0"/>
    </xf>
    <xf numFmtId="37" fontId="9" fillId="34" borderId="0" xfId="291" applyNumberFormat="1" applyFont="1" applyFill="1" applyProtection="1">
      <protection locked="0"/>
    </xf>
    <xf numFmtId="173" fontId="9" fillId="34" borderId="0" xfId="291" applyNumberFormat="1" applyFont="1" applyFill="1" applyProtection="1">
      <protection locked="0"/>
    </xf>
    <xf numFmtId="0" fontId="86" fillId="34" borderId="0" xfId="291" applyFont="1" applyFill="1" applyProtection="1">
      <protection locked="0"/>
    </xf>
    <xf numFmtId="0" fontId="13" fillId="0" borderId="11" xfId="0" applyFont="1" applyBorder="1"/>
    <xf numFmtId="0" fontId="16" fillId="0" borderId="11" xfId="291" applyFont="1" applyBorder="1"/>
    <xf numFmtId="0" fontId="13" fillId="31" borderId="0" xfId="291" applyFill="1" applyAlignment="1">
      <alignment horizontal="left"/>
    </xf>
    <xf numFmtId="41" fontId="13" fillId="0" borderId="0" xfId="310" applyNumberFormat="1" applyFont="1" applyFill="1" applyBorder="1" applyProtection="1"/>
    <xf numFmtId="185" fontId="13" fillId="0" borderId="0" xfId="91" applyNumberFormat="1" applyFont="1" applyFill="1" applyBorder="1" applyProtection="1"/>
    <xf numFmtId="10" fontId="16" fillId="0" borderId="0" xfId="310" applyNumberFormat="1" applyFont="1" applyFill="1" applyProtection="1"/>
    <xf numFmtId="173" fontId="13" fillId="0" borderId="0" xfId="91" applyNumberFormat="1" applyFont="1" applyFill="1" applyBorder="1" applyProtection="1"/>
    <xf numFmtId="173" fontId="10" fillId="0" borderId="43" xfId="91" applyNumberFormat="1" applyFont="1" applyFill="1" applyBorder="1" applyProtection="1"/>
    <xf numFmtId="0" fontId="96" fillId="0" borderId="0" xfId="291" applyFont="1" applyAlignment="1">
      <alignment horizontal="left"/>
    </xf>
    <xf numFmtId="0" fontId="16" fillId="0" borderId="0" xfId="291" applyFont="1" applyAlignment="1">
      <alignment horizontal="left"/>
    </xf>
    <xf numFmtId="0" fontId="18" fillId="0" borderId="0" xfId="291" applyFont="1" applyAlignment="1">
      <alignment horizontal="left"/>
    </xf>
    <xf numFmtId="0" fontId="18" fillId="0" borderId="0" xfId="291" applyFont="1" applyAlignment="1">
      <alignment horizontal="center" wrapText="1"/>
    </xf>
    <xf numFmtId="164" fontId="9" fillId="34" borderId="0" xfId="310" applyNumberFormat="1" applyFont="1" applyFill="1" applyAlignment="1" applyProtection="1">
      <alignment horizontal="right" wrapText="1"/>
      <protection locked="0"/>
    </xf>
    <xf numFmtId="44" fontId="9" fillId="34" borderId="0" xfId="134" applyFont="1" applyFill="1" applyAlignment="1" applyProtection="1">
      <alignment horizontal="right" wrapText="1"/>
      <protection locked="0"/>
    </xf>
    <xf numFmtId="41" fontId="9" fillId="0" borderId="0" xfId="291" applyNumberFormat="1" applyFont="1"/>
    <xf numFmtId="173" fontId="13" fillId="0" borderId="0" xfId="91" applyNumberFormat="1" applyFill="1" applyProtection="1"/>
    <xf numFmtId="41" fontId="13" fillId="0" borderId="0" xfId="291" applyNumberFormat="1"/>
    <xf numFmtId="41" fontId="97" fillId="0" borderId="0" xfId="291" applyNumberFormat="1" applyFont="1"/>
    <xf numFmtId="41" fontId="13" fillId="0" borderId="12" xfId="291" applyNumberFormat="1" applyBorder="1"/>
    <xf numFmtId="41" fontId="10" fillId="0" borderId="41" xfId="291" applyNumberFormat="1" applyFont="1" applyBorder="1"/>
    <xf numFmtId="3" fontId="0" fillId="0" borderId="0" xfId="0" applyNumberFormat="1"/>
    <xf numFmtId="0" fontId="14" fillId="0" borderId="0" xfId="0" applyFont="1" applyAlignment="1">
      <alignment horizontal="center"/>
    </xf>
    <xf numFmtId="3" fontId="0" fillId="0" borderId="0" xfId="0" applyNumberFormat="1" applyAlignment="1">
      <alignment horizontal="centerContinuous"/>
    </xf>
    <xf numFmtId="3" fontId="14" fillId="0" borderId="0" xfId="0" applyNumberFormat="1" applyFont="1" applyAlignment="1">
      <alignment horizontal="centerContinuous"/>
    </xf>
    <xf numFmtId="3" fontId="13" fillId="0" borderId="0" xfId="0" applyNumberFormat="1" applyFont="1" applyAlignment="1">
      <alignment horizontal="centerContinuous"/>
    </xf>
    <xf numFmtId="3" fontId="0" fillId="0" borderId="44"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0" borderId="44" xfId="0" applyNumberFormat="1" applyBorder="1"/>
    <xf numFmtId="37" fontId="0" fillId="0" borderId="45" xfId="0" applyNumberFormat="1" applyBorder="1"/>
    <xf numFmtId="37" fontId="13" fillId="0" borderId="0" xfId="0" applyNumberFormat="1" applyFont="1"/>
    <xf numFmtId="37" fontId="0" fillId="0" borderId="46"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6" fillId="0" borderId="45" xfId="0" applyNumberFormat="1" applyFont="1" applyBorder="1"/>
    <xf numFmtId="37" fontId="166" fillId="0" borderId="0" xfId="0" applyNumberFormat="1" applyFont="1"/>
    <xf numFmtId="186" fontId="13" fillId="0" borderId="0" xfId="288" applyNumberFormat="1" applyFont="1"/>
    <xf numFmtId="3" fontId="13" fillId="0" borderId="0" xfId="0" applyNumberFormat="1" applyFont="1" applyAlignment="1">
      <alignment horizontal="center"/>
    </xf>
    <xf numFmtId="4" fontId="13" fillId="0" borderId="0" xfId="0" applyNumberFormat="1" applyFont="1" applyAlignment="1">
      <alignment horizontal="center"/>
    </xf>
    <xf numFmtId="0" fontId="167" fillId="0" borderId="0" xfId="297" applyNumberFormat="1" applyFont="1" applyAlignment="1" applyProtection="1">
      <alignment horizontal="center"/>
    </xf>
    <xf numFmtId="172" fontId="168" fillId="0" borderId="0" xfId="297" applyFont="1" applyProtection="1"/>
    <xf numFmtId="198" fontId="9" fillId="34" borderId="0" xfId="288" applyNumberFormat="1" applyFont="1" applyFill="1" applyProtection="1">
      <protection locked="0"/>
    </xf>
    <xf numFmtId="0" fontId="169" fillId="0" borderId="0" xfId="0" applyFont="1" applyAlignment="1">
      <alignment horizontal="left"/>
    </xf>
    <xf numFmtId="10" fontId="72" fillId="34" borderId="0" xfId="306" applyNumberFormat="1" applyFont="1" applyFill="1" applyAlignment="1" applyProtection="1">
      <alignment horizontal="center"/>
      <protection locked="0"/>
    </xf>
    <xf numFmtId="173" fontId="19" fillId="0" borderId="0" xfId="298" applyNumberFormat="1" applyFont="1"/>
    <xf numFmtId="0" fontId="19" fillId="0" borderId="0" xfId="298" applyFont="1" applyAlignment="1">
      <alignment horizontal="center" vertical="center"/>
    </xf>
    <xf numFmtId="0" fontId="19" fillId="0" borderId="0" xfId="298" applyFont="1" applyAlignment="1">
      <alignment vertical="center"/>
    </xf>
    <xf numFmtId="0" fontId="170" fillId="0" borderId="0" xfId="298" applyFont="1" applyAlignment="1">
      <alignment horizontal="right"/>
    </xf>
    <xf numFmtId="173" fontId="170" fillId="0" borderId="0" xfId="298" applyNumberFormat="1" applyFont="1"/>
    <xf numFmtId="0" fontId="19" fillId="0" borderId="0" xfId="298" applyFont="1" applyAlignment="1">
      <alignment horizontal="left" indent="2"/>
    </xf>
    <xf numFmtId="173" fontId="171" fillId="0" borderId="0" xfId="298" applyNumberFormat="1" applyFont="1"/>
    <xf numFmtId="0" fontId="140" fillId="0" borderId="0" xfId="298" applyFont="1" applyAlignment="1">
      <alignment horizontal="center"/>
    </xf>
    <xf numFmtId="0" fontId="140" fillId="0" borderId="0" xfId="298" applyFont="1"/>
    <xf numFmtId="0" fontId="141" fillId="0" borderId="0" xfId="298" applyFont="1"/>
    <xf numFmtId="173" fontId="140" fillId="0" borderId="0" xfId="298" applyNumberFormat="1" applyFont="1"/>
    <xf numFmtId="0" fontId="6" fillId="0" borderId="0" xfId="297" applyNumberFormat="1" applyFont="1" applyAlignment="1" applyProtection="1">
      <alignment horizontal="left" wrapText="1"/>
    </xf>
    <xf numFmtId="0" fontId="172" fillId="0" borderId="11" xfId="298" applyFont="1" applyBorder="1" applyAlignment="1">
      <alignment horizontal="center"/>
    </xf>
    <xf numFmtId="0" fontId="172" fillId="0" borderId="2" xfId="298" applyFont="1" applyBorder="1" applyAlignment="1">
      <alignment horizontal="center"/>
    </xf>
    <xf numFmtId="0" fontId="75" fillId="0" borderId="0" xfId="298" applyFont="1" applyAlignment="1">
      <alignment horizontal="center" vertical="center"/>
    </xf>
    <xf numFmtId="0" fontId="19" fillId="0" borderId="11" xfId="298" applyFont="1" applyBorder="1" applyAlignment="1">
      <alignment horizontal="center"/>
    </xf>
    <xf numFmtId="0" fontId="19" fillId="0" borderId="11" xfId="298" applyFont="1" applyBorder="1"/>
    <xf numFmtId="173" fontId="79" fillId="0" borderId="11" xfId="298" applyNumberFormat="1" applyFont="1" applyBorder="1" applyProtection="1">
      <protection locked="0"/>
    </xf>
    <xf numFmtId="173" fontId="72" fillId="0" borderId="11" xfId="298" applyNumberFormat="1" applyFont="1" applyBorder="1"/>
    <xf numFmtId="0" fontId="72" fillId="0" borderId="11" xfId="298" applyFont="1" applyBorder="1" applyAlignment="1" applyProtection="1">
      <alignment horizontal="center"/>
      <protection locked="0"/>
    </xf>
    <xf numFmtId="173" fontId="72" fillId="0" borderId="11" xfId="86" applyNumberFormat="1" applyFont="1" applyFill="1" applyBorder="1" applyAlignment="1" applyProtection="1">
      <alignment horizontal="center"/>
      <protection locked="0"/>
    </xf>
    <xf numFmtId="0" fontId="142" fillId="0" borderId="0" xfId="297" applyNumberFormat="1" applyFont="1" applyAlignment="1" applyProtection="1">
      <alignment horizontal="center"/>
    </xf>
    <xf numFmtId="172" fontId="167" fillId="0" borderId="0" xfId="297" applyFont="1" applyProtection="1"/>
    <xf numFmtId="173" fontId="9" fillId="34" borderId="0" xfId="92" applyNumberFormat="1" applyFont="1" applyFill="1" applyBorder="1" applyAlignment="1" applyProtection="1">
      <alignment horizontal="left"/>
      <protection locked="0"/>
    </xf>
    <xf numFmtId="0" fontId="9" fillId="34" borderId="0" xfId="92" applyNumberFormat="1" applyFont="1" applyFill="1" applyBorder="1" applyAlignment="1" applyProtection="1">
      <alignment horizontal="center"/>
      <protection locked="0"/>
    </xf>
    <xf numFmtId="41" fontId="9" fillId="34" borderId="0" xfId="290" applyNumberFormat="1" applyFont="1" applyFill="1"/>
    <xf numFmtId="3" fontId="7" fillId="0" borderId="0" xfId="297" applyNumberFormat="1" applyFont="1" applyAlignment="1" applyProtection="1">
      <alignment horizontal="center" vertical="center"/>
    </xf>
    <xf numFmtId="3" fontId="15" fillId="0" borderId="0" xfId="297" applyNumberFormat="1" applyFont="1" applyAlignment="1" applyProtection="1">
      <alignment horizontal="center"/>
    </xf>
    <xf numFmtId="41" fontId="6" fillId="0" borderId="40" xfId="297" applyNumberFormat="1" applyFont="1" applyBorder="1" applyProtection="1"/>
    <xf numFmtId="0" fontId="64" fillId="0" borderId="0" xfId="0" applyFont="1"/>
    <xf numFmtId="3" fontId="10" fillId="0" borderId="0" xfId="0" applyNumberFormat="1" applyFont="1" applyAlignment="1">
      <alignment horizontal="left"/>
    </xf>
    <xf numFmtId="0" fontId="13" fillId="0" borderId="0" xfId="0" applyFont="1" applyAlignment="1">
      <alignment horizontal="left"/>
    </xf>
    <xf numFmtId="0" fontId="14" fillId="0" borderId="0" xfId="0" applyFont="1" applyAlignment="1">
      <alignment horizontal="left"/>
    </xf>
    <xf numFmtId="0" fontId="13" fillId="0" borderId="0" xfId="0" applyFont="1" applyAlignment="1">
      <alignment vertical="top"/>
    </xf>
    <xf numFmtId="0" fontId="109" fillId="0" borderId="0" xfId="0" applyFont="1" applyAlignment="1">
      <alignment horizontal="center"/>
    </xf>
    <xf numFmtId="0" fontId="13" fillId="0" borderId="0" xfId="301" applyFont="1" applyAlignment="1">
      <alignment horizontal="center"/>
    </xf>
    <xf numFmtId="38" fontId="9" fillId="0" borderId="0" xfId="0" applyNumberFormat="1" applyFont="1" applyProtection="1">
      <protection locked="0"/>
    </xf>
    <xf numFmtId="0" fontId="7" fillId="0" borderId="0" xfId="289" applyFont="1"/>
    <xf numFmtId="0" fontId="74" fillId="0" borderId="0" xfId="298" applyFont="1" applyAlignment="1">
      <alignment vertical="center" wrapText="1"/>
    </xf>
    <xf numFmtId="0" fontId="7" fillId="0" borderId="0" xfId="288" quotePrefix="1" applyFont="1" applyAlignment="1">
      <alignment horizontal="center"/>
    </xf>
    <xf numFmtId="0" fontId="5" fillId="0" borderId="11" xfId="298" applyFont="1" applyBorder="1" applyAlignment="1">
      <alignment horizontal="center" wrapText="1"/>
    </xf>
    <xf numFmtId="0" fontId="5" fillId="0" borderId="11" xfId="298" applyFont="1" applyBorder="1" applyAlignment="1">
      <alignment horizontal="center" vertical="center"/>
    </xf>
    <xf numFmtId="184" fontId="5" fillId="0" borderId="11" xfId="298" applyNumberFormat="1" applyFont="1" applyBorder="1" applyAlignment="1">
      <alignment horizontal="center" vertical="center" wrapText="1"/>
    </xf>
    <xf numFmtId="0" fontId="5" fillId="0" borderId="11" xfId="298" applyFont="1" applyBorder="1" applyAlignment="1">
      <alignment horizontal="center" vertical="center" wrapText="1"/>
    </xf>
    <xf numFmtId="184" fontId="5" fillId="0" borderId="11" xfId="298" applyNumberFormat="1" applyFont="1" applyBorder="1" applyAlignment="1">
      <alignment horizontal="center" vertical="center"/>
    </xf>
    <xf numFmtId="0" fontId="13" fillId="0" borderId="0" xfId="0" applyFont="1" applyAlignment="1">
      <alignment vertical="center"/>
    </xf>
    <xf numFmtId="173" fontId="5" fillId="0" borderId="11" xfId="298" applyNumberFormat="1" applyFont="1" applyBorder="1" applyAlignment="1">
      <alignment vertical="center"/>
    </xf>
    <xf numFmtId="173" fontId="75" fillId="0" borderId="0" xfId="298" applyNumberFormat="1" applyFont="1" applyAlignment="1">
      <alignment vertical="center"/>
    </xf>
    <xf numFmtId="0" fontId="5" fillId="0" borderId="0" xfId="298" applyFont="1" applyAlignment="1">
      <alignment horizontal="right" vertical="center"/>
    </xf>
    <xf numFmtId="0" fontId="72" fillId="0" borderId="0" xfId="298" applyFont="1" applyAlignment="1">
      <alignment wrapText="1"/>
    </xf>
    <xf numFmtId="0" fontId="13" fillId="0" borderId="0" xfId="292" applyFont="1" applyAlignment="1">
      <alignment horizontal="left"/>
    </xf>
    <xf numFmtId="0" fontId="13" fillId="0" borderId="0" xfId="212" applyAlignment="1">
      <alignment wrapText="1"/>
    </xf>
    <xf numFmtId="173" fontId="72" fillId="0" borderId="0" xfId="86" applyNumberFormat="1" applyFont="1" applyFill="1" applyAlignment="1" applyProtection="1">
      <alignment horizontal="center"/>
      <protection locked="0"/>
    </xf>
    <xf numFmtId="173" fontId="13" fillId="0" borderId="0" xfId="298" applyNumberFormat="1" applyFont="1"/>
    <xf numFmtId="0" fontId="13" fillId="0" borderId="0" xfId="193"/>
    <xf numFmtId="0" fontId="112" fillId="0" borderId="0" xfId="299" applyFont="1" applyProtection="1">
      <protection locked="0"/>
    </xf>
    <xf numFmtId="0" fontId="78" fillId="0" borderId="0" xfId="299" applyFont="1"/>
    <xf numFmtId="0" fontId="114" fillId="0" borderId="0" xfId="299" applyFont="1" applyProtection="1">
      <protection locked="0"/>
    </xf>
    <xf numFmtId="0" fontId="115" fillId="0" borderId="0" xfId="299" applyFont="1" applyProtection="1">
      <protection locked="0"/>
    </xf>
    <xf numFmtId="176" fontId="112" fillId="0" borderId="0" xfId="299" applyNumberFormat="1" applyFont="1" applyProtection="1">
      <protection locked="0"/>
    </xf>
    <xf numFmtId="0" fontId="112" fillId="0" borderId="15" xfId="299" applyFont="1" applyBorder="1" applyProtection="1">
      <protection locked="0"/>
    </xf>
    <xf numFmtId="0" fontId="117" fillId="0" borderId="0" xfId="299" applyFont="1" applyProtection="1">
      <protection locked="0"/>
    </xf>
    <xf numFmtId="0" fontId="6" fillId="0" borderId="0" xfId="296" applyFont="1"/>
    <xf numFmtId="0" fontId="13" fillId="0" borderId="0" xfId="296"/>
    <xf numFmtId="0" fontId="13" fillId="0" borderId="0" xfId="296" applyAlignment="1">
      <alignment horizontal="center"/>
    </xf>
    <xf numFmtId="0" fontId="144" fillId="0" borderId="0" xfId="299" applyFont="1" applyAlignment="1">
      <alignment horizontal="center"/>
    </xf>
    <xf numFmtId="0" fontId="13" fillId="0" borderId="0" xfId="193" applyAlignment="1">
      <alignment wrapText="1"/>
    </xf>
    <xf numFmtId="10" fontId="4" fillId="0" borderId="0" xfId="299" applyNumberFormat="1" applyAlignment="1">
      <alignment horizontal="center"/>
    </xf>
    <xf numFmtId="0" fontId="116" fillId="0" borderId="0" xfId="299" applyFont="1"/>
    <xf numFmtId="0" fontId="4" fillId="0" borderId="0" xfId="299" applyAlignment="1">
      <alignment horizontal="center"/>
    </xf>
    <xf numFmtId="10" fontId="4" fillId="0" borderId="0" xfId="299" applyNumberFormat="1" applyAlignment="1">
      <alignment horizontal="right"/>
    </xf>
    <xf numFmtId="194" fontId="78" fillId="0" borderId="0" xfId="299" applyNumberFormat="1" applyFont="1"/>
    <xf numFmtId="10" fontId="78" fillId="0" borderId="0" xfId="299" applyNumberFormat="1" applyFont="1"/>
    <xf numFmtId="0" fontId="116" fillId="0" borderId="30" xfId="299" applyFont="1" applyBorder="1"/>
    <xf numFmtId="0" fontId="112" fillId="0" borderId="30" xfId="299" applyFont="1" applyBorder="1" applyProtection="1">
      <protection locked="0"/>
    </xf>
    <xf numFmtId="10" fontId="4" fillId="0" borderId="30" xfId="299" applyNumberFormat="1" applyBorder="1"/>
    <xf numFmtId="0" fontId="6" fillId="0" borderId="0" xfId="0" applyFont="1" applyAlignment="1">
      <alignment horizontal="left" indent="1"/>
    </xf>
    <xf numFmtId="0" fontId="7" fillId="0" borderId="0" xfId="212" applyFont="1" applyAlignment="1">
      <alignment horizontal="right"/>
    </xf>
    <xf numFmtId="0" fontId="13" fillId="0" borderId="32" xfId="0" applyFont="1" applyBorder="1" applyAlignment="1">
      <alignment horizontal="center"/>
    </xf>
    <xf numFmtId="0" fontId="13" fillId="0" borderId="31" xfId="300" applyBorder="1" applyAlignment="1">
      <alignment horizontal="right"/>
    </xf>
    <xf numFmtId="0" fontId="146" fillId="0" borderId="0" xfId="0" applyFont="1" applyAlignment="1">
      <alignment vertical="center"/>
    </xf>
    <xf numFmtId="0" fontId="147" fillId="0" borderId="0" xfId="0" applyFont="1"/>
    <xf numFmtId="0" fontId="142" fillId="0" borderId="0" xfId="0" applyFont="1"/>
    <xf numFmtId="0" fontId="142" fillId="0" borderId="0" xfId="0" applyFont="1" applyAlignment="1">
      <alignment horizontal="left"/>
    </xf>
    <xf numFmtId="0" fontId="142" fillId="0" borderId="0" xfId="240" applyFont="1" applyAlignment="1">
      <alignment horizontal="center"/>
    </xf>
    <xf numFmtId="0" fontId="147" fillId="0" borderId="0" xfId="0" applyFont="1" applyAlignment="1">
      <alignment horizontal="center"/>
    </xf>
    <xf numFmtId="0" fontId="148" fillId="0" borderId="0" xfId="240" applyFont="1"/>
    <xf numFmtId="0" fontId="142" fillId="0" borderId="0" xfId="240" applyFont="1" applyAlignment="1">
      <alignment horizontal="left"/>
    </xf>
    <xf numFmtId="0" fontId="142" fillId="0" borderId="0" xfId="240" applyFont="1"/>
    <xf numFmtId="3" fontId="142" fillId="0" borderId="0" xfId="0" applyNumberFormat="1" applyFont="1"/>
    <xf numFmtId="3" fontId="142" fillId="0" borderId="0" xfId="0" applyNumberFormat="1" applyFont="1" applyAlignment="1">
      <alignment horizontal="left"/>
    </xf>
    <xf numFmtId="0" fontId="149" fillId="0" borderId="0" xfId="0" applyFont="1" applyAlignment="1">
      <alignment horizontal="center"/>
    </xf>
    <xf numFmtId="0" fontId="150" fillId="0" borderId="0" xfId="0" applyFont="1"/>
    <xf numFmtId="0" fontId="149" fillId="0" borderId="0" xfId="0" applyFont="1" applyAlignment="1">
      <alignment wrapText="1"/>
    </xf>
    <xf numFmtId="0" fontId="149" fillId="0" borderId="0" xfId="0" applyFont="1"/>
    <xf numFmtId="41" fontId="147" fillId="0" borderId="0" xfId="0" applyNumberFormat="1" applyFont="1"/>
    <xf numFmtId="41" fontId="150" fillId="0" borderId="0" xfId="0" applyNumberFormat="1" applyFont="1"/>
    <xf numFmtId="0" fontId="151" fillId="0" borderId="0" xfId="0" applyFont="1" applyAlignment="1">
      <alignment horizontal="center"/>
    </xf>
    <xf numFmtId="0" fontId="152" fillId="0" borderId="0" xfId="0" applyFont="1" applyAlignment="1">
      <alignment horizontal="center"/>
    </xf>
    <xf numFmtId="0" fontId="153" fillId="0" borderId="0" xfId="0" applyFont="1" applyAlignment="1">
      <alignment horizontal="center"/>
    </xf>
    <xf numFmtId="173" fontId="154" fillId="34" borderId="0" xfId="121" applyNumberFormat="1" applyFont="1" applyFill="1" applyProtection="1">
      <protection locked="0"/>
    </xf>
    <xf numFmtId="173" fontId="147" fillId="0" borderId="0" xfId="0" applyNumberFormat="1" applyFont="1"/>
    <xf numFmtId="0" fontId="147" fillId="0" borderId="0" xfId="0" applyFont="1" applyAlignment="1">
      <alignment wrapText="1"/>
    </xf>
    <xf numFmtId="0" fontId="147" fillId="0" borderId="11" xfId="0" applyFont="1" applyBorder="1"/>
    <xf numFmtId="0" fontId="150" fillId="0" borderId="11" xfId="0" applyFont="1" applyBorder="1"/>
    <xf numFmtId="0" fontId="150" fillId="0" borderId="0" xfId="0" applyFont="1" applyAlignment="1">
      <alignment horizontal="center"/>
    </xf>
    <xf numFmtId="190" fontId="150" fillId="0" borderId="0" xfId="121" applyNumberFormat="1" applyFont="1" applyAlignment="1">
      <alignment horizontal="center"/>
    </xf>
    <xf numFmtId="173" fontId="147" fillId="0" borderId="14" xfId="0" applyNumberFormat="1" applyFont="1" applyBorder="1"/>
    <xf numFmtId="173" fontId="150" fillId="0" borderId="14" xfId="0" applyNumberFormat="1" applyFont="1" applyBorder="1"/>
    <xf numFmtId="41" fontId="147" fillId="0" borderId="14" xfId="0" applyNumberFormat="1" applyFont="1" applyBorder="1"/>
    <xf numFmtId="43" fontId="150" fillId="0" borderId="0" xfId="0" applyNumberFormat="1" applyFont="1"/>
    <xf numFmtId="0" fontId="150" fillId="0" borderId="0" xfId="0" applyFont="1" applyAlignment="1">
      <alignment wrapText="1"/>
    </xf>
    <xf numFmtId="0" fontId="149" fillId="0" borderId="0" xfId="0" applyFont="1" applyAlignment="1">
      <alignment horizontal="center" wrapText="1"/>
    </xf>
    <xf numFmtId="43" fontId="149" fillId="0" borderId="0" xfId="121" applyFont="1" applyAlignment="1">
      <alignment horizontal="center" wrapText="1"/>
    </xf>
    <xf numFmtId="173" fontId="147" fillId="0" borderId="0" xfId="121" applyNumberFormat="1" applyFont="1"/>
    <xf numFmtId="173" fontId="149" fillId="0" borderId="0" xfId="121" applyNumberFormat="1" applyFont="1" applyAlignment="1">
      <alignment horizontal="center" wrapText="1"/>
    </xf>
    <xf numFmtId="173" fontId="149" fillId="0" borderId="0" xfId="121" applyNumberFormat="1" applyFont="1"/>
    <xf numFmtId="173" fontId="149" fillId="0" borderId="0" xfId="121" applyNumberFormat="1" applyFont="1" applyAlignment="1">
      <alignment horizontal="center"/>
    </xf>
    <xf numFmtId="173" fontId="147" fillId="0" borderId="11" xfId="0" applyNumberFormat="1" applyFont="1" applyBorder="1"/>
    <xf numFmtId="0" fontId="6" fillId="0" borderId="0" xfId="297" applyNumberFormat="1" applyFont="1" applyAlignment="1" applyProtection="1">
      <alignment horizontal="left" indent="4"/>
    </xf>
    <xf numFmtId="41" fontId="20" fillId="0" borderId="0" xfId="297" applyNumberFormat="1" applyFont="1" applyProtection="1">
      <protection locked="0"/>
    </xf>
    <xf numFmtId="173" fontId="64" fillId="0" borderId="0" xfId="86" applyNumberFormat="1" applyFont="1"/>
    <xf numFmtId="0" fontId="64" fillId="0" borderId="0" xfId="240" applyFont="1"/>
    <xf numFmtId="173" fontId="64" fillId="0" borderId="0" xfId="86" applyNumberFormat="1" applyFont="1" applyFill="1"/>
    <xf numFmtId="37" fontId="64" fillId="0" borderId="16" xfId="0" applyNumberFormat="1" applyFont="1" applyBorder="1"/>
    <xf numFmtId="38" fontId="129" fillId="34" borderId="0" xfId="0" applyNumberFormat="1" applyFont="1" applyFill="1" applyProtection="1">
      <protection locked="0"/>
    </xf>
    <xf numFmtId="0" fontId="75" fillId="34" borderId="0" xfId="298" applyFont="1" applyFill="1"/>
    <xf numFmtId="10" fontId="72" fillId="34" borderId="0" xfId="298" applyNumberFormat="1" applyFont="1" applyFill="1" applyAlignment="1" applyProtection="1">
      <alignment horizontal="right"/>
      <protection locked="0"/>
    </xf>
    <xf numFmtId="10" fontId="72" fillId="34" borderId="0" xfId="306" applyNumberFormat="1" applyFont="1" applyFill="1" applyAlignment="1" applyProtection="1">
      <alignment horizontal="right"/>
      <protection locked="0"/>
    </xf>
    <xf numFmtId="0" fontId="64" fillId="0" borderId="0" xfId="288" applyFont="1"/>
    <xf numFmtId="173" fontId="9" fillId="34" borderId="37" xfId="92" applyNumberFormat="1" applyFont="1" applyFill="1" applyBorder="1" applyAlignment="1">
      <alignment horizontal="right"/>
    </xf>
    <xf numFmtId="173" fontId="9" fillId="34" borderId="36" xfId="92" applyNumberFormat="1" applyFont="1" applyFill="1" applyBorder="1" applyAlignment="1">
      <alignment horizontal="right"/>
    </xf>
    <xf numFmtId="173" fontId="9" fillId="34" borderId="0" xfId="92" applyNumberFormat="1" applyFont="1" applyFill="1" applyBorder="1" applyAlignment="1">
      <alignment horizontal="right"/>
    </xf>
    <xf numFmtId="3" fontId="64" fillId="34" borderId="0" xfId="0" applyNumberFormat="1" applyFont="1" applyFill="1" applyProtection="1">
      <protection locked="0"/>
    </xf>
    <xf numFmtId="3" fontId="64" fillId="34" borderId="0" xfId="0" quotePrefix="1" applyNumberFormat="1" applyFont="1" applyFill="1" applyProtection="1">
      <protection locked="0"/>
    </xf>
    <xf numFmtId="37" fontId="6" fillId="0" borderId="0" xfId="193" applyNumberFormat="1" applyFont="1"/>
    <xf numFmtId="37" fontId="6" fillId="0" borderId="0" xfId="193" applyNumberFormat="1" applyFont="1" applyAlignment="1">
      <alignment horizontal="center"/>
    </xf>
    <xf numFmtId="0" fontId="6" fillId="31" borderId="0" xfId="193" applyFont="1" applyFill="1"/>
    <xf numFmtId="173" fontId="9" fillId="30" borderId="0" xfId="119" applyNumberFormat="1" applyFont="1" applyFill="1" applyAlignment="1" applyProtection="1">
      <protection locked="0"/>
    </xf>
    <xf numFmtId="0" fontId="9" fillId="34" borderId="0" xfId="290" applyFont="1" applyFill="1" applyProtection="1">
      <protection locked="0"/>
    </xf>
    <xf numFmtId="41" fontId="150" fillId="0" borderId="0" xfId="293" applyNumberFormat="1" applyFont="1"/>
    <xf numFmtId="0" fontId="13" fillId="0" borderId="34" xfId="0" applyFont="1" applyBorder="1"/>
    <xf numFmtId="173" fontId="9" fillId="34" borderId="34" xfId="92" applyNumberFormat="1" applyFont="1" applyFill="1" applyBorder="1" applyAlignment="1">
      <alignment horizontal="right"/>
    </xf>
    <xf numFmtId="0" fontId="20" fillId="34" borderId="0" xfId="290" applyFont="1" applyFill="1" applyAlignment="1" applyProtection="1">
      <alignment horizontal="center"/>
      <protection locked="0"/>
    </xf>
    <xf numFmtId="41" fontId="168" fillId="34" borderId="0" xfId="290" applyNumberFormat="1" applyFont="1" applyFill="1" applyProtection="1">
      <protection locked="0"/>
    </xf>
    <xf numFmtId="173" fontId="16" fillId="0" borderId="0" xfId="290" applyNumberFormat="1" applyFont="1"/>
    <xf numFmtId="17" fontId="86" fillId="34" borderId="0" xfId="290" quotePrefix="1" applyNumberFormat="1" applyFont="1" applyFill="1" applyAlignment="1" applyProtection="1">
      <alignment horizontal="center"/>
      <protection locked="0"/>
    </xf>
    <xf numFmtId="173" fontId="147" fillId="30" borderId="0" xfId="0" applyNumberFormat="1" applyFont="1" applyFill="1" applyProtection="1">
      <protection locked="0"/>
    </xf>
    <xf numFmtId="173" fontId="147" fillId="30" borderId="11" xfId="0" applyNumberFormat="1" applyFont="1" applyFill="1" applyBorder="1" applyProtection="1">
      <protection locked="0"/>
    </xf>
    <xf numFmtId="164" fontId="147" fillId="27" borderId="0" xfId="310" applyNumberFormat="1" applyFont="1" applyFill="1" applyProtection="1">
      <protection locked="0"/>
    </xf>
    <xf numFmtId="0" fontId="79" fillId="34" borderId="0" xfId="298" applyFont="1" applyFill="1" applyProtection="1">
      <protection locked="0"/>
    </xf>
    <xf numFmtId="9" fontId="6" fillId="0" borderId="0" xfId="0" applyNumberFormat="1" applyFont="1"/>
    <xf numFmtId="44" fontId="111" fillId="0" borderId="0" xfId="134" applyFont="1" applyAlignment="1" applyProtection="1"/>
    <xf numFmtId="0" fontId="116" fillId="0" borderId="15" xfId="0" applyFont="1" applyBorder="1"/>
    <xf numFmtId="0" fontId="116" fillId="0" borderId="30" xfId="0" applyFont="1" applyBorder="1"/>
    <xf numFmtId="0" fontId="112" fillId="0" borderId="30" xfId="0" applyFont="1" applyBorder="1" applyProtection="1">
      <protection locked="0"/>
    </xf>
    <xf numFmtId="10" fontId="0" fillId="0" borderId="30" xfId="0" applyNumberFormat="1" applyBorder="1"/>
    <xf numFmtId="192" fontId="0" fillId="0" borderId="30" xfId="0" applyNumberFormat="1" applyBorder="1"/>
    <xf numFmtId="176" fontId="0" fillId="0" borderId="30" xfId="0" applyNumberFormat="1" applyBorder="1"/>
    <xf numFmtId="192" fontId="4" fillId="0" borderId="0" xfId="299" applyNumberFormat="1"/>
    <xf numFmtId="0" fontId="112" fillId="0" borderId="15" xfId="0" applyFont="1" applyBorder="1" applyProtection="1">
      <protection locked="0"/>
    </xf>
    <xf numFmtId="10" fontId="0" fillId="0" borderId="15" xfId="0" applyNumberFormat="1" applyBorder="1"/>
    <xf numFmtId="192" fontId="0" fillId="0" borderId="15" xfId="0" applyNumberFormat="1" applyBorder="1"/>
    <xf numFmtId="176" fontId="0" fillId="0" borderId="15" xfId="0" applyNumberFormat="1" applyBorder="1"/>
    <xf numFmtId="176" fontId="0" fillId="0" borderId="15" xfId="0" applyNumberFormat="1" applyBorder="1" applyAlignment="1">
      <alignment horizontal="center"/>
    </xf>
    <xf numFmtId="0" fontId="25" fillId="0" borderId="0" xfId="244" applyFont="1"/>
    <xf numFmtId="172" fontId="159" fillId="0" borderId="0" xfId="245"/>
    <xf numFmtId="0" fontId="13" fillId="0" borderId="0" xfId="244" applyFont="1" applyAlignment="1">
      <alignment horizontal="right"/>
    </xf>
    <xf numFmtId="14" fontId="25" fillId="0" borderId="0" xfId="244" applyNumberFormat="1" applyFont="1"/>
    <xf numFmtId="0" fontId="25" fillId="0" borderId="0" xfId="194" applyFont="1"/>
    <xf numFmtId="9" fontId="25" fillId="0" borderId="0" xfId="344" applyFont="1"/>
    <xf numFmtId="41" fontId="25" fillId="0" borderId="0" xfId="244" applyNumberFormat="1" applyFont="1"/>
    <xf numFmtId="10" fontId="25" fillId="0" borderId="0" xfId="312" applyNumberFormat="1" applyFont="1"/>
    <xf numFmtId="0" fontId="25" fillId="0" borderId="0" xfId="244" applyFont="1" applyAlignment="1">
      <alignment horizontal="center"/>
    </xf>
    <xf numFmtId="172" fontId="25" fillId="0" borderId="0" xfId="245" applyFont="1"/>
    <xf numFmtId="0" fontId="25" fillId="0" borderId="11" xfId="244" applyFont="1" applyBorder="1"/>
    <xf numFmtId="0" fontId="26" fillId="0" borderId="11" xfId="244" applyFont="1" applyBorder="1" applyAlignment="1">
      <alignment horizontal="center"/>
    </xf>
    <xf numFmtId="0" fontId="26" fillId="0" borderId="11" xfId="244" applyFont="1" applyBorder="1" applyAlignment="1">
      <alignment horizontal="center" wrapText="1"/>
    </xf>
    <xf numFmtId="0" fontId="26" fillId="0" borderId="0" xfId="244" applyFont="1" applyAlignment="1">
      <alignment horizontal="center"/>
    </xf>
    <xf numFmtId="0" fontId="26" fillId="0" borderId="0" xfId="244" applyFont="1" applyAlignment="1">
      <alignment horizontal="center" wrapText="1"/>
    </xf>
    <xf numFmtId="173" fontId="26" fillId="0" borderId="0" xfId="244" applyNumberFormat="1" applyFont="1" applyAlignment="1">
      <alignment horizontal="center"/>
    </xf>
    <xf numFmtId="0" fontId="26" fillId="0" borderId="0" xfId="244" applyFont="1" applyAlignment="1">
      <alignment horizontal="left"/>
    </xf>
    <xf numFmtId="0" fontId="25" fillId="35" borderId="0" xfId="244" applyFont="1" applyFill="1"/>
    <xf numFmtId="49" fontId="25" fillId="0" borderId="0" xfId="244" applyNumberFormat="1" applyFont="1" applyAlignment="1">
      <alignment horizontal="center"/>
    </xf>
    <xf numFmtId="41" fontId="25" fillId="34" borderId="0" xfId="290" applyNumberFormat="1" applyFont="1" applyFill="1" applyProtection="1">
      <protection locked="0"/>
    </xf>
    <xf numFmtId="41" fontId="25" fillId="0" borderId="0" xfId="244" applyNumberFormat="1" applyFont="1" applyAlignment="1">
      <alignment horizontal="center"/>
    </xf>
    <xf numFmtId="173" fontId="25" fillId="36" borderId="0" xfId="128" applyNumberFormat="1" applyFont="1" applyFill="1" applyBorder="1"/>
    <xf numFmtId="0" fontId="26" fillId="0" borderId="0" xfId="244" applyFont="1"/>
    <xf numFmtId="41" fontId="25" fillId="34" borderId="42" xfId="290" applyNumberFormat="1" applyFont="1" applyFill="1" applyBorder="1" applyProtection="1">
      <protection locked="0"/>
    </xf>
    <xf numFmtId="173" fontId="25" fillId="36" borderId="33" xfId="128" applyNumberFormat="1" applyFont="1" applyFill="1" applyBorder="1"/>
    <xf numFmtId="173" fontId="25" fillId="0" borderId="0" xfId="88" applyNumberFormat="1" applyFont="1" applyBorder="1" applyAlignment="1">
      <alignment horizontal="center"/>
    </xf>
    <xf numFmtId="41" fontId="25" fillId="34" borderId="34" xfId="290" applyNumberFormat="1" applyFont="1" applyFill="1" applyBorder="1" applyAlignment="1" applyProtection="1">
      <alignment vertical="top"/>
      <protection locked="0"/>
    </xf>
    <xf numFmtId="172" fontId="160" fillId="0" borderId="0" xfId="245" applyFont="1"/>
    <xf numFmtId="172" fontId="25" fillId="0" borderId="0" xfId="194" applyNumberFormat="1" applyFont="1"/>
    <xf numFmtId="0" fontId="25" fillId="0" borderId="0" xfId="244" applyFont="1" applyAlignment="1">
      <alignment wrapText="1"/>
    </xf>
    <xf numFmtId="173" fontId="25" fillId="0" borderId="0" xfId="128" applyNumberFormat="1" applyFont="1" applyFill="1" applyBorder="1"/>
    <xf numFmtId="173" fontId="25" fillId="0" borderId="0" xfId="128" applyNumberFormat="1" applyFont="1" applyBorder="1" applyAlignment="1">
      <alignment wrapText="1"/>
    </xf>
    <xf numFmtId="0" fontId="25" fillId="0" borderId="0" xfId="244" applyFont="1" applyAlignment="1">
      <alignment horizontal="left"/>
    </xf>
    <xf numFmtId="173" fontId="25" fillId="0" borderId="0" xfId="128" applyNumberFormat="1" applyFont="1" applyAlignment="1">
      <alignment wrapText="1"/>
    </xf>
    <xf numFmtId="1" fontId="25" fillId="0" borderId="0" xfId="88" applyNumberFormat="1" applyFont="1" applyBorder="1" applyAlignment="1"/>
    <xf numFmtId="177" fontId="25" fillId="0" borderId="0" xfId="88" applyNumberFormat="1" applyFont="1" applyBorder="1" applyAlignment="1"/>
    <xf numFmtId="173" fontId="25" fillId="0" borderId="1" xfId="88" applyNumberFormat="1" applyFont="1" applyBorder="1" applyAlignment="1">
      <alignment horizontal="center"/>
    </xf>
    <xf numFmtId="173" fontId="25" fillId="0" borderId="0" xfId="88" applyNumberFormat="1" applyFont="1" applyBorder="1" applyAlignment="1"/>
    <xf numFmtId="0" fontId="25" fillId="0" borderId="0" xfId="244" applyFont="1" applyAlignment="1">
      <alignment horizontal="left" vertical="center"/>
    </xf>
    <xf numFmtId="0" fontId="25" fillId="0" borderId="0" xfId="244" applyFont="1" applyAlignment="1">
      <alignment vertical="top" wrapText="1"/>
    </xf>
    <xf numFmtId="173" fontId="25" fillId="0" borderId="0" xfId="244" applyNumberFormat="1" applyFont="1"/>
    <xf numFmtId="0" fontId="25" fillId="0" borderId="0" xfId="244" applyFont="1" applyAlignment="1">
      <alignment vertical="top"/>
    </xf>
    <xf numFmtId="0" fontId="26" fillId="0" borderId="0" xfId="244" applyFont="1" applyAlignment="1">
      <alignment horizontal="left" vertical="center"/>
    </xf>
    <xf numFmtId="173" fontId="25" fillId="0" borderId="0" xfId="244" applyNumberFormat="1" applyFont="1" applyAlignment="1">
      <alignment horizontal="left" vertical="center"/>
    </xf>
    <xf numFmtId="173" fontId="154" fillId="34" borderId="0" xfId="122" applyNumberFormat="1" applyFont="1" applyFill="1" applyProtection="1">
      <protection locked="0"/>
    </xf>
    <xf numFmtId="10" fontId="147" fillId="0" borderId="0" xfId="339" applyNumberFormat="1" applyFont="1"/>
    <xf numFmtId="173" fontId="147" fillId="0" borderId="0" xfId="122" applyNumberFormat="1" applyFont="1"/>
    <xf numFmtId="164" fontId="147" fillId="27" borderId="11" xfId="310" applyNumberFormat="1" applyFont="1" applyFill="1" applyBorder="1" applyProtection="1">
      <protection locked="0"/>
    </xf>
    <xf numFmtId="173" fontId="147" fillId="0" borderId="11" xfId="122" applyNumberFormat="1" applyFont="1" applyBorder="1"/>
    <xf numFmtId="41" fontId="20" fillId="34" borderId="0" xfId="290" applyNumberFormat="1" applyFont="1" applyFill="1" applyProtection="1">
      <protection locked="0"/>
    </xf>
    <xf numFmtId="0" fontId="78" fillId="0" borderId="30" xfId="299" applyFont="1" applyBorder="1" applyAlignment="1">
      <alignment horizontal="center"/>
    </xf>
    <xf numFmtId="41" fontId="25" fillId="34" borderId="34" xfId="290" applyNumberFormat="1" applyFont="1" applyFill="1" applyBorder="1" applyAlignment="1" applyProtection="1">
      <alignment horizontal="left" vertical="center" wrapText="1"/>
      <protection locked="0"/>
    </xf>
    <xf numFmtId="10" fontId="0" fillId="0" borderId="15" xfId="0" applyNumberFormat="1" applyBorder="1" applyAlignment="1">
      <alignment horizontal="center"/>
    </xf>
    <xf numFmtId="0" fontId="116" fillId="0" borderId="0" xfId="0" applyFont="1"/>
    <xf numFmtId="0" fontId="112" fillId="0" borderId="0" xfId="0" applyFont="1" applyProtection="1">
      <protection locked="0"/>
    </xf>
    <xf numFmtId="0" fontId="173" fillId="0" borderId="0" xfId="0" applyFont="1" applyAlignment="1">
      <alignment horizontal="center"/>
    </xf>
    <xf numFmtId="177" fontId="6" fillId="0" borderId="0" xfId="87" applyNumberFormat="1" applyFont="1" applyAlignment="1">
      <alignment horizontal="center"/>
    </xf>
    <xf numFmtId="10" fontId="6" fillId="0" borderId="0" xfId="247" applyNumberFormat="1" applyFont="1" applyAlignment="1">
      <alignment horizontal="right"/>
    </xf>
    <xf numFmtId="10" fontId="6" fillId="0" borderId="0" xfId="247" applyNumberFormat="1" applyFont="1" applyAlignment="1">
      <alignment horizontal="center"/>
    </xf>
    <xf numFmtId="0" fontId="25" fillId="0" borderId="0" xfId="391" applyFont="1"/>
    <xf numFmtId="0" fontId="26" fillId="0" borderId="49" xfId="244" applyFont="1" applyBorder="1" applyAlignment="1">
      <alignment horizontal="center" wrapText="1"/>
    </xf>
    <xf numFmtId="41" fontId="25" fillId="34" borderId="50" xfId="290" applyNumberFormat="1" applyFont="1" applyFill="1" applyBorder="1" applyProtection="1">
      <protection locked="0"/>
    </xf>
    <xf numFmtId="173" fontId="25" fillId="36" borderId="50" xfId="128" applyNumberFormat="1" applyFont="1" applyFill="1" applyBorder="1"/>
    <xf numFmtId="173" fontId="25" fillId="0" borderId="51" xfId="128" applyNumberFormat="1" applyFont="1" applyFill="1" applyBorder="1"/>
    <xf numFmtId="173" fontId="25" fillId="0" borderId="50" xfId="128" applyNumberFormat="1" applyFont="1" applyFill="1" applyBorder="1"/>
    <xf numFmtId="41" fontId="25" fillId="34" borderId="52" xfId="290" applyNumberFormat="1" applyFont="1" applyFill="1" applyBorder="1" applyProtection="1">
      <protection locked="0"/>
    </xf>
    <xf numFmtId="173" fontId="25" fillId="0" borderId="52" xfId="128" applyNumberFormat="1" applyFont="1" applyFill="1" applyBorder="1"/>
    <xf numFmtId="173" fontId="25" fillId="36" borderId="53" xfId="128" applyNumberFormat="1" applyFont="1" applyFill="1" applyBorder="1"/>
    <xf numFmtId="173" fontId="25" fillId="36" borderId="52" xfId="128" applyNumberFormat="1" applyFont="1" applyFill="1" applyBorder="1"/>
    <xf numFmtId="173" fontId="25" fillId="0" borderId="53" xfId="128" applyNumberFormat="1" applyFont="1" applyFill="1" applyBorder="1"/>
    <xf numFmtId="41" fontId="25" fillId="34" borderId="54" xfId="290" applyNumberFormat="1" applyFont="1" applyFill="1" applyBorder="1" applyProtection="1">
      <protection locked="0"/>
    </xf>
    <xf numFmtId="173" fontId="25" fillId="0" borderId="55" xfId="88" applyNumberFormat="1" applyFont="1" applyBorder="1" applyAlignment="1"/>
    <xf numFmtId="0" fontId="25" fillId="0" borderId="0" xfId="391" applyFont="1" applyAlignment="1">
      <alignment horizontal="left" vertical="center"/>
    </xf>
    <xf numFmtId="0" fontId="25" fillId="0" borderId="0" xfId="391" applyFont="1" applyAlignment="1">
      <alignment horizontal="left"/>
    </xf>
    <xf numFmtId="0" fontId="25" fillId="0" borderId="0" xfId="391" applyFont="1" applyAlignment="1">
      <alignment horizontal="center"/>
    </xf>
    <xf numFmtId="170" fontId="125" fillId="0" borderId="0" xfId="0" applyNumberFormat="1" applyFont="1" applyAlignment="1">
      <alignment horizontal="right"/>
    </xf>
    <xf numFmtId="170" fontId="124" fillId="0" borderId="0" xfId="0" applyNumberFormat="1" applyFont="1" applyAlignment="1">
      <alignment horizontal="center"/>
    </xf>
    <xf numFmtId="41" fontId="20" fillId="0" borderId="0" xfId="288" applyNumberFormat="1" applyFont="1" applyProtection="1">
      <protection locked="0"/>
    </xf>
    <xf numFmtId="41" fontId="27" fillId="0" borderId="49" xfId="288" applyNumberFormat="1" applyFont="1" applyBorder="1"/>
    <xf numFmtId="3" fontId="20" fillId="34" borderId="0" xfId="297" applyNumberFormat="1" applyFont="1" applyFill="1" applyProtection="1">
      <protection locked="0"/>
    </xf>
    <xf numFmtId="173" fontId="13" fillId="0" borderId="55" xfId="91" applyNumberFormat="1" applyFont="1" applyBorder="1"/>
    <xf numFmtId="41" fontId="9" fillId="0" borderId="0" xfId="288" applyNumberFormat="1" applyFont="1" applyProtection="1">
      <protection locked="0"/>
    </xf>
    <xf numFmtId="0" fontId="64" fillId="34" borderId="0" xfId="0" applyFont="1" applyFill="1" applyAlignment="1" applyProtection="1">
      <alignment horizontal="left"/>
      <protection locked="0"/>
    </xf>
    <xf numFmtId="0" fontId="64" fillId="34" borderId="0" xfId="0" quotePrefix="1" applyFont="1" applyFill="1" applyProtection="1">
      <protection locked="0"/>
    </xf>
    <xf numFmtId="0" fontId="64" fillId="34" borderId="0" xfId="0" applyFont="1" applyFill="1" applyProtection="1">
      <protection locked="0"/>
    </xf>
    <xf numFmtId="173" fontId="3" fillId="0" borderId="0" xfId="86" applyNumberFormat="1" applyFill="1"/>
    <xf numFmtId="0" fontId="6" fillId="0" borderId="0" xfId="193" applyFont="1"/>
    <xf numFmtId="10" fontId="20" fillId="34" borderId="0" xfId="0" applyNumberFormat="1" applyFont="1" applyFill="1" applyProtection="1">
      <protection locked="0"/>
    </xf>
    <xf numFmtId="10" fontId="20" fillId="34" borderId="11" xfId="0" applyNumberFormat="1" applyFont="1" applyFill="1" applyBorder="1" applyProtection="1">
      <protection locked="0"/>
    </xf>
    <xf numFmtId="2" fontId="3" fillId="0" borderId="0" xfId="392" applyNumberFormat="1" applyFont="1"/>
    <xf numFmtId="172" fontId="3" fillId="0" borderId="0" xfId="392" applyFont="1"/>
    <xf numFmtId="172" fontId="6" fillId="0" borderId="0" xfId="392" applyFont="1" applyAlignment="1">
      <alignment horizontal="right"/>
    </xf>
    <xf numFmtId="172" fontId="25" fillId="0" borderId="0" xfId="393" applyFont="1" applyAlignment="1">
      <alignment horizontal="right"/>
    </xf>
    <xf numFmtId="173" fontId="3" fillId="0" borderId="0" xfId="394" applyNumberFormat="1" applyFont="1"/>
    <xf numFmtId="172" fontId="3" fillId="0" borderId="0" xfId="392" applyFont="1" applyAlignment="1">
      <alignment horizontal="right"/>
    </xf>
    <xf numFmtId="172" fontId="3" fillId="0" borderId="0" xfId="393" applyFont="1" applyAlignment="1">
      <alignment horizontal="right"/>
    </xf>
    <xf numFmtId="2" fontId="3" fillId="0" borderId="0" xfId="392" applyNumberFormat="1" applyFont="1" applyAlignment="1">
      <alignment horizontal="center"/>
    </xf>
    <xf numFmtId="172" fontId="3" fillId="0" borderId="0" xfId="392" applyFont="1" applyAlignment="1">
      <alignment horizontal="center"/>
    </xf>
    <xf numFmtId="172" fontId="3" fillId="0" borderId="0" xfId="392" applyFont="1" applyAlignment="1">
      <alignment wrapText="1"/>
    </xf>
    <xf numFmtId="172" fontId="3" fillId="0" borderId="0" xfId="392" applyFont="1" applyAlignment="1">
      <alignment horizontal="center" wrapText="1"/>
    </xf>
    <xf numFmtId="172" fontId="4" fillId="0" borderId="0" xfId="392"/>
    <xf numFmtId="2" fontId="10" fillId="0" borderId="0" xfId="392" applyNumberFormat="1" applyFont="1"/>
    <xf numFmtId="173" fontId="3" fillId="0" borderId="0" xfId="394" applyNumberFormat="1" applyFont="1" applyFill="1"/>
    <xf numFmtId="1" fontId="3" fillId="0" borderId="0" xfId="392" applyNumberFormat="1" applyFont="1" applyAlignment="1">
      <alignment horizontal="center"/>
    </xf>
    <xf numFmtId="49" fontId="3" fillId="0" borderId="0" xfId="394" applyNumberFormat="1" applyFont="1"/>
    <xf numFmtId="170" fontId="3" fillId="0" borderId="0" xfId="392" applyNumberFormat="1" applyFont="1"/>
    <xf numFmtId="170" fontId="3" fillId="0" borderId="11" xfId="392" applyNumberFormat="1" applyFont="1" applyBorder="1"/>
    <xf numFmtId="172" fontId="4" fillId="0" borderId="0" xfId="392" applyAlignment="1">
      <alignment horizontal="center"/>
    </xf>
    <xf numFmtId="9" fontId="3" fillId="0" borderId="0" xfId="395" applyFont="1" applyFill="1" applyAlignment="1">
      <alignment horizontal="center"/>
    </xf>
    <xf numFmtId="10" fontId="3" fillId="0" borderId="0" xfId="395" applyNumberFormat="1" applyFont="1" applyFill="1" applyAlignment="1"/>
    <xf numFmtId="9" fontId="3" fillId="0" borderId="0" xfId="395" applyFont="1" applyFill="1"/>
    <xf numFmtId="9" fontId="3" fillId="0" borderId="0" xfId="394" applyNumberFormat="1" applyFont="1" applyFill="1" applyAlignment="1">
      <alignment horizontal="center"/>
    </xf>
    <xf numFmtId="9" fontId="3" fillId="0" borderId="0" xfId="392" applyNumberFormat="1" applyFont="1" applyAlignment="1">
      <alignment horizontal="center"/>
    </xf>
    <xf numFmtId="173" fontId="3" fillId="0" borderId="11" xfId="394" applyNumberFormat="1" applyFont="1" applyBorder="1"/>
    <xf numFmtId="9" fontId="4" fillId="0" borderId="0" xfId="392" applyNumberFormat="1" applyAlignment="1">
      <alignment horizontal="center"/>
    </xf>
    <xf numFmtId="43" fontId="3" fillId="0" borderId="0" xfId="394" applyFont="1" applyFill="1"/>
    <xf numFmtId="10" fontId="3" fillId="0" borderId="0" xfId="395" applyNumberFormat="1" applyFont="1" applyFill="1"/>
    <xf numFmtId="43" fontId="3" fillId="0" borderId="49" xfId="394" applyFont="1" applyBorder="1"/>
    <xf numFmtId="173" fontId="3" fillId="0" borderId="49" xfId="394" applyNumberFormat="1" applyFont="1" applyFill="1" applyBorder="1"/>
    <xf numFmtId="173" fontId="3" fillId="0" borderId="0" xfId="394" applyNumberFormat="1" applyFont="1" applyFill="1" applyBorder="1"/>
    <xf numFmtId="9" fontId="3" fillId="0" borderId="0" xfId="394" applyNumberFormat="1" applyFont="1" applyFill="1" applyBorder="1" applyAlignment="1">
      <alignment horizontal="center"/>
    </xf>
    <xf numFmtId="10" fontId="3" fillId="0" borderId="0" xfId="395" applyNumberFormat="1" applyFont="1"/>
    <xf numFmtId="1" fontId="10" fillId="0" borderId="0" xfId="392" applyNumberFormat="1" applyFont="1" applyAlignment="1">
      <alignment horizontal="left"/>
    </xf>
    <xf numFmtId="43" fontId="3" fillId="0" borderId="0" xfId="394" applyFont="1"/>
    <xf numFmtId="199" fontId="3" fillId="0" borderId="0" xfId="394" applyNumberFormat="1" applyFont="1" applyFill="1"/>
    <xf numFmtId="173" fontId="3" fillId="0" borderId="0" xfId="394" applyNumberFormat="1" applyFont="1" applyBorder="1"/>
    <xf numFmtId="173" fontId="3" fillId="0" borderId="49" xfId="394" applyNumberFormat="1" applyFont="1" applyBorder="1"/>
    <xf numFmtId="10" fontId="3" fillId="0" borderId="0" xfId="394" applyNumberFormat="1" applyFont="1" applyFill="1" applyBorder="1" applyAlignment="1">
      <alignment horizontal="center"/>
    </xf>
    <xf numFmtId="2" fontId="4" fillId="0" borderId="0" xfId="392" applyNumberFormat="1"/>
    <xf numFmtId="9" fontId="3" fillId="0" borderId="0" xfId="395" applyFont="1"/>
    <xf numFmtId="2" fontId="3" fillId="0" borderId="0" xfId="392" applyNumberFormat="1" applyFont="1" applyAlignment="1">
      <alignment horizontal="left" wrapText="1"/>
    </xf>
    <xf numFmtId="0" fontId="1" fillId="0" borderId="0" xfId="396"/>
    <xf numFmtId="170" fontId="3" fillId="0" borderId="0" xfId="392" applyNumberFormat="1" applyFont="1" applyAlignment="1">
      <alignment horizontal="center"/>
    </xf>
    <xf numFmtId="170" fontId="3" fillId="0" borderId="0" xfId="392" applyNumberFormat="1" applyFont="1" applyAlignment="1">
      <alignment horizontal="center" wrapText="1"/>
    </xf>
    <xf numFmtId="170" fontId="3" fillId="0" borderId="0" xfId="394" applyNumberFormat="1" applyFont="1"/>
    <xf numFmtId="200" fontId="1" fillId="0" borderId="0" xfId="397" applyNumberFormat="1" applyFont="1"/>
    <xf numFmtId="200" fontId="1" fillId="0" borderId="11" xfId="397" applyNumberFormat="1" applyFont="1" applyBorder="1"/>
    <xf numFmtId="173" fontId="1" fillId="0" borderId="0" xfId="398" applyNumberFormat="1" applyFont="1"/>
    <xf numFmtId="170" fontId="1" fillId="0" borderId="0" xfId="396" applyNumberFormat="1"/>
    <xf numFmtId="177" fontId="1" fillId="0" borderId="0" xfId="398" applyNumberFormat="1" applyFont="1"/>
    <xf numFmtId="177" fontId="3" fillId="0" borderId="0" xfId="395" applyNumberFormat="1" applyFont="1" applyFill="1"/>
    <xf numFmtId="10" fontId="3" fillId="0" borderId="0" xfId="395" applyNumberFormat="1" applyFont="1" applyFill="1" applyAlignment="1">
      <alignment horizontal="center" wrapText="1"/>
    </xf>
    <xf numFmtId="170" fontId="3" fillId="0" borderId="49" xfId="394" applyNumberFormat="1" applyFont="1" applyBorder="1"/>
    <xf numFmtId="170" fontId="3" fillId="0" borderId="0" xfId="394" applyNumberFormat="1" applyFont="1" applyBorder="1"/>
    <xf numFmtId="170" fontId="4" fillId="0" borderId="0" xfId="392" applyNumberFormat="1"/>
    <xf numFmtId="3" fontId="157" fillId="0" borderId="0" xfId="297" applyNumberFormat="1" applyFont="1" applyAlignment="1" applyProtection="1">
      <alignment horizontal="center"/>
    </xf>
    <xf numFmtId="172" fontId="6" fillId="0" borderId="0" xfId="297" applyFont="1" applyAlignment="1" applyProtection="1">
      <alignment horizontal="left" wrapText="1"/>
    </xf>
    <xf numFmtId="0" fontId="6" fillId="0" borderId="0" xfId="297" applyNumberFormat="1" applyFont="1" applyAlignment="1" applyProtection="1">
      <alignment horizontal="left" wrapText="1"/>
    </xf>
    <xf numFmtId="0" fontId="6" fillId="0" borderId="0" xfId="297" applyNumberFormat="1" applyFont="1" applyAlignment="1" applyProtection="1">
      <alignment horizontal="left" vertical="top" wrapText="1"/>
    </xf>
    <xf numFmtId="172" fontId="27" fillId="0" borderId="0" xfId="297" applyFont="1" applyAlignment="1" applyProtection="1">
      <alignment vertical="top" wrapText="1"/>
    </xf>
    <xf numFmtId="0" fontId="27" fillId="0" borderId="0" xfId="0" applyFont="1" applyAlignment="1">
      <alignment vertical="top" wrapText="1"/>
    </xf>
    <xf numFmtId="3" fontId="6" fillId="0" borderId="0" xfId="297" applyNumberFormat="1" applyFont="1" applyAlignment="1" applyProtection="1">
      <alignment horizontal="left" wrapText="1"/>
    </xf>
    <xf numFmtId="0" fontId="13" fillId="0" borderId="0" xfId="0" applyFont="1" applyAlignment="1">
      <alignment horizontal="left" wrapText="1"/>
    </xf>
    <xf numFmtId="172" fontId="78" fillId="0" borderId="0" xfId="297" applyFont="1" applyAlignment="1" applyProtection="1">
      <alignment horizontal="left" wrapText="1"/>
    </xf>
    <xf numFmtId="49" fontId="6" fillId="0" borderId="0" xfId="297" applyNumberFormat="1" applyFont="1" applyAlignment="1" applyProtection="1">
      <alignment horizontal="center"/>
    </xf>
    <xf numFmtId="0" fontId="33" fillId="0" borderId="0" xfId="0" applyFont="1" applyAlignment="1">
      <alignment horizontal="center"/>
    </xf>
    <xf numFmtId="0" fontId="11" fillId="0" borderId="0" xfId="297"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97" applyFont="1" applyBorder="1" applyAlignment="1" applyProtection="1">
      <alignment horizontal="center"/>
    </xf>
    <xf numFmtId="0" fontId="6" fillId="0" borderId="0" xfId="0" applyFont="1" applyAlignment="1">
      <alignment horizontal="left" vertical="top" wrapText="1"/>
    </xf>
    <xf numFmtId="0" fontId="6" fillId="0" borderId="0" xfId="0" applyFont="1" applyAlignment="1">
      <alignment wrapText="1"/>
    </xf>
    <xf numFmtId="0" fontId="13" fillId="0" borderId="0" xfId="0" applyFont="1" applyAlignment="1">
      <alignment wrapText="1"/>
    </xf>
    <xf numFmtId="172" fontId="142" fillId="0" borderId="0" xfId="297" applyFont="1" applyAlignment="1" applyProtection="1">
      <alignment vertical="top" wrapText="1"/>
    </xf>
    <xf numFmtId="0" fontId="137" fillId="0" borderId="0" xfId="0" applyFont="1" applyAlignment="1">
      <alignment vertical="top" wrapText="1"/>
    </xf>
    <xf numFmtId="172" fontId="27" fillId="0" borderId="0" xfId="297" applyFont="1" applyAlignment="1" applyProtection="1">
      <alignment wrapText="1"/>
    </xf>
    <xf numFmtId="172" fontId="6" fillId="0" borderId="0" xfId="297" applyFont="1" applyAlignment="1" applyProtection="1">
      <alignment vertical="top" wrapText="1"/>
    </xf>
    <xf numFmtId="0" fontId="6" fillId="0" borderId="0" xfId="0" applyFont="1" applyAlignment="1">
      <alignment vertical="top" wrapText="1"/>
    </xf>
    <xf numFmtId="172" fontId="120" fillId="0" borderId="0" xfId="297" applyFont="1" applyAlignment="1" applyProtection="1">
      <alignment wrapText="1"/>
    </xf>
    <xf numFmtId="0" fontId="33" fillId="0" borderId="0" xfId="0" applyFont="1" applyAlignment="1">
      <alignment wrapText="1"/>
    </xf>
    <xf numFmtId="0" fontId="27" fillId="0" borderId="0" xfId="297" applyNumberFormat="1" applyFont="1" applyAlignment="1" applyProtection="1">
      <alignment horizontal="left" wrapText="1"/>
    </xf>
    <xf numFmtId="172" fontId="6" fillId="0" borderId="0" xfId="297" applyFont="1" applyAlignment="1" applyProtection="1">
      <alignment horizontal="left"/>
    </xf>
    <xf numFmtId="0" fontId="6" fillId="0" borderId="0" xfId="0" applyFont="1" applyAlignment="1">
      <alignment horizontal="center"/>
    </xf>
    <xf numFmtId="0" fontId="6" fillId="0" borderId="0" xfId="240" applyFont="1" applyAlignment="1">
      <alignment horizontal="center"/>
    </xf>
    <xf numFmtId="0" fontId="10" fillId="0" borderId="47" xfId="300" applyFont="1" applyBorder="1" applyAlignment="1">
      <alignment horizontal="center" wrapText="1"/>
    </xf>
    <xf numFmtId="0" fontId="10" fillId="0" borderId="13" xfId="300" applyFont="1" applyBorder="1" applyAlignment="1">
      <alignment horizontal="center" wrapText="1"/>
    </xf>
    <xf numFmtId="0" fontId="10" fillId="0" borderId="48" xfId="300" applyFont="1" applyBorder="1" applyAlignment="1">
      <alignment horizontal="center" wrapText="1"/>
    </xf>
    <xf numFmtId="0" fontId="10" fillId="0" borderId="47" xfId="218" applyFont="1" applyBorder="1" applyAlignment="1">
      <alignment horizontal="center"/>
    </xf>
    <xf numFmtId="0" fontId="10" fillId="0" borderId="13" xfId="218" applyFont="1" applyBorder="1" applyAlignment="1">
      <alignment horizontal="center"/>
    </xf>
    <xf numFmtId="0" fontId="10" fillId="0" borderId="48" xfId="218" applyFont="1" applyBorder="1" applyAlignment="1">
      <alignment horizontal="center"/>
    </xf>
    <xf numFmtId="3" fontId="6" fillId="0" borderId="0" xfId="240" applyNumberFormat="1" applyFont="1" applyAlignment="1">
      <alignment horizontal="center"/>
    </xf>
    <xf numFmtId="0" fontId="13" fillId="0" borderId="0" xfId="240" applyAlignment="1">
      <alignment horizontal="left" wrapText="1"/>
    </xf>
    <xf numFmtId="0" fontId="18" fillId="0" borderId="0" xfId="288" applyFont="1" applyAlignment="1">
      <alignment horizontal="center" wrapText="1"/>
    </xf>
    <xf numFmtId="0" fontId="14" fillId="0" borderId="0" xfId="0" applyFont="1" applyAlignment="1">
      <alignment horizontal="center" wrapText="1"/>
    </xf>
    <xf numFmtId="3" fontId="6" fillId="0" borderId="0" xfId="0" applyNumberFormat="1" applyFont="1" applyAlignment="1">
      <alignment horizontal="center"/>
    </xf>
    <xf numFmtId="0" fontId="18" fillId="0" borderId="0" xfId="240" quotePrefix="1" applyFont="1" applyAlignment="1">
      <alignment horizontal="center" wrapText="1"/>
    </xf>
    <xf numFmtId="0" fontId="25" fillId="0" borderId="0" xfId="244" applyFont="1" applyAlignment="1">
      <alignment horizontal="left" wrapText="1"/>
    </xf>
    <xf numFmtId="0" fontId="25" fillId="0" borderId="0" xfId="244" applyFont="1" applyAlignment="1">
      <alignment horizontal="left" vertical="top" wrapText="1"/>
    </xf>
    <xf numFmtId="41" fontId="25" fillId="34" borderId="34" xfId="290" applyNumberFormat="1" applyFont="1" applyFill="1" applyBorder="1" applyAlignment="1" applyProtection="1">
      <alignment vertical="center"/>
      <protection locked="0"/>
    </xf>
    <xf numFmtId="0" fontId="25" fillId="0" borderId="0" xfId="244" applyFont="1" applyAlignment="1">
      <alignment horizontal="center" wrapText="1"/>
    </xf>
    <xf numFmtId="0" fontId="25" fillId="0" borderId="11" xfId="244" applyFont="1" applyBorder="1" applyAlignment="1">
      <alignment horizontal="center"/>
    </xf>
    <xf numFmtId="172" fontId="25" fillId="0" borderId="11" xfId="245" applyFont="1" applyBorder="1" applyAlignment="1">
      <alignment horizontal="center"/>
    </xf>
    <xf numFmtId="0" fontId="25" fillId="0" borderId="11" xfId="244" applyFont="1" applyBorder="1" applyAlignment="1">
      <alignment horizontal="center" wrapText="1"/>
    </xf>
    <xf numFmtId="0" fontId="26" fillId="0" borderId="0" xfId="244" applyFont="1" applyAlignment="1">
      <alignment horizontal="center" wrapText="1"/>
    </xf>
    <xf numFmtId="41" fontId="25" fillId="34" borderId="34" xfId="290" applyNumberFormat="1" applyFont="1" applyFill="1" applyBorder="1" applyAlignment="1" applyProtection="1">
      <alignment horizontal="left" vertical="center" wrapText="1"/>
      <protection locked="0"/>
    </xf>
    <xf numFmtId="172" fontId="3" fillId="0" borderId="0" xfId="392" applyFont="1" applyAlignment="1">
      <alignment horizontal="left" wrapText="1"/>
    </xf>
    <xf numFmtId="2" fontId="3" fillId="0" borderId="0" xfId="392" applyNumberFormat="1" applyFont="1" applyAlignment="1">
      <alignment horizontal="left" wrapText="1"/>
    </xf>
    <xf numFmtId="41" fontId="10" fillId="0" borderId="11" xfId="288" applyNumberFormat="1" applyFont="1" applyBorder="1" applyAlignment="1" applyProtection="1">
      <alignment horizontal="center"/>
      <protection locked="0"/>
    </xf>
    <xf numFmtId="172" fontId="3" fillId="0" borderId="0" xfId="392" applyFont="1" applyAlignment="1">
      <alignment horizontal="center" wrapText="1"/>
    </xf>
    <xf numFmtId="10" fontId="3" fillId="0" borderId="0" xfId="395" applyNumberFormat="1" applyFont="1" applyFill="1" applyAlignment="1">
      <alignment horizontal="center" wrapText="1"/>
    </xf>
    <xf numFmtId="172" fontId="3" fillId="0" borderId="0" xfId="392" applyFont="1" applyAlignment="1">
      <alignment horizontal="left" vertical="top" wrapText="1"/>
    </xf>
    <xf numFmtId="0" fontId="82" fillId="0" borderId="0" xfId="240" applyFont="1" applyAlignment="1">
      <alignment horizontal="center"/>
    </xf>
    <xf numFmtId="0" fontId="82" fillId="0" borderId="0" xfId="288" applyFont="1" applyAlignment="1">
      <alignment horizontal="center"/>
    </xf>
    <xf numFmtId="0" fontId="82" fillId="0" borderId="0" xfId="0" applyFont="1" applyAlignment="1">
      <alignment horizontal="center"/>
    </xf>
    <xf numFmtId="172" fontId="13" fillId="0" borderId="0" xfId="297" applyFont="1" applyAlignment="1" applyProtection="1">
      <alignment horizontal="left" vertical="top" wrapText="1"/>
    </xf>
    <xf numFmtId="0" fontId="10" fillId="0" borderId="0" xfId="301" applyFont="1" applyAlignment="1">
      <alignment wrapText="1"/>
    </xf>
    <xf numFmtId="3" fontId="5" fillId="0" borderId="0" xfId="0" applyNumberFormat="1" applyFont="1" applyAlignment="1">
      <alignment horizontal="center"/>
    </xf>
    <xf numFmtId="0" fontId="11" fillId="0" borderId="0" xfId="301" applyFont="1" applyAlignment="1">
      <alignment horizontal="center"/>
    </xf>
    <xf numFmtId="0" fontId="13" fillId="0" borderId="0" xfId="0" applyFont="1" applyAlignment="1">
      <alignment vertical="top" wrapText="1"/>
    </xf>
    <xf numFmtId="0" fontId="75" fillId="0" borderId="11" xfId="298" applyFont="1" applyBorder="1" applyAlignment="1">
      <alignment horizontal="center"/>
    </xf>
    <xf numFmtId="0" fontId="72" fillId="0" borderId="0" xfId="298" applyFont="1" applyAlignment="1">
      <alignment horizontal="left" wrapText="1"/>
    </xf>
    <xf numFmtId="0" fontId="72" fillId="0" borderId="0" xfId="298" applyFont="1" applyAlignment="1">
      <alignment wrapText="1"/>
    </xf>
    <xf numFmtId="0" fontId="5" fillId="0" borderId="0" xfId="240" applyFont="1" applyAlignment="1">
      <alignment horizontal="center"/>
    </xf>
    <xf numFmtId="0" fontId="5" fillId="0" borderId="0" xfId="0" applyFont="1" applyAlignment="1">
      <alignment horizontal="center"/>
    </xf>
    <xf numFmtId="0" fontId="70" fillId="34" borderId="0" xfId="0" applyFont="1" applyFill="1" applyAlignment="1" applyProtection="1">
      <alignment horizontal="left" vertical="top"/>
      <protection locked="0"/>
    </xf>
    <xf numFmtId="173" fontId="101" fillId="0" borderId="0" xfId="86" applyNumberFormat="1" applyFont="1" applyBorder="1" applyAlignment="1" applyProtection="1">
      <alignment horizontal="center"/>
    </xf>
    <xf numFmtId="0" fontId="0" fillId="0" borderId="0" xfId="0" applyAlignment="1">
      <alignment horizontal="left" wrapText="1"/>
    </xf>
    <xf numFmtId="172" fontId="3" fillId="0" borderId="21" xfId="297" applyFont="1" applyBorder="1" applyAlignment="1" applyProtection="1">
      <alignment wrapText="1"/>
    </xf>
    <xf numFmtId="0" fontId="3" fillId="0" borderId="16" xfId="0" applyFont="1" applyBorder="1" applyAlignment="1">
      <alignment wrapText="1"/>
    </xf>
    <xf numFmtId="0" fontId="3" fillId="0" borderId="22" xfId="0" applyFont="1" applyBorder="1" applyAlignment="1">
      <alignment wrapText="1"/>
    </xf>
    <xf numFmtId="0" fontId="3" fillId="0" borderId="17" xfId="0" applyFont="1" applyBorder="1" applyAlignment="1">
      <alignment wrapText="1"/>
    </xf>
    <xf numFmtId="0" fontId="3" fillId="0" borderId="0" xfId="0" applyFont="1" applyAlignment="1">
      <alignment wrapText="1"/>
    </xf>
    <xf numFmtId="0" fontId="3" fillId="0" borderId="18" xfId="0" applyFont="1" applyBorder="1" applyAlignment="1">
      <alignment wrapText="1"/>
    </xf>
    <xf numFmtId="0" fontId="5" fillId="0" borderId="0" xfId="0" applyFont="1" applyAlignment="1">
      <alignment wrapText="1"/>
    </xf>
    <xf numFmtId="0" fontId="0" fillId="0" borderId="0" xfId="0" applyAlignment="1">
      <alignment wrapText="1"/>
    </xf>
    <xf numFmtId="0" fontId="13" fillId="0" borderId="0" xfId="291" applyAlignment="1">
      <alignment horizontal="left" wrapText="1"/>
    </xf>
    <xf numFmtId="0" fontId="13" fillId="0" borderId="0" xfId="212" applyAlignment="1">
      <alignment wrapText="1"/>
    </xf>
    <xf numFmtId="0" fontId="94" fillId="0" borderId="0" xfId="291" applyFont="1" applyAlignment="1">
      <alignment horizontal="left" wrapText="1"/>
    </xf>
    <xf numFmtId="0" fontId="64" fillId="0" borderId="0" xfId="0" applyFont="1" applyAlignment="1">
      <alignment vertical="top" wrapText="1"/>
    </xf>
    <xf numFmtId="41" fontId="10" fillId="0" borderId="0" xfId="291" applyNumberFormat="1" applyFont="1" applyAlignment="1">
      <alignment horizontal="center" wrapText="1"/>
    </xf>
    <xf numFmtId="0" fontId="10" fillId="0" borderId="47" xfId="0" applyFont="1" applyBorder="1" applyAlignment="1">
      <alignment horizontal="center"/>
    </xf>
    <xf numFmtId="0" fontId="10" fillId="0" borderId="13" xfId="0" applyFont="1" applyBorder="1" applyAlignment="1">
      <alignment horizontal="center"/>
    </xf>
    <xf numFmtId="0" fontId="10" fillId="0" borderId="48"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left" wrapText="1"/>
    </xf>
    <xf numFmtId="0" fontId="100" fillId="0" borderId="0" xfId="0" applyFont="1" applyAlignment="1">
      <alignment horizontal="center" wrapText="1"/>
    </xf>
    <xf numFmtId="0" fontId="21" fillId="34" borderId="0" xfId="0" applyFont="1" applyFill="1" applyAlignment="1" applyProtection="1">
      <alignment wrapText="1"/>
      <protection locked="0"/>
    </xf>
    <xf numFmtId="0" fontId="155" fillId="0" borderId="0" xfId="0" applyFont="1" applyAlignment="1">
      <alignment horizontal="left" wrapText="1"/>
    </xf>
    <xf numFmtId="0" fontId="142" fillId="0" borderId="0" xfId="0" applyFont="1" applyAlignment="1">
      <alignment horizontal="center"/>
    </xf>
    <xf numFmtId="0" fontId="142" fillId="0" borderId="0" xfId="240" applyFont="1" applyAlignment="1">
      <alignment horizontal="center"/>
    </xf>
    <xf numFmtId="0" fontId="147" fillId="0" borderId="0" xfId="0" applyFont="1" applyAlignment="1">
      <alignment horizontal="center"/>
    </xf>
    <xf numFmtId="3" fontId="142" fillId="0" borderId="0" xfId="0" applyNumberFormat="1" applyFont="1" applyAlignment="1">
      <alignment horizontal="center"/>
    </xf>
    <xf numFmtId="0" fontId="149" fillId="0" borderId="0" xfId="0" applyFont="1" applyAlignment="1">
      <alignment horizontal="center"/>
    </xf>
    <xf numFmtId="0" fontId="147" fillId="0" borderId="0" xfId="0" applyFont="1" applyAlignment="1">
      <alignment wrapText="1"/>
    </xf>
    <xf numFmtId="0" fontId="147" fillId="0" borderId="0" xfId="0" applyFont="1" applyAlignment="1">
      <alignment horizontal="left" wrapText="1"/>
    </xf>
    <xf numFmtId="0" fontId="149" fillId="0" borderId="0" xfId="0" applyFont="1" applyAlignment="1">
      <alignment horizontal="center" wrapText="1"/>
    </xf>
    <xf numFmtId="173" fontId="149" fillId="0" borderId="0" xfId="121" applyNumberFormat="1" applyFont="1" applyAlignment="1">
      <alignment horizontal="center" wrapText="1"/>
    </xf>
    <xf numFmtId="0" fontId="111" fillId="0" borderId="0" xfId="299" applyFont="1" applyAlignment="1">
      <alignment horizontal="center"/>
    </xf>
    <xf numFmtId="3" fontId="111" fillId="0" borderId="0" xfId="299" applyNumberFormat="1" applyFont="1" applyAlignment="1">
      <alignment horizontal="center"/>
    </xf>
    <xf numFmtId="44" fontId="111" fillId="0" borderId="0" xfId="134" applyFont="1" applyAlignment="1" applyProtection="1">
      <alignment horizontal="center"/>
    </xf>
    <xf numFmtId="0" fontId="78" fillId="0" borderId="30" xfId="299" applyFont="1" applyBorder="1" applyAlignment="1">
      <alignment horizontal="center"/>
    </xf>
    <xf numFmtId="0" fontId="4" fillId="0" borderId="0" xfId="299" applyAlignment="1">
      <alignment horizontal="left" wrapText="1"/>
    </xf>
    <xf numFmtId="0" fontId="6" fillId="0" borderId="0" xfId="296" applyFont="1" applyAlignment="1">
      <alignment vertical="top" wrapText="1"/>
    </xf>
    <xf numFmtId="0" fontId="4" fillId="0" borderId="0" xfId="0" applyFont="1" applyAlignment="1">
      <alignment vertical="top" wrapText="1"/>
    </xf>
    <xf numFmtId="0" fontId="6" fillId="0" borderId="0" xfId="193" applyFont="1" applyAlignment="1">
      <alignment wrapText="1"/>
    </xf>
    <xf numFmtId="44" fontId="111" fillId="0" borderId="0" xfId="134" applyFont="1" applyAlignment="1">
      <alignment horizontal="center"/>
    </xf>
    <xf numFmtId="0" fontId="78" fillId="0" borderId="0" xfId="193" applyFont="1" applyAlignment="1">
      <alignment vertical="top" wrapText="1"/>
    </xf>
    <xf numFmtId="0" fontId="13" fillId="0" borderId="0" xfId="193" applyAlignment="1">
      <alignment vertical="top" wrapText="1"/>
    </xf>
    <xf numFmtId="0" fontId="143" fillId="0" borderId="0" xfId="299" applyFont="1" applyAlignment="1">
      <alignment horizontal="center"/>
    </xf>
    <xf numFmtId="0" fontId="4" fillId="0" borderId="0" xfId="299" applyAlignment="1">
      <alignment wrapText="1"/>
    </xf>
    <xf numFmtId="0" fontId="6" fillId="0" borderId="0" xfId="193" applyFont="1" applyAlignment="1">
      <alignment vertical="top" wrapText="1"/>
    </xf>
    <xf numFmtId="0" fontId="78" fillId="0" borderId="0" xfId="0" applyFont="1" applyAlignment="1">
      <alignment horizontal="center"/>
    </xf>
    <xf numFmtId="0" fontId="7" fillId="0" borderId="0" xfId="0" applyFont="1" applyAlignment="1">
      <alignment horizontal="center"/>
    </xf>
    <xf numFmtId="0" fontId="124" fillId="0" borderId="0" xfId="0" applyFont="1" applyAlignment="1">
      <alignment horizontal="center" wrapText="1"/>
    </xf>
    <xf numFmtId="37" fontId="0" fillId="0" borderId="0" xfId="0" applyNumberFormat="1" applyFill="1"/>
  </cellXfs>
  <cellStyles count="399">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 xfId="87" xr:uid="{00000000-0005-0000-0000-000056000000}"/>
    <cellStyle name="Comma 11" xfId="88" xr:uid="{00000000-0005-0000-0000-000057000000}"/>
    <cellStyle name="Comma 12" xfId="89" xr:uid="{00000000-0005-0000-0000-000058000000}"/>
    <cellStyle name="Comma 12 2" xfId="90" xr:uid="{00000000-0005-0000-0000-000059000000}"/>
    <cellStyle name="Comma 12 3" xfId="394" xr:uid="{DD1D1B22-5CDC-4A53-AA57-D6B7B51AF09C}"/>
    <cellStyle name="Comma 13" xfId="398" xr:uid="{0748E397-9D78-4680-BD52-2F25C5068009}"/>
    <cellStyle name="Comma 2" xfId="91" xr:uid="{00000000-0005-0000-0000-00005A000000}"/>
    <cellStyle name="Comma 2 2" xfId="92" xr:uid="{00000000-0005-0000-0000-00005B000000}"/>
    <cellStyle name="Comma 3" xfId="93" xr:uid="{00000000-0005-0000-0000-00005C000000}"/>
    <cellStyle name="Comma 3 10" xfId="94" xr:uid="{00000000-0005-0000-0000-00005D000000}"/>
    <cellStyle name="Comma 3 11" xfId="95" xr:uid="{00000000-0005-0000-0000-00005E000000}"/>
    <cellStyle name="Comma 3 12" xfId="96" xr:uid="{00000000-0005-0000-0000-00005F000000}"/>
    <cellStyle name="Comma 3 2" xfId="97" xr:uid="{00000000-0005-0000-0000-000060000000}"/>
    <cellStyle name="Comma 3 3" xfId="98" xr:uid="{00000000-0005-0000-0000-000061000000}"/>
    <cellStyle name="Comma 3 3 2" xfId="99" xr:uid="{00000000-0005-0000-0000-000062000000}"/>
    <cellStyle name="Comma 3 3 3" xfId="100" xr:uid="{00000000-0005-0000-0000-000063000000}"/>
    <cellStyle name="Comma 3 4" xfId="101" xr:uid="{00000000-0005-0000-0000-000064000000}"/>
    <cellStyle name="Comma 3 4 2" xfId="102" xr:uid="{00000000-0005-0000-0000-000065000000}"/>
    <cellStyle name="Comma 3 4 3" xfId="103" xr:uid="{00000000-0005-0000-0000-000066000000}"/>
    <cellStyle name="Comma 3 5" xfId="104" xr:uid="{00000000-0005-0000-0000-000067000000}"/>
    <cellStyle name="Comma 3 6" xfId="105" xr:uid="{00000000-0005-0000-0000-000068000000}"/>
    <cellStyle name="Comma 3 6 2" xfId="106" xr:uid="{00000000-0005-0000-0000-000069000000}"/>
    <cellStyle name="Comma 3 7" xfId="107" xr:uid="{00000000-0005-0000-0000-00006A000000}"/>
    <cellStyle name="Comma 3 7 2" xfId="108" xr:uid="{00000000-0005-0000-0000-00006B000000}"/>
    <cellStyle name="Comma 3 8" xfId="109" xr:uid="{00000000-0005-0000-0000-00006C000000}"/>
    <cellStyle name="Comma 3 8 2" xfId="110" xr:uid="{00000000-0005-0000-0000-00006D000000}"/>
    <cellStyle name="Comma 3 8 3" xfId="111" xr:uid="{00000000-0005-0000-0000-00006E000000}"/>
    <cellStyle name="Comma 3 9" xfId="112" xr:uid="{00000000-0005-0000-0000-00006F000000}"/>
    <cellStyle name="Comma 3 9 2" xfId="113" xr:uid="{00000000-0005-0000-0000-000070000000}"/>
    <cellStyle name="Comma 4" xfId="114" xr:uid="{00000000-0005-0000-0000-000071000000}"/>
    <cellStyle name="Comma 4 2" xfId="115" xr:uid="{00000000-0005-0000-0000-000072000000}"/>
    <cellStyle name="Comma 5" xfId="116" xr:uid="{00000000-0005-0000-0000-000073000000}"/>
    <cellStyle name="Comma 5 2" xfId="117" xr:uid="{00000000-0005-0000-0000-000074000000}"/>
    <cellStyle name="Comma 6" xfId="118" xr:uid="{00000000-0005-0000-0000-000075000000}"/>
    <cellStyle name="Comma 6 2" xfId="119" xr:uid="{00000000-0005-0000-0000-000076000000}"/>
    <cellStyle name="Comma 6 3" xfId="120" xr:uid="{00000000-0005-0000-0000-000077000000}"/>
    <cellStyle name="Comma 7" xfId="121" xr:uid="{00000000-0005-0000-0000-000078000000}"/>
    <cellStyle name="Comma 7 2" xfId="122" xr:uid="{00000000-0005-0000-0000-000079000000}"/>
    <cellStyle name="Comma 7 3" xfId="123" xr:uid="{00000000-0005-0000-0000-00007A000000}"/>
    <cellStyle name="Comma 8" xfId="124" xr:uid="{00000000-0005-0000-0000-00007B000000}"/>
    <cellStyle name="Comma 8 2" xfId="125" xr:uid="{00000000-0005-0000-0000-00007C000000}"/>
    <cellStyle name="Comma 8 3" xfId="126" xr:uid="{00000000-0005-0000-0000-00007D000000}"/>
    <cellStyle name="Comma 9" xfId="127" xr:uid="{00000000-0005-0000-0000-00007E000000}"/>
    <cellStyle name="Comma 9 2" xfId="128" xr:uid="{00000000-0005-0000-0000-00007F000000}"/>
    <cellStyle name="Comma_spp calc - revsd rev crd" xfId="129" xr:uid="{00000000-0005-0000-0000-000080000000}"/>
    <cellStyle name="Comma0" xfId="130" xr:uid="{00000000-0005-0000-0000-000081000000}"/>
    <cellStyle name="Currency" xfId="131" builtinId="4"/>
    <cellStyle name="Currency 10" xfId="132" xr:uid="{00000000-0005-0000-0000-000083000000}"/>
    <cellStyle name="Currency 11" xfId="133" xr:uid="{00000000-0005-0000-0000-000084000000}"/>
    <cellStyle name="Currency 2" xfId="134" xr:uid="{00000000-0005-0000-0000-000085000000}"/>
    <cellStyle name="Currency 2 2" xfId="135" xr:uid="{00000000-0005-0000-0000-000086000000}"/>
    <cellStyle name="Currency 3" xfId="136" xr:uid="{00000000-0005-0000-0000-000087000000}"/>
    <cellStyle name="Currency 3 10" xfId="137" xr:uid="{00000000-0005-0000-0000-000088000000}"/>
    <cellStyle name="Currency 3 11" xfId="138" xr:uid="{00000000-0005-0000-0000-000089000000}"/>
    <cellStyle name="Currency 3 2" xfId="139" xr:uid="{00000000-0005-0000-0000-00008A000000}"/>
    <cellStyle name="Currency 3 3" xfId="140" xr:uid="{00000000-0005-0000-0000-00008B000000}"/>
    <cellStyle name="Currency 3 3 2" xfId="141" xr:uid="{00000000-0005-0000-0000-00008C000000}"/>
    <cellStyle name="Currency 3 3 3" xfId="142" xr:uid="{00000000-0005-0000-0000-00008D000000}"/>
    <cellStyle name="Currency 3 4" xfId="143" xr:uid="{00000000-0005-0000-0000-00008E000000}"/>
    <cellStyle name="Currency 3 4 2" xfId="144" xr:uid="{00000000-0005-0000-0000-00008F000000}"/>
    <cellStyle name="Currency 3 4 3" xfId="145" xr:uid="{00000000-0005-0000-0000-000090000000}"/>
    <cellStyle name="Currency 3 5" xfId="146" xr:uid="{00000000-0005-0000-0000-000091000000}"/>
    <cellStyle name="Currency 3 6" xfId="147" xr:uid="{00000000-0005-0000-0000-000092000000}"/>
    <cellStyle name="Currency 3 6 2" xfId="148" xr:uid="{00000000-0005-0000-0000-000093000000}"/>
    <cellStyle name="Currency 3 7" xfId="149" xr:uid="{00000000-0005-0000-0000-000094000000}"/>
    <cellStyle name="Currency 3 7 2" xfId="150" xr:uid="{00000000-0005-0000-0000-000095000000}"/>
    <cellStyle name="Currency 3 7 3" xfId="151" xr:uid="{00000000-0005-0000-0000-000096000000}"/>
    <cellStyle name="Currency 3 8" xfId="152" xr:uid="{00000000-0005-0000-0000-000097000000}"/>
    <cellStyle name="Currency 3 8 2" xfId="153" xr:uid="{00000000-0005-0000-0000-000098000000}"/>
    <cellStyle name="Currency 3 9" xfId="154" xr:uid="{00000000-0005-0000-0000-000099000000}"/>
    <cellStyle name="Currency 4" xfId="155" xr:uid="{00000000-0005-0000-0000-00009A000000}"/>
    <cellStyle name="Currency 4 2" xfId="156" xr:uid="{00000000-0005-0000-0000-00009B000000}"/>
    <cellStyle name="Currency 5" xfId="157" xr:uid="{00000000-0005-0000-0000-00009C000000}"/>
    <cellStyle name="Currency 5 2" xfId="158" xr:uid="{00000000-0005-0000-0000-00009D000000}"/>
    <cellStyle name="Currency 6" xfId="159" xr:uid="{00000000-0005-0000-0000-00009E000000}"/>
    <cellStyle name="Currency 7" xfId="160" xr:uid="{00000000-0005-0000-0000-00009F000000}"/>
    <cellStyle name="Currency 7 2" xfId="161" xr:uid="{00000000-0005-0000-0000-0000A0000000}"/>
    <cellStyle name="Currency 7 3" xfId="162" xr:uid="{00000000-0005-0000-0000-0000A1000000}"/>
    <cellStyle name="Currency 8" xfId="163" xr:uid="{00000000-0005-0000-0000-0000A2000000}"/>
    <cellStyle name="Currency 8 2" xfId="164" xr:uid="{00000000-0005-0000-0000-0000A3000000}"/>
    <cellStyle name="Currency 9" xfId="165" xr:uid="{00000000-0005-0000-0000-0000A4000000}"/>
    <cellStyle name="Currency0" xfId="166" xr:uid="{00000000-0005-0000-0000-0000A5000000}"/>
    <cellStyle name="Date" xfId="167" xr:uid="{00000000-0005-0000-0000-0000A6000000}"/>
    <cellStyle name="Explanatory Text" xfId="168" builtinId="53" customBuiltin="1"/>
    <cellStyle name="Explanatory Text 2" xfId="169" xr:uid="{00000000-0005-0000-0000-0000A8000000}"/>
    <cellStyle name="Fixed" xfId="170" xr:uid="{00000000-0005-0000-0000-0000A9000000}"/>
    <cellStyle name="Good" xfId="171" builtinId="26" customBuiltin="1"/>
    <cellStyle name="Good 2" xfId="172" xr:uid="{00000000-0005-0000-0000-0000AB000000}"/>
    <cellStyle name="Heading 1" xfId="173" builtinId="16" customBuiltin="1"/>
    <cellStyle name="Heading 1 2" xfId="174" xr:uid="{00000000-0005-0000-0000-0000AD000000}"/>
    <cellStyle name="Heading 2" xfId="175" builtinId="17" customBuiltin="1"/>
    <cellStyle name="Heading 2 2" xfId="176" xr:uid="{00000000-0005-0000-0000-0000AF000000}"/>
    <cellStyle name="Heading 3" xfId="177" builtinId="18" customBuiltin="1"/>
    <cellStyle name="Heading 3 2" xfId="178" xr:uid="{00000000-0005-0000-0000-0000B1000000}"/>
    <cellStyle name="Heading 4" xfId="179" builtinId="19" customBuiltin="1"/>
    <cellStyle name="Heading 4 2" xfId="180" xr:uid="{00000000-0005-0000-0000-0000B3000000}"/>
    <cellStyle name="Heading1" xfId="181" xr:uid="{00000000-0005-0000-0000-0000B4000000}"/>
    <cellStyle name="Heading2" xfId="182" xr:uid="{00000000-0005-0000-0000-0000B5000000}"/>
    <cellStyle name="Input" xfId="183" builtinId="20" customBuiltin="1"/>
    <cellStyle name="Input 2" xfId="184" xr:uid="{00000000-0005-0000-0000-0000B7000000}"/>
    <cellStyle name="Linked Cell" xfId="185" builtinId="24" customBuiltin="1"/>
    <cellStyle name="Linked Cell 2" xfId="186" xr:uid="{00000000-0005-0000-0000-0000B9000000}"/>
    <cellStyle name="Neutral" xfId="187" builtinId="28" customBuiltin="1"/>
    <cellStyle name="Neutral 2" xfId="188" xr:uid="{00000000-0005-0000-0000-0000BB000000}"/>
    <cellStyle name="Normal" xfId="0" builtinId="0"/>
    <cellStyle name="Normal 10" xfId="189" xr:uid="{00000000-0005-0000-0000-0000BD000000}"/>
    <cellStyle name="Normal 10 2" xfId="190" xr:uid="{00000000-0005-0000-0000-0000BE000000}"/>
    <cellStyle name="Normal 10 3" xfId="191" xr:uid="{00000000-0005-0000-0000-0000BF000000}"/>
    <cellStyle name="Normal 11" xfId="192" xr:uid="{00000000-0005-0000-0000-0000C0000000}"/>
    <cellStyle name="Normal 11 2" xfId="193" xr:uid="{00000000-0005-0000-0000-0000C1000000}"/>
    <cellStyle name="Normal 11 2 2" xfId="194" xr:uid="{00000000-0005-0000-0000-0000C2000000}"/>
    <cellStyle name="Normal 11 3" xfId="195" xr:uid="{00000000-0005-0000-0000-0000C3000000}"/>
    <cellStyle name="Normal 12" xfId="196" xr:uid="{00000000-0005-0000-0000-0000C4000000}"/>
    <cellStyle name="Normal 12 2" xfId="197" xr:uid="{00000000-0005-0000-0000-0000C5000000}"/>
    <cellStyle name="Normal 12 4" xfId="198" xr:uid="{00000000-0005-0000-0000-0000C6000000}"/>
    <cellStyle name="Normal 13" xfId="199" xr:uid="{00000000-0005-0000-0000-0000C7000000}"/>
    <cellStyle name="Normal 13 2" xfId="200" xr:uid="{00000000-0005-0000-0000-0000C8000000}"/>
    <cellStyle name="Normal 14" xfId="201" xr:uid="{00000000-0005-0000-0000-0000C9000000}"/>
    <cellStyle name="Normal 14 2" xfId="202" xr:uid="{00000000-0005-0000-0000-0000CA000000}"/>
    <cellStyle name="Normal 15" xfId="203" xr:uid="{00000000-0005-0000-0000-0000CB000000}"/>
    <cellStyle name="Normal 16" xfId="204" xr:uid="{00000000-0005-0000-0000-0000CC000000}"/>
    <cellStyle name="Normal 16 2" xfId="205" xr:uid="{00000000-0005-0000-0000-0000CD000000}"/>
    <cellStyle name="Normal 17" xfId="206" xr:uid="{00000000-0005-0000-0000-0000CE000000}"/>
    <cellStyle name="Normal 17 2" xfId="207" xr:uid="{00000000-0005-0000-0000-0000CF000000}"/>
    <cellStyle name="Normal 18" xfId="208" xr:uid="{00000000-0005-0000-0000-0000D0000000}"/>
    <cellStyle name="Normal 18 2" xfId="209" xr:uid="{00000000-0005-0000-0000-0000D1000000}"/>
    <cellStyle name="Normal 19" xfId="210" xr:uid="{00000000-0005-0000-0000-0000D2000000}"/>
    <cellStyle name="Normal 19 2" xfId="211" xr:uid="{00000000-0005-0000-0000-0000D3000000}"/>
    <cellStyle name="Normal 2" xfId="212" xr:uid="{00000000-0005-0000-0000-0000D4000000}"/>
    <cellStyle name="Normal 2 2" xfId="213" xr:uid="{00000000-0005-0000-0000-0000D5000000}"/>
    <cellStyle name="Normal 2 2 2" xfId="214" xr:uid="{00000000-0005-0000-0000-0000D6000000}"/>
    <cellStyle name="Normal 2 2 3" xfId="215" xr:uid="{00000000-0005-0000-0000-0000D7000000}"/>
    <cellStyle name="Normal 2 2 4" xfId="216" xr:uid="{00000000-0005-0000-0000-0000D8000000}"/>
    <cellStyle name="Normal 2 3" xfId="217" xr:uid="{00000000-0005-0000-0000-0000D9000000}"/>
    <cellStyle name="Normal 2 5" xfId="218" xr:uid="{00000000-0005-0000-0000-0000DA000000}"/>
    <cellStyle name="Normal 2 5 2" xfId="219" xr:uid="{00000000-0005-0000-0000-0000DB000000}"/>
    <cellStyle name="Normal 20" xfId="220" xr:uid="{00000000-0005-0000-0000-0000DC000000}"/>
    <cellStyle name="Normal 20 2" xfId="221" xr:uid="{00000000-0005-0000-0000-0000DD000000}"/>
    <cellStyle name="Normal 21" xfId="222" xr:uid="{00000000-0005-0000-0000-0000DE000000}"/>
    <cellStyle name="Normal 21 2" xfId="223" xr:uid="{00000000-0005-0000-0000-0000DF000000}"/>
    <cellStyle name="Normal 22" xfId="224" xr:uid="{00000000-0005-0000-0000-0000E0000000}"/>
    <cellStyle name="Normal 22 2" xfId="225" xr:uid="{00000000-0005-0000-0000-0000E1000000}"/>
    <cellStyle name="Normal 23" xfId="226" xr:uid="{00000000-0005-0000-0000-0000E2000000}"/>
    <cellStyle name="Normal 23 2" xfId="227" xr:uid="{00000000-0005-0000-0000-0000E3000000}"/>
    <cellStyle name="Normal 24" xfId="228" xr:uid="{00000000-0005-0000-0000-0000E4000000}"/>
    <cellStyle name="Normal 24 2" xfId="229" xr:uid="{00000000-0005-0000-0000-0000E5000000}"/>
    <cellStyle name="Normal 25" xfId="230" xr:uid="{00000000-0005-0000-0000-0000E6000000}"/>
    <cellStyle name="Normal 25 2" xfId="231" xr:uid="{00000000-0005-0000-0000-0000E7000000}"/>
    <cellStyle name="Normal 26" xfId="232" xr:uid="{00000000-0005-0000-0000-0000E8000000}"/>
    <cellStyle name="Normal 26 2" xfId="233" xr:uid="{00000000-0005-0000-0000-0000E9000000}"/>
    <cellStyle name="Normal 27" xfId="234" xr:uid="{00000000-0005-0000-0000-0000EA000000}"/>
    <cellStyle name="Normal 28" xfId="235" xr:uid="{00000000-0005-0000-0000-0000EB000000}"/>
    <cellStyle name="Normal 28 2" xfId="236" xr:uid="{00000000-0005-0000-0000-0000EC000000}"/>
    <cellStyle name="Normal 29" xfId="237" xr:uid="{00000000-0005-0000-0000-0000ED000000}"/>
    <cellStyle name="Normal 29 2" xfId="238" xr:uid="{00000000-0005-0000-0000-0000EE000000}"/>
    <cellStyle name="Normal 3" xfId="239" xr:uid="{00000000-0005-0000-0000-0000EF000000}"/>
    <cellStyle name="Normal 3 2" xfId="240" xr:uid="{00000000-0005-0000-0000-0000F0000000}"/>
    <cellStyle name="Normal 3 3" xfId="241" xr:uid="{00000000-0005-0000-0000-0000F1000000}"/>
    <cellStyle name="Normal 3_Attach O, GG, Support -New Method 2-14-11" xfId="242" xr:uid="{00000000-0005-0000-0000-0000F2000000}"/>
    <cellStyle name="Normal 31" xfId="243" xr:uid="{00000000-0005-0000-0000-0000F3000000}"/>
    <cellStyle name="Normal 31 2" xfId="391" xr:uid="{00000000-0005-0000-0000-0000F4000000}"/>
    <cellStyle name="Normal 31 2 2" xfId="244" xr:uid="{00000000-0005-0000-0000-0000F5000000}"/>
    <cellStyle name="Normal 31 2 2 2" xfId="393" xr:uid="{AEC605C8-D53B-4AB0-BBE2-D7B0ED4A94A5}"/>
    <cellStyle name="Normal 33" xfId="245" xr:uid="{00000000-0005-0000-0000-0000F6000000}"/>
    <cellStyle name="Normal 33 2" xfId="392" xr:uid="{A1BF5D64-54D8-480B-8E1C-3C4885157319}"/>
    <cellStyle name="Normal 34" xfId="396" xr:uid="{612B8470-F0C0-4155-A7FD-9BCA0EB855A8}"/>
    <cellStyle name="Normal 4" xfId="246" xr:uid="{00000000-0005-0000-0000-0000F7000000}"/>
    <cellStyle name="Normal 4 10" xfId="247" xr:uid="{00000000-0005-0000-0000-0000F8000000}"/>
    <cellStyle name="Normal 4 11" xfId="248" xr:uid="{00000000-0005-0000-0000-0000F9000000}"/>
    <cellStyle name="Normal 4 12" xfId="249" xr:uid="{00000000-0005-0000-0000-0000FA000000}"/>
    <cellStyle name="Normal 4 2" xfId="250" xr:uid="{00000000-0005-0000-0000-0000FB000000}"/>
    <cellStyle name="Normal 4 3" xfId="251" xr:uid="{00000000-0005-0000-0000-0000FC000000}"/>
    <cellStyle name="Normal 4 3 2" xfId="252" xr:uid="{00000000-0005-0000-0000-0000FD000000}"/>
    <cellStyle name="Normal 4 3 3" xfId="253" xr:uid="{00000000-0005-0000-0000-0000FE000000}"/>
    <cellStyle name="Normal 4 4" xfId="254" xr:uid="{00000000-0005-0000-0000-0000FF000000}"/>
    <cellStyle name="Normal 4 4 2" xfId="255" xr:uid="{00000000-0005-0000-0000-000000010000}"/>
    <cellStyle name="Normal 4 4 3" xfId="256" xr:uid="{00000000-0005-0000-0000-000001010000}"/>
    <cellStyle name="Normal 4 5" xfId="257" xr:uid="{00000000-0005-0000-0000-000002010000}"/>
    <cellStyle name="Normal 4 6" xfId="258" xr:uid="{00000000-0005-0000-0000-000003010000}"/>
    <cellStyle name="Normal 4 6 2" xfId="259" xr:uid="{00000000-0005-0000-0000-000004010000}"/>
    <cellStyle name="Normal 4 7" xfId="260" xr:uid="{00000000-0005-0000-0000-000005010000}"/>
    <cellStyle name="Normal 4 7 2" xfId="261" xr:uid="{00000000-0005-0000-0000-000006010000}"/>
    <cellStyle name="Normal 4 8" xfId="262" xr:uid="{00000000-0005-0000-0000-000007010000}"/>
    <cellStyle name="Normal 4 8 2" xfId="263" xr:uid="{00000000-0005-0000-0000-000008010000}"/>
    <cellStyle name="Normal 4 8 3" xfId="264" xr:uid="{00000000-0005-0000-0000-000009010000}"/>
    <cellStyle name="Normal 4 9" xfId="265" xr:uid="{00000000-0005-0000-0000-00000A010000}"/>
    <cellStyle name="Normal 4 9 2" xfId="266" xr:uid="{00000000-0005-0000-0000-00000B010000}"/>
    <cellStyle name="Normal 4_PBOP Exhibit 1" xfId="267" xr:uid="{00000000-0005-0000-0000-00000C010000}"/>
    <cellStyle name="Normal 5" xfId="268" xr:uid="{00000000-0005-0000-0000-00000D010000}"/>
    <cellStyle name="Normal 5 2" xfId="269" xr:uid="{00000000-0005-0000-0000-00000E010000}"/>
    <cellStyle name="Normal 5 2 2" xfId="270" xr:uid="{00000000-0005-0000-0000-00000F010000}"/>
    <cellStyle name="Normal 5 3" xfId="271" xr:uid="{00000000-0005-0000-0000-000010010000}"/>
    <cellStyle name="Normal 5 4" xfId="272" xr:uid="{00000000-0005-0000-0000-000011010000}"/>
    <cellStyle name="Normal 6" xfId="273" xr:uid="{00000000-0005-0000-0000-000012010000}"/>
    <cellStyle name="Normal 6 2" xfId="274" xr:uid="{00000000-0005-0000-0000-000013010000}"/>
    <cellStyle name="Normal 6 2 2" xfId="275" xr:uid="{00000000-0005-0000-0000-000014010000}"/>
    <cellStyle name="Normal 6 2 3" xfId="276" xr:uid="{00000000-0005-0000-0000-000015010000}"/>
    <cellStyle name="Normal 6 3" xfId="277" xr:uid="{00000000-0005-0000-0000-000016010000}"/>
    <cellStyle name="Normal 6 3 2" xfId="278" xr:uid="{00000000-0005-0000-0000-000017010000}"/>
    <cellStyle name="Normal 6 4" xfId="279" xr:uid="{00000000-0005-0000-0000-000018010000}"/>
    <cellStyle name="Normal 6 4 2" xfId="280" xr:uid="{00000000-0005-0000-0000-000019010000}"/>
    <cellStyle name="Normal 7" xfId="281" xr:uid="{00000000-0005-0000-0000-00001A010000}"/>
    <cellStyle name="Normal 7 2" xfId="282" xr:uid="{00000000-0005-0000-0000-00001B010000}"/>
    <cellStyle name="Normal 8" xfId="283" xr:uid="{00000000-0005-0000-0000-00001C010000}"/>
    <cellStyle name="Normal 8 2" xfId="284" xr:uid="{00000000-0005-0000-0000-00001D010000}"/>
    <cellStyle name="Normal 9" xfId="285" xr:uid="{00000000-0005-0000-0000-00001E010000}"/>
    <cellStyle name="Normal 9 2" xfId="286" xr:uid="{00000000-0005-0000-0000-00001F010000}"/>
    <cellStyle name="Normal_21 Exh B" xfId="287" xr:uid="{00000000-0005-0000-0000-000020010000}"/>
    <cellStyle name="Normal_ADITAnalysisID090805" xfId="288" xr:uid="{00000000-0005-0000-0000-000021010000}"/>
    <cellStyle name="Normal_ADITAnalysisID090805 2" xfId="289" xr:uid="{00000000-0005-0000-0000-000022010000}"/>
    <cellStyle name="Normal_ADITAnalysisID090805 2 2" xfId="290" xr:uid="{00000000-0005-0000-0000-000023010000}"/>
    <cellStyle name="Normal_ADITAnalysisID090805 2 2 2" xfId="291" xr:uid="{00000000-0005-0000-0000-000024010000}"/>
    <cellStyle name="Normal_ADITAnalysisID090805 3" xfId="292" xr:uid="{00000000-0005-0000-0000-000025010000}"/>
    <cellStyle name="Normal_ADITAnalysisID090805 4 2" xfId="293" xr:uid="{00000000-0005-0000-0000-000026010000}"/>
    <cellStyle name="Normal_ATC Projected 2008 Monthly Plant Balances for Attachment O 2 (2)" xfId="294" xr:uid="{00000000-0005-0000-0000-000027010000}"/>
    <cellStyle name="Normal_AU Period 2 Rev 4-27-00" xfId="295" xr:uid="{00000000-0005-0000-0000-000028010000}"/>
    <cellStyle name="Normal_DeprRateAuth East Dave Davis 2" xfId="296" xr:uid="{00000000-0005-0000-0000-000029010000}"/>
    <cellStyle name="Normal_FN1 Ratebase Draft SPP template (6-11-04) v2" xfId="297" xr:uid="{00000000-0005-0000-0000-00002A010000}"/>
    <cellStyle name="Normal_I&amp;M-AK-1" xfId="298" xr:uid="{00000000-0005-0000-0000-00002B010000}"/>
    <cellStyle name="Normal_Revised 1-21-10  Deprec Summary" xfId="299" xr:uid="{00000000-0005-0000-0000-00002C010000}"/>
    <cellStyle name="Normal_Schedule O Info for Mike" xfId="300" xr:uid="{00000000-0005-0000-0000-00002D010000}"/>
    <cellStyle name="Normal_spp calc - revsd rev crd" xfId="301" xr:uid="{00000000-0005-0000-0000-00002E010000}"/>
    <cellStyle name="Note" xfId="302" builtinId="10" customBuiltin="1"/>
    <cellStyle name="Note 2" xfId="303" xr:uid="{00000000-0005-0000-0000-000030010000}"/>
    <cellStyle name="Output" xfId="304" builtinId="21" customBuiltin="1"/>
    <cellStyle name="Output 2" xfId="305" xr:uid="{00000000-0005-0000-0000-000032010000}"/>
    <cellStyle name="Percent" xfId="306" builtinId="5"/>
    <cellStyle name="Percent 10" xfId="307" xr:uid="{00000000-0005-0000-0000-000034010000}"/>
    <cellStyle name="Percent 11" xfId="308" xr:uid="{00000000-0005-0000-0000-000035010000}"/>
    <cellStyle name="Percent 12" xfId="309" xr:uid="{00000000-0005-0000-0000-000036010000}"/>
    <cellStyle name="Percent 12 2" xfId="395" xr:uid="{953E8A08-41D7-43BE-8AD8-D2DE3567ADB0}"/>
    <cellStyle name="Percent 13" xfId="397" xr:uid="{9F2EC84D-29C5-4C4E-A239-C79C22F10B99}"/>
    <cellStyle name="Percent 2" xfId="310" xr:uid="{00000000-0005-0000-0000-000037010000}"/>
    <cellStyle name="Percent 2 2" xfId="311" xr:uid="{00000000-0005-0000-0000-000038010000}"/>
    <cellStyle name="Percent 2 2 2" xfId="312" xr:uid="{00000000-0005-0000-0000-000039010000}"/>
    <cellStyle name="Percent 3" xfId="313" xr:uid="{00000000-0005-0000-0000-00003A010000}"/>
    <cellStyle name="Percent 3 10" xfId="314" xr:uid="{00000000-0005-0000-0000-00003B010000}"/>
    <cellStyle name="Percent 3 11" xfId="315" xr:uid="{00000000-0005-0000-0000-00003C010000}"/>
    <cellStyle name="Percent 3 2" xfId="316" xr:uid="{00000000-0005-0000-0000-00003D010000}"/>
    <cellStyle name="Percent 3 3" xfId="317" xr:uid="{00000000-0005-0000-0000-00003E010000}"/>
    <cellStyle name="Percent 3 3 2" xfId="318" xr:uid="{00000000-0005-0000-0000-00003F010000}"/>
    <cellStyle name="Percent 3 3 3" xfId="319" xr:uid="{00000000-0005-0000-0000-000040010000}"/>
    <cellStyle name="Percent 3 4" xfId="320" xr:uid="{00000000-0005-0000-0000-000041010000}"/>
    <cellStyle name="Percent 3 4 2" xfId="321" xr:uid="{00000000-0005-0000-0000-000042010000}"/>
    <cellStyle name="Percent 3 4 3" xfId="322" xr:uid="{00000000-0005-0000-0000-000043010000}"/>
    <cellStyle name="Percent 3 5" xfId="323" xr:uid="{00000000-0005-0000-0000-000044010000}"/>
    <cellStyle name="Percent 3 6" xfId="324" xr:uid="{00000000-0005-0000-0000-000045010000}"/>
    <cellStyle name="Percent 3 6 2" xfId="325" xr:uid="{00000000-0005-0000-0000-000046010000}"/>
    <cellStyle name="Percent 3 7" xfId="326" xr:uid="{00000000-0005-0000-0000-000047010000}"/>
    <cellStyle name="Percent 3 7 2" xfId="327" xr:uid="{00000000-0005-0000-0000-000048010000}"/>
    <cellStyle name="Percent 3 7 3" xfId="328" xr:uid="{00000000-0005-0000-0000-000049010000}"/>
    <cellStyle name="Percent 3 8" xfId="329" xr:uid="{00000000-0005-0000-0000-00004A010000}"/>
    <cellStyle name="Percent 3 8 2" xfId="330" xr:uid="{00000000-0005-0000-0000-00004B010000}"/>
    <cellStyle name="Percent 3 9" xfId="331" xr:uid="{00000000-0005-0000-0000-00004C010000}"/>
    <cellStyle name="Percent 4" xfId="332" xr:uid="{00000000-0005-0000-0000-00004D010000}"/>
    <cellStyle name="Percent 4 2" xfId="333" xr:uid="{00000000-0005-0000-0000-00004E010000}"/>
    <cellStyle name="Percent 4 3" xfId="334" xr:uid="{00000000-0005-0000-0000-00004F010000}"/>
    <cellStyle name="Percent 5" xfId="335" xr:uid="{00000000-0005-0000-0000-000050010000}"/>
    <cellStyle name="Percent 5 2" xfId="336" xr:uid="{00000000-0005-0000-0000-000051010000}"/>
    <cellStyle name="Percent 6" xfId="337" xr:uid="{00000000-0005-0000-0000-000052010000}"/>
    <cellStyle name="Percent 7" xfId="338" xr:uid="{00000000-0005-0000-0000-000053010000}"/>
    <cellStyle name="Percent 7 2" xfId="339" xr:uid="{00000000-0005-0000-0000-000054010000}"/>
    <cellStyle name="Percent 7 3" xfId="340" xr:uid="{00000000-0005-0000-0000-000055010000}"/>
    <cellStyle name="Percent 8" xfId="341" xr:uid="{00000000-0005-0000-0000-000056010000}"/>
    <cellStyle name="Percent 8 2" xfId="342" xr:uid="{00000000-0005-0000-0000-000057010000}"/>
    <cellStyle name="Percent 8 3" xfId="343" xr:uid="{00000000-0005-0000-0000-000058010000}"/>
    <cellStyle name="Percent 9" xfId="344" xr:uid="{00000000-0005-0000-0000-000059010000}"/>
    <cellStyle name="Percent 9 2" xfId="345" xr:uid="{00000000-0005-0000-0000-00005A010000}"/>
    <cellStyle name="PSChar" xfId="346" xr:uid="{00000000-0005-0000-0000-00005B010000}"/>
    <cellStyle name="PSDate" xfId="347" xr:uid="{00000000-0005-0000-0000-00005C010000}"/>
    <cellStyle name="PSDec" xfId="348" xr:uid="{00000000-0005-0000-0000-00005D010000}"/>
    <cellStyle name="PSdesc" xfId="349" xr:uid="{00000000-0005-0000-0000-00005E010000}"/>
    <cellStyle name="PSHeading" xfId="350" xr:uid="{00000000-0005-0000-0000-00005F010000}"/>
    <cellStyle name="PSInt" xfId="351" xr:uid="{00000000-0005-0000-0000-000060010000}"/>
    <cellStyle name="PSSpacer" xfId="352" xr:uid="{00000000-0005-0000-0000-000061010000}"/>
    <cellStyle name="PStest" xfId="353" xr:uid="{00000000-0005-0000-0000-000062010000}"/>
    <cellStyle name="R00A" xfId="354" xr:uid="{00000000-0005-0000-0000-000063010000}"/>
    <cellStyle name="R00B" xfId="355" xr:uid="{00000000-0005-0000-0000-000064010000}"/>
    <cellStyle name="R00L" xfId="356" xr:uid="{00000000-0005-0000-0000-000065010000}"/>
    <cellStyle name="R01A" xfId="357" xr:uid="{00000000-0005-0000-0000-000066010000}"/>
    <cellStyle name="R01B" xfId="358" xr:uid="{00000000-0005-0000-0000-000067010000}"/>
    <cellStyle name="R01H" xfId="359" xr:uid="{00000000-0005-0000-0000-000068010000}"/>
    <cellStyle name="R01L" xfId="360" xr:uid="{00000000-0005-0000-0000-000069010000}"/>
    <cellStyle name="R02A" xfId="361" xr:uid="{00000000-0005-0000-0000-00006A010000}"/>
    <cellStyle name="R02B" xfId="362" xr:uid="{00000000-0005-0000-0000-00006B010000}"/>
    <cellStyle name="R02H" xfId="363" xr:uid="{00000000-0005-0000-0000-00006C010000}"/>
    <cellStyle name="R02L" xfId="364" xr:uid="{00000000-0005-0000-0000-00006D010000}"/>
    <cellStyle name="R03A" xfId="365" xr:uid="{00000000-0005-0000-0000-00006E010000}"/>
    <cellStyle name="R03B" xfId="366" xr:uid="{00000000-0005-0000-0000-00006F010000}"/>
    <cellStyle name="R03H" xfId="367" xr:uid="{00000000-0005-0000-0000-000070010000}"/>
    <cellStyle name="R03L" xfId="368" xr:uid="{00000000-0005-0000-0000-000071010000}"/>
    <cellStyle name="R04A" xfId="369" xr:uid="{00000000-0005-0000-0000-000072010000}"/>
    <cellStyle name="R04B" xfId="370" xr:uid="{00000000-0005-0000-0000-000073010000}"/>
    <cellStyle name="R04H" xfId="371" xr:uid="{00000000-0005-0000-0000-000074010000}"/>
    <cellStyle name="R04L" xfId="372" xr:uid="{00000000-0005-0000-0000-000075010000}"/>
    <cellStyle name="R05A" xfId="373" xr:uid="{00000000-0005-0000-0000-000076010000}"/>
    <cellStyle name="R05B" xfId="374" xr:uid="{00000000-0005-0000-0000-000077010000}"/>
    <cellStyle name="R05H" xfId="375" xr:uid="{00000000-0005-0000-0000-000078010000}"/>
    <cellStyle name="R05L" xfId="376" xr:uid="{00000000-0005-0000-0000-000079010000}"/>
    <cellStyle name="R06A" xfId="377" xr:uid="{00000000-0005-0000-0000-00007A010000}"/>
    <cellStyle name="R06B" xfId="378" xr:uid="{00000000-0005-0000-0000-00007B010000}"/>
    <cellStyle name="R06H" xfId="379" xr:uid="{00000000-0005-0000-0000-00007C010000}"/>
    <cellStyle name="R06L" xfId="380" xr:uid="{00000000-0005-0000-0000-00007D010000}"/>
    <cellStyle name="R07A" xfId="381" xr:uid="{00000000-0005-0000-0000-00007E010000}"/>
    <cellStyle name="R07B" xfId="382" xr:uid="{00000000-0005-0000-0000-00007F010000}"/>
    <cellStyle name="R07H" xfId="383" xr:uid="{00000000-0005-0000-0000-000080010000}"/>
    <cellStyle name="R07L" xfId="384" xr:uid="{00000000-0005-0000-0000-000081010000}"/>
    <cellStyle name="Title" xfId="385" builtinId="15" customBuiltin="1"/>
    <cellStyle name="Title 2" xfId="386" xr:uid="{00000000-0005-0000-0000-000083010000}"/>
    <cellStyle name="Total" xfId="387" builtinId="25" customBuiltin="1"/>
    <cellStyle name="Total 2" xfId="388" xr:uid="{00000000-0005-0000-0000-000085010000}"/>
    <cellStyle name="Warning Text" xfId="389" builtinId="11" customBuiltin="1"/>
    <cellStyle name="Warning Text 2" xfId="390" xr:uid="{00000000-0005-0000-0000-000087010000}"/>
  </cellStyles>
  <dxfs count="15">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cing\dbw\SWPP%20Form%20Rate\Lila%20added\AEP%20SPP%20For%20Rate%20Proj%20w%2013%20mth%20rate%20base%20june-07%20-%20June-08x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epenergy.sharepoint.com/FERC/FORMULA%20RATES/AEP%20East%20Transmission%20Formula%20Rates/2016%20PJM%20Formula%20Revisions%20(ER17-405-406)/Initial%20Filing%20Package/Templates/ER17-405%20H-14B%20-%20AEP%20OpCo%20Blank%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ERC\FORMULA%20RATES\AEP%20East%20Transmission%20Formula%20Rates\2016%20PJM%20Formula%20Revisions%20(ER17-405-406)\Initial%20Filing%20Package\Templates\ER17-405%20H-14B%20-%20AEP%20OpCo%20Blank%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act of Revisions"/>
      <sheetName val="Zonal Rates"/>
      <sheetName val="Sch 1 Rates"/>
      <sheetName val="Load WS"/>
      <sheetName val="PSO 2008 TCOS 13 Mnth"/>
      <sheetName val="PSO WsA Rev Credits"/>
      <sheetName val="PSO WsB IPP"/>
      <sheetName val="PSO WsC RB Tax"/>
      <sheetName val="PSO Ws C-1 2008 ADIT Avg Bal"/>
      <sheetName val="PSO WsD Misc Exp"/>
      <sheetName val="PSO WsE Acct 561"/>
      <sheetName val="PSO WsF Inc Prjts"/>
      <sheetName val="PSO WsG BPU"/>
      <sheetName val="PSO WsI Bal Sheet"/>
      <sheetName val="PSO WsI - 1 13 Month Prepaids"/>
      <sheetName val="PSO WsJ Tax"/>
      <sheetName val="PSO WsK CWIP"/>
      <sheetName val="SWP TCOS 2008 13 Month"/>
      <sheetName val="SWP WsA Rev Credits"/>
      <sheetName val="SWP WsB IPP"/>
      <sheetName val="SWP WsC RB Tax"/>
      <sheetName val="SWP WsC-1 ADIT 2008 13 Mth Avg "/>
      <sheetName val="SWP WsD Misc Exp"/>
      <sheetName val="SWP WsE Acct 561"/>
      <sheetName val="SWP WsF Inc Prjts"/>
      <sheetName val="SWP WsG BPU"/>
      <sheetName val="SWP WsI Bal Sheet"/>
      <sheetName val="SWP WsI-1 13 Month Prepaids "/>
      <sheetName val="SWP WsJ Tax"/>
      <sheetName val="SWP WsK CWIP"/>
      <sheetName val="FERC Balance Sheet"/>
      <sheetName val="PSO 13 Month Rate Base"/>
      <sheetName val="SWEPCo 13 Month Rate Base"/>
      <sheetName val="Plant Detail - Book"/>
      <sheetName val="FERC Income Stmt w Details"/>
      <sheetName val="Depreciation Detail"/>
      <sheetName val="Taxes Other 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17">
          <cell r="I317" t="str">
            <v>CE</v>
          </cell>
          <cell r="J317">
            <v>6.3272239966292818E-2</v>
          </cell>
        </row>
        <row r="318">
          <cell r="I318" t="str">
            <v>DA</v>
          </cell>
          <cell r="J318">
            <v>1</v>
          </cell>
        </row>
        <row r="319">
          <cell r="I319" t="str">
            <v>GP(b)</v>
          </cell>
          <cell r="J319">
            <v>0.17830317329522682</v>
          </cell>
        </row>
        <row r="320">
          <cell r="I320" t="str">
            <v>GP(p)</v>
          </cell>
          <cell r="J320">
            <v>0.17830317329522682</v>
          </cell>
        </row>
        <row r="321">
          <cell r="I321" t="str">
            <v>GTD(p)</v>
          </cell>
          <cell r="J321">
            <v>0.35796417623075211</v>
          </cell>
        </row>
        <row r="322">
          <cell r="I322" t="str">
            <v>GTD(h)</v>
          </cell>
          <cell r="J322">
            <v>0.35796417623075211</v>
          </cell>
        </row>
        <row r="323">
          <cell r="I323" t="str">
            <v>NA</v>
          </cell>
          <cell r="J323">
            <v>0</v>
          </cell>
        </row>
        <row r="324">
          <cell r="I324" t="str">
            <v>NP(b)</v>
          </cell>
          <cell r="J324">
            <v>0.21388078637862473</v>
          </cell>
        </row>
        <row r="325">
          <cell r="I325" t="str">
            <v>NP(p)</v>
          </cell>
          <cell r="J325">
            <v>0.21388078637862473</v>
          </cell>
        </row>
        <row r="326">
          <cell r="I326" t="str">
            <v>TP</v>
          </cell>
          <cell r="J326">
            <v>0.97384420488446088</v>
          </cell>
        </row>
        <row r="327">
          <cell r="I327" t="str">
            <v>TP1</v>
          </cell>
          <cell r="J327">
            <v>0.98824625472059235</v>
          </cell>
        </row>
        <row r="328">
          <cell r="I328" t="str">
            <v>W/S</v>
          </cell>
          <cell r="J328">
            <v>6.3272239966292818E-2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OS"/>
      <sheetName val="WS A  - RB Support "/>
      <sheetName val="WS B ADIT &amp; ITC"/>
      <sheetName val="WS C  - Working Capital"/>
      <sheetName val="WS D IPP Credits"/>
      <sheetName val="WS E Rev Credits"/>
      <sheetName val="WS F Misc Exp"/>
      <sheetName val="WS G  State Tax Rate"/>
      <sheetName val="WS H Other Taxes"/>
      <sheetName val="WS H-1-Detail of Tax Amts"/>
      <sheetName val="WS I Reserved"/>
      <sheetName val="WS J PROJECTED RTEP RR"/>
      <sheetName val="WS K TRUE-UP RTEP RR"/>
      <sheetName val="WS L Reserved"/>
      <sheetName val="WS M - Avg Cap Structure"/>
      <sheetName val="WS N - Sale of Plant Held"/>
      <sheetName val="WS O"/>
      <sheetName val="APC - WS P Dep. Rates"/>
      <sheetName val="IMC - WS P Dep. Rates"/>
      <sheetName val="KGP - WS P Dep. Rates"/>
      <sheetName val="KPC - WS P Dep. Rates"/>
      <sheetName val="OPC - WS P Dep. Rates"/>
      <sheetName val="WPC-WS P Dep. Rates"/>
      <sheetName val="WS Q Interest"/>
      <sheetName val="#REF"/>
    </sheetNames>
    <sheetDataSet>
      <sheetData sheetId="0">
        <row r="105">
          <cell r="J105" t="e">
            <v>#DIV/0!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OS"/>
      <sheetName val="WS A  - RB Support "/>
      <sheetName val="WS B ADIT &amp; ITC"/>
      <sheetName val="WS C  - Working Capital"/>
      <sheetName val="WS D IPP Credits"/>
      <sheetName val="WS E Rev Credits"/>
      <sheetName val="WS F Misc Exp"/>
      <sheetName val="WS G  State Tax Rate"/>
      <sheetName val="WS H Other Taxes"/>
      <sheetName val="WS H-1-Detail of Tax Amts"/>
      <sheetName val="WS I Reserved"/>
      <sheetName val="WS J PROJECTED RTEP RR"/>
      <sheetName val="WS K TRUE-UP RTEP RR"/>
      <sheetName val="WS L Reserved"/>
      <sheetName val="WS M - Avg Cap Structure"/>
      <sheetName val="WS N - Sale of Plant Held"/>
      <sheetName val="WS O"/>
      <sheetName val="APC - WS P Dep. Rates"/>
      <sheetName val="IMC - WS P Dep. Rates"/>
      <sheetName val="KGP - WS P Dep. Rates"/>
      <sheetName val="KPC - WS P Dep. Rates"/>
      <sheetName val="OPC - WS P Dep. Rates"/>
      <sheetName val="WPC-WS P Dep. Rates"/>
      <sheetName val="WS Q Interest"/>
      <sheetName val="#REF"/>
    </sheetNames>
    <sheetDataSet>
      <sheetData sheetId="0" refreshError="1">
        <row r="105">
          <cell r="J105" t="e">
            <v>#DIV/0!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75"/>
  <sheetViews>
    <sheetView tabSelected="1" topLeftCell="A6" zoomScale="85" zoomScaleNormal="85" zoomScaleSheetLayoutView="75" zoomScalePageLayoutView="50" workbookViewId="0">
      <selection activeCell="E20" sqref="E20"/>
    </sheetView>
  </sheetViews>
  <sheetFormatPr defaultColWidth="11.453125" defaultRowHeight="15.5"/>
  <cols>
    <col min="1" max="1" width="4.7265625" style="263" customWidth="1"/>
    <col min="2" max="2" width="7.81640625" style="262" customWidth="1"/>
    <col min="3" max="3" width="1.81640625" style="263" customWidth="1"/>
    <col min="4" max="4" width="70.1796875" style="263" customWidth="1"/>
    <col min="5" max="5" width="25.7265625" style="263" customWidth="1"/>
    <col min="6" max="6" width="22.26953125" style="263" customWidth="1"/>
    <col min="7" max="7" width="20.7265625" style="263" customWidth="1"/>
    <col min="8" max="8" width="16.1796875" style="263" customWidth="1"/>
    <col min="9" max="9" width="11.26953125" style="263" customWidth="1"/>
    <col min="10" max="10" width="21.54296875" style="263" bestFit="1" customWidth="1"/>
    <col min="11" max="11" width="4.7265625" style="263" customWidth="1"/>
    <col min="12" max="12" width="23" style="263" customWidth="1"/>
    <col min="13" max="13" width="5" style="263" customWidth="1"/>
    <col min="14" max="14" width="31.1796875" style="263" customWidth="1"/>
    <col min="15" max="15" width="8.1796875" style="263" customWidth="1"/>
    <col min="16" max="16" width="21.81640625" style="263" customWidth="1"/>
    <col min="17" max="17" width="11.453125" style="263" customWidth="1"/>
    <col min="18" max="18" width="20.54296875" style="263" bestFit="1" customWidth="1"/>
    <col min="19" max="16384" width="11.453125" style="263"/>
  </cols>
  <sheetData>
    <row r="1" spans="1:15">
      <c r="A1" s="694" t="s">
        <v>116</v>
      </c>
    </row>
    <row r="2" spans="1:15">
      <c r="A2" s="694" t="s">
        <v>116</v>
      </c>
    </row>
    <row r="3" spans="1:15">
      <c r="D3"/>
      <c r="E3" s="264"/>
      <c r="F3" s="264"/>
      <c r="G3" s="265"/>
      <c r="I3" s="266"/>
      <c r="J3" s="266"/>
      <c r="K3" s="266"/>
    </row>
    <row r="4" spans="1:15">
      <c r="J4" s="263" t="s">
        <v>829</v>
      </c>
      <c r="L4" s="642">
        <v>2024</v>
      </c>
    </row>
    <row r="5" spans="1:15">
      <c r="D5" s="267"/>
      <c r="E5" s="267"/>
      <c r="F5" s="30" t="s">
        <v>387</v>
      </c>
      <c r="G5" s="2"/>
      <c r="H5" s="2"/>
      <c r="J5" s="267"/>
      <c r="K5" s="267"/>
      <c r="L5" s="267"/>
      <c r="M5" s="268"/>
      <c r="O5" s="269"/>
    </row>
    <row r="6" spans="1:15">
      <c r="D6" s="267"/>
      <c r="E6" s="270"/>
      <c r="F6" s="30" t="s">
        <v>388</v>
      </c>
      <c r="G6" s="2"/>
      <c r="H6" s="2"/>
      <c r="J6" s="270"/>
      <c r="K6" s="267"/>
      <c r="L6" s="267"/>
      <c r="M6" s="268"/>
    </row>
    <row r="7" spans="1:15">
      <c r="D7" s="267"/>
      <c r="E7" s="267"/>
      <c r="F7" s="3" t="str">
        <f>"Utilizing  Actual/Projected FERC Form 1 Data"</f>
        <v>Utilizing  Actual/Projected FERC Form 1 Data</v>
      </c>
      <c r="G7" s="2"/>
      <c r="H7" s="2"/>
      <c r="J7" s="267"/>
      <c r="K7" s="267"/>
      <c r="L7" s="267"/>
      <c r="M7" s="268"/>
    </row>
    <row r="8" spans="1:15">
      <c r="B8" s="271"/>
      <c r="C8" s="272"/>
      <c r="D8" s="267"/>
      <c r="H8" s="273"/>
      <c r="I8" s="273"/>
      <c r="J8" s="273"/>
      <c r="K8" s="273"/>
      <c r="L8" s="267"/>
      <c r="M8" s="267"/>
    </row>
    <row r="9" spans="1:15">
      <c r="B9" s="271"/>
      <c r="C9" s="272"/>
      <c r="D9"/>
      <c r="E9" s="267"/>
      <c r="F9" s="274" t="s">
        <v>895</v>
      </c>
      <c r="G9" s="275"/>
      <c r="H9" s="267"/>
      <c r="I9" s="267"/>
      <c r="J9" s="267"/>
      <c r="K9" s="267"/>
      <c r="L9"/>
      <c r="M9" s="267"/>
    </row>
    <row r="10" spans="1:15">
      <c r="B10" s="271"/>
      <c r="C10" s="272"/>
      <c r="D10" s="267"/>
      <c r="E10" s="267"/>
      <c r="F10" s="276"/>
      <c r="G10" s="275"/>
      <c r="H10" s="267"/>
      <c r="I10" s="267"/>
      <c r="J10" s="267"/>
      <c r="K10" s="267"/>
      <c r="L10"/>
      <c r="M10" s="267"/>
    </row>
    <row r="11" spans="1:15">
      <c r="B11" s="271" t="s">
        <v>171</v>
      </c>
      <c r="C11" s="272"/>
      <c r="D11" s="267"/>
      <c r="E11" s="267"/>
      <c r="F11" s="267"/>
      <c r="G11" s="275"/>
      <c r="H11" s="267"/>
      <c r="I11" s="267"/>
      <c r="J11" s="267"/>
      <c r="K11" s="267"/>
      <c r="L11" s="272" t="s">
        <v>117</v>
      </c>
      <c r="M11" s="267"/>
    </row>
    <row r="12" spans="1:15" ht="16" thickBot="1">
      <c r="B12" s="277" t="s">
        <v>119</v>
      </c>
      <c r="C12" s="272"/>
      <c r="D12" s="267"/>
      <c r="E12" s="272"/>
      <c r="F12" s="267"/>
      <c r="G12" s="267"/>
      <c r="H12" s="267"/>
      <c r="I12" s="267"/>
      <c r="J12" s="267"/>
      <c r="K12" s="267"/>
      <c r="L12" s="278" t="s">
        <v>172</v>
      </c>
      <c r="M12" s="267"/>
    </row>
    <row r="13" spans="1:15">
      <c r="B13" s="271">
        <f>1</f>
        <v>1</v>
      </c>
      <c r="C13" s="272"/>
      <c r="D13" s="2" t="s">
        <v>113</v>
      </c>
      <c r="E13" s="267" t="str">
        <f>"(ln "&amp;B213&amp;")"</f>
        <v>(ln 130)</v>
      </c>
      <c r="F13" s="267"/>
      <c r="G13" s="270"/>
      <c r="H13" s="279"/>
      <c r="I13" s="267"/>
      <c r="J13" s="267"/>
      <c r="K13" s="267"/>
      <c r="L13" s="280">
        <f>+L213</f>
        <v>94527053.690176606</v>
      </c>
      <c r="M13" s="267"/>
    </row>
    <row r="14" spans="1:15" ht="16" thickBot="1">
      <c r="B14" s="271"/>
      <c r="C14" s="272"/>
      <c r="E14" s="281"/>
      <c r="F14" s="270"/>
      <c r="G14" s="278" t="s">
        <v>120</v>
      </c>
      <c r="H14" s="270"/>
      <c r="I14" s="282" t="s">
        <v>121</v>
      </c>
      <c r="J14" s="282"/>
      <c r="K14" s="267"/>
      <c r="L14" s="270"/>
      <c r="M14" s="267"/>
    </row>
    <row r="15" spans="1:15">
      <c r="B15" s="271">
        <f>+B13+1</f>
        <v>2</v>
      </c>
      <c r="C15" s="272"/>
      <c r="D15" s="2" t="s">
        <v>170</v>
      </c>
      <c r="E15" s="281" t="s">
        <v>619</v>
      </c>
      <c r="F15" s="270"/>
      <c r="G15" s="283">
        <f>+'WS E Rev Credits'!K31</f>
        <v>584494.84190223506</v>
      </c>
      <c r="H15" s="270"/>
      <c r="I15" s="284" t="s">
        <v>131</v>
      </c>
      <c r="J15" s="285">
        <v>1</v>
      </c>
      <c r="K15" s="270"/>
      <c r="L15" s="286">
        <f>+J15*G15</f>
        <v>584494.84190223506</v>
      </c>
      <c r="M15" s="267"/>
    </row>
    <row r="16" spans="1:15">
      <c r="B16" s="271"/>
      <c r="C16" s="272"/>
      <c r="D16" s="2"/>
      <c r="F16" s="270"/>
      <c r="L16" s="287"/>
      <c r="M16" s="267"/>
    </row>
    <row r="17" spans="2:13">
      <c r="B17" s="271"/>
      <c r="C17" s="272"/>
      <c r="D17" s="2"/>
      <c r="F17" s="270"/>
      <c r="M17" s="267"/>
    </row>
    <row r="18" spans="2:13">
      <c r="B18" s="271">
        <f>+B15+1</f>
        <v>3</v>
      </c>
      <c r="C18" s="272"/>
      <c r="D18" s="2" t="s">
        <v>536</v>
      </c>
      <c r="E18" s="263" t="s">
        <v>620</v>
      </c>
      <c r="F18" s="270"/>
      <c r="L18" s="286">
        <f>'WS E Rev Credits'!K39</f>
        <v>0</v>
      </c>
      <c r="M18" s="267"/>
    </row>
    <row r="19" spans="2:13">
      <c r="B19" s="271"/>
      <c r="C19" s="272"/>
      <c r="D19" s="2"/>
      <c r="F19" s="270"/>
      <c r="M19" s="267"/>
    </row>
    <row r="20" spans="2:13" ht="16" thickBot="1">
      <c r="B20" s="271">
        <f>+B18+1</f>
        <v>4</v>
      </c>
      <c r="C20" s="272"/>
      <c r="D20" s="288" t="s">
        <v>466</v>
      </c>
      <c r="E20" s="281" t="str">
        <f>"(ln "&amp;B13&amp;" less  ln " &amp;B15&amp;" plus ln "&amp;B18&amp;")"</f>
        <v>(ln 1 less  ln 2 plus ln 3)</v>
      </c>
      <c r="F20" s="267"/>
      <c r="H20" s="270"/>
      <c r="I20" s="284"/>
      <c r="J20" s="270"/>
      <c r="K20" s="270"/>
      <c r="L20" s="289">
        <f>+L13-L15+L18</f>
        <v>93942558.848274365</v>
      </c>
      <c r="M20" s="267"/>
    </row>
    <row r="21" spans="2:13" ht="16" thickTop="1">
      <c r="B21" s="271"/>
      <c r="C21" s="272"/>
      <c r="D21" s="288"/>
      <c r="E21" s="281"/>
      <c r="F21" s="267"/>
      <c r="H21" s="270"/>
      <c r="I21" s="284"/>
      <c r="J21" s="270"/>
      <c r="K21" s="270"/>
      <c r="L21" s="286"/>
      <c r="M21" s="267"/>
    </row>
    <row r="22" spans="2:13">
      <c r="B22" s="271"/>
      <c r="C22" s="272"/>
      <c r="D22" s="288"/>
      <c r="E22" s="281"/>
      <c r="F22" s="267"/>
      <c r="H22" s="270"/>
      <c r="I22" s="284"/>
      <c r="J22" s="270"/>
      <c r="K22" s="270"/>
      <c r="L22" s="286"/>
      <c r="M22" s="267"/>
    </row>
    <row r="23" spans="2:13">
      <c r="B23" s="271"/>
      <c r="C23" s="272"/>
      <c r="D23" s="2"/>
      <c r="E23" s="281"/>
      <c r="F23" s="267"/>
      <c r="H23" s="270"/>
      <c r="I23" s="284"/>
      <c r="J23" s="270"/>
      <c r="K23" s="270"/>
      <c r="L23" s="286"/>
      <c r="M23" s="267"/>
    </row>
    <row r="24" spans="2:13" ht="15" customHeight="1">
      <c r="B24" s="1157"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157"/>
      <c r="D24" s="1157"/>
      <c r="E24" s="1157"/>
      <c r="F24" s="1157"/>
      <c r="G24" s="1157"/>
      <c r="H24" s="1157"/>
      <c r="I24" s="1157"/>
    </row>
    <row r="25" spans="2:13" ht="35.25" customHeight="1">
      <c r="B25" s="1157"/>
      <c r="C25" s="1157"/>
      <c r="D25" s="1157"/>
      <c r="E25" s="1157"/>
      <c r="F25" s="1157"/>
      <c r="G25" s="1157"/>
      <c r="H25" s="1157"/>
      <c r="I25" s="1157"/>
    </row>
    <row r="26" spans="2:13" ht="15" customHeight="1">
      <c r="B26" s="290"/>
      <c r="C26" s="290"/>
      <c r="D26" s="290"/>
      <c r="E26" s="290"/>
      <c r="F26" s="290"/>
      <c r="G26" s="290"/>
      <c r="H26" s="290"/>
      <c r="I26" s="290"/>
    </row>
    <row r="27" spans="2:13">
      <c r="B27" s="271">
        <f>+B20+1</f>
        <v>5</v>
      </c>
      <c r="C27" s="272"/>
      <c r="D27" s="2" t="s">
        <v>537</v>
      </c>
      <c r="E27" s="281"/>
      <c r="F27" s="270"/>
      <c r="G27" s="283">
        <f>+'WS J PROJECTED RTEP RR'!M26</f>
        <v>0</v>
      </c>
      <c r="H27" s="270"/>
      <c r="I27" s="284" t="s">
        <v>131</v>
      </c>
      <c r="J27" s="285">
        <v>1</v>
      </c>
      <c r="K27" s="267"/>
      <c r="L27" s="286">
        <f>+J27*G27</f>
        <v>0</v>
      </c>
      <c r="M27" s="267"/>
    </row>
    <row r="28" spans="2:13">
      <c r="B28" s="271"/>
      <c r="C28" s="272"/>
      <c r="D28" s="2"/>
      <c r="E28" s="281"/>
      <c r="F28" s="270"/>
      <c r="G28" s="283"/>
      <c r="H28" s="270"/>
      <c r="I28" s="270"/>
      <c r="J28" s="285"/>
      <c r="K28" s="267"/>
      <c r="L28" s="286"/>
      <c r="M28" s="267"/>
    </row>
    <row r="29" spans="2:13">
      <c r="B29" s="271">
        <f>+B27+1</f>
        <v>6</v>
      </c>
      <c r="C29" s="272"/>
      <c r="D29" s="2" t="s">
        <v>375</v>
      </c>
      <c r="E29" s="281"/>
      <c r="F29" s="267"/>
      <c r="G29" s="291"/>
      <c r="H29" s="267"/>
      <c r="J29" s="267"/>
      <c r="K29" s="267"/>
      <c r="M29" s="267"/>
    </row>
    <row r="30" spans="2:13">
      <c r="B30" s="271">
        <f>B29+1</f>
        <v>7</v>
      </c>
      <c r="C30" s="272"/>
      <c r="D30" s="267" t="s">
        <v>252</v>
      </c>
      <c r="E30" s="267" t="str">
        <f>"( (ln "&amp;B13&amp;" - ln "&amp;B168&amp;")/((ln "&amp;$B$91&amp;") x 100) )"</f>
        <v>( (ln 1 - ln 95)/((ln 42) x 100) )</v>
      </c>
      <c r="F30" s="272"/>
      <c r="G30" s="272"/>
      <c r="H30" s="272"/>
      <c r="I30" s="292"/>
      <c r="J30" s="292"/>
      <c r="K30" s="292"/>
      <c r="L30" s="293">
        <f>(L13-L168)/L$91</f>
        <v>0.15863097564042886</v>
      </c>
      <c r="M30" s="267"/>
    </row>
    <row r="31" spans="2:13">
      <c r="B31" s="271">
        <f>B30+1</f>
        <v>8</v>
      </c>
      <c r="C31" s="272"/>
      <c r="D31" s="267" t="s">
        <v>253</v>
      </c>
      <c r="E31" s="267" t="str">
        <f>"(ln "&amp;B30&amp;" / 12)"</f>
        <v>(ln 7 / 12)</v>
      </c>
      <c r="F31" s="272"/>
      <c r="G31" s="272"/>
      <c r="H31" s="272"/>
      <c r="I31" s="292"/>
      <c r="J31" s="292"/>
      <c r="K31" s="292"/>
      <c r="L31" s="293">
        <f>L30/12</f>
        <v>1.3219247970035737E-2</v>
      </c>
      <c r="M31" s="267"/>
    </row>
    <row r="32" spans="2:13">
      <c r="B32" s="271"/>
      <c r="C32" s="272"/>
      <c r="D32" s="267"/>
      <c r="E32" s="267"/>
      <c r="F32" s="272"/>
      <c r="G32" s="272"/>
      <c r="H32" s="272"/>
      <c r="I32" s="292"/>
      <c r="J32" s="292"/>
      <c r="K32" s="292"/>
      <c r="L32" s="293"/>
      <c r="M32" s="267"/>
    </row>
    <row r="33" spans="2:13">
      <c r="B33" s="271">
        <f>B31+1</f>
        <v>9</v>
      </c>
      <c r="C33" s="272"/>
      <c r="D33" s="2" t="str">
        <f>"NET PLANT CARRYING CHARGE ON LINE "&amp;B30&amp;" , w/o depreciation or ROE incentives (Note B)"</f>
        <v>NET PLANT CARRYING CHARGE ON LINE 7 , w/o depreciation or ROE incentives (Note B)</v>
      </c>
      <c r="E33" s="267"/>
      <c r="F33" s="272"/>
      <c r="G33" s="272"/>
      <c r="H33" s="272"/>
      <c r="I33" s="292"/>
      <c r="J33" s="292"/>
      <c r="K33" s="292"/>
      <c r="L33" s="293"/>
      <c r="M33" s="267"/>
    </row>
    <row r="34" spans="2:13">
      <c r="B34" s="271">
        <f>B33+1</f>
        <v>10</v>
      </c>
      <c r="C34" s="272"/>
      <c r="D34" s="267" t="s">
        <v>252</v>
      </c>
      <c r="E34" s="267" t="str">
        <f>"( (ln "&amp;B13&amp;" - ln "&amp;B168&amp;" - ln "&amp;B174&amp;" ) /((ln "&amp;$B$91&amp;") x 100) )"</f>
        <v>( (ln 1 - ln 95 - ln 100 ) /((ln 42) x 100) )</v>
      </c>
      <c r="F34" s="272"/>
      <c r="G34" s="272"/>
      <c r="H34" s="272"/>
      <c r="I34" s="292"/>
      <c r="J34" s="292"/>
      <c r="K34" s="292"/>
      <c r="L34" s="293">
        <f>(L13-L168-L174)/L91</f>
        <v>0.11926778702071188</v>
      </c>
      <c r="M34" s="267"/>
    </row>
    <row r="35" spans="2:13">
      <c r="B35" s="271"/>
      <c r="C35" s="272"/>
      <c r="D35" s="267"/>
      <c r="E35" s="267"/>
      <c r="F35" s="272"/>
      <c r="G35" s="272"/>
      <c r="H35" s="272"/>
      <c r="I35" s="292"/>
      <c r="J35" s="292"/>
      <c r="K35" s="292"/>
      <c r="L35" s="293"/>
      <c r="M35" s="267"/>
    </row>
    <row r="36" spans="2:13">
      <c r="B36" s="271">
        <f>B34+1</f>
        <v>11</v>
      </c>
      <c r="C36" s="272"/>
      <c r="D36" s="2" t="str">
        <f>"NET PLANT CARRYING CHARGE ON LINE "&amp;B34&amp;", w/o Return, income taxes or ROE incentives (Note B)"</f>
        <v>NET PLANT CARRYING CHARGE ON LINE 10, w/o Return, income taxes or ROE incentives (Note B)</v>
      </c>
      <c r="E36" s="267"/>
      <c r="F36" s="70"/>
      <c r="G36" s="70"/>
      <c r="H36" s="70"/>
      <c r="I36" s="70"/>
      <c r="J36" s="70"/>
      <c r="K36" s="70"/>
      <c r="L36" s="70"/>
      <c r="M36"/>
    </row>
    <row r="37" spans="2:13">
      <c r="B37" s="271">
        <f>B36+1</f>
        <v>12</v>
      </c>
      <c r="C37" s="272"/>
      <c r="D37" s="267" t="s">
        <v>252</v>
      </c>
      <c r="E37" s="267" t="str">
        <f>"( (ln "&amp;B13&amp;" - ln "&amp;B168&amp;" - ln "&amp;B174&amp;" - ln "&amp;B203&amp;" - ln "&amp;B205&amp;") /((ln "&amp;$B$91&amp;") x 100) )"</f>
        <v>( (ln 1 - ln 95 - ln 100 - ln 125 - ln 126) /((ln 42) x 100) )</v>
      </c>
      <c r="F37" s="70"/>
      <c r="G37" s="70"/>
      <c r="H37" s="70"/>
      <c r="I37" s="70"/>
      <c r="J37" s="70"/>
      <c r="K37" s="70"/>
      <c r="L37" s="294">
        <f>(L13-L168-L174-L203-L205)/L91</f>
        <v>3.9775683780487535E-2</v>
      </c>
      <c r="M37"/>
    </row>
    <row r="38" spans="2:13">
      <c r="B38" s="271"/>
      <c r="C38" s="272"/>
      <c r="D38" s="267"/>
      <c r="E38" s="267"/>
      <c r="F38" s="272"/>
      <c r="G38" s="272"/>
      <c r="H38" s="272"/>
      <c r="I38" s="292"/>
      <c r="J38" s="292"/>
      <c r="K38" s="292"/>
      <c r="L38" s="293"/>
      <c r="M38" s="295"/>
    </row>
    <row r="39" spans="2:13">
      <c r="B39" s="271">
        <f>B37+1</f>
        <v>13</v>
      </c>
      <c r="C39" s="272"/>
      <c r="D39" s="2" t="s">
        <v>593</v>
      </c>
      <c r="E39" s="267"/>
      <c r="F39" s="272"/>
      <c r="G39" s="272"/>
      <c r="H39" s="272"/>
      <c r="I39" s="292"/>
      <c r="J39" s="292"/>
      <c r="K39" s="292"/>
      <c r="L39" s="296"/>
      <c r="M39" s="267"/>
    </row>
    <row r="40" spans="2:13">
      <c r="B40" s="271"/>
      <c r="C40" s="272"/>
      <c r="E40" s="267"/>
      <c r="F40" s="272"/>
      <c r="G40" s="272"/>
      <c r="H40" s="272"/>
      <c r="I40" s="292"/>
      <c r="J40" s="292"/>
      <c r="K40" s="292"/>
      <c r="L40" s="293"/>
      <c r="M40" s="267"/>
    </row>
    <row r="41" spans="2:13">
      <c r="B41" s="263"/>
      <c r="C41" s="272"/>
      <c r="E41" s="267"/>
      <c r="F41" s="272"/>
      <c r="G41" s="272"/>
      <c r="H41" s="272"/>
      <c r="I41" s="292"/>
      <c r="J41" s="292"/>
      <c r="K41" s="292"/>
      <c r="L41" s="293"/>
      <c r="M41" s="267"/>
    </row>
    <row r="42" spans="2:13">
      <c r="B42" s="271">
        <f>+B39+1</f>
        <v>14</v>
      </c>
      <c r="C42" s="272"/>
      <c r="D42" s="1163" t="s">
        <v>434</v>
      </c>
      <c r="E42" s="1163"/>
      <c r="F42" s="1163"/>
      <c r="G42" s="1163"/>
      <c r="H42" s="1163"/>
      <c r="I42" s="1163"/>
      <c r="J42" s="1163"/>
      <c r="K42" s="1163"/>
      <c r="L42" s="1163"/>
      <c r="M42" s="267"/>
    </row>
    <row r="43" spans="2:13">
      <c r="B43" s="271"/>
      <c r="C43" s="272"/>
      <c r="E43" s="267"/>
      <c r="F43" s="272"/>
      <c r="G43" s="272"/>
      <c r="H43" s="272"/>
      <c r="I43" s="292"/>
      <c r="J43" s="292"/>
      <c r="K43" s="292"/>
      <c r="L43" s="293"/>
      <c r="M43" s="267"/>
    </row>
    <row r="44" spans="2:13">
      <c r="B44" s="271">
        <f>+B42+1</f>
        <v>15</v>
      </c>
      <c r="C44" s="272"/>
      <c r="D44" s="2" t="s">
        <v>436</v>
      </c>
      <c r="E44" s="267" t="str">
        <f>"Line "&amp;B146&amp;" Below"</f>
        <v>Line 75 Below</v>
      </c>
      <c r="F44" s="272"/>
      <c r="H44" s="272"/>
      <c r="I44" s="292"/>
      <c r="J44" s="292"/>
      <c r="K44" s="292"/>
      <c r="L44" s="297">
        <f>+G146</f>
        <v>2177193.7139449101</v>
      </c>
      <c r="M44" s="267"/>
    </row>
    <row r="45" spans="2:13">
      <c r="B45" s="271">
        <f>+B44+1</f>
        <v>16</v>
      </c>
      <c r="C45" s="272"/>
      <c r="D45" s="2" t="s">
        <v>474</v>
      </c>
      <c r="E45" s="267"/>
      <c r="F45" s="272"/>
      <c r="H45" s="272"/>
      <c r="I45" s="292"/>
      <c r="J45" s="292"/>
      <c r="K45" s="292"/>
      <c r="L45" s="643">
        <f>'WS F Misc Exp'!D28</f>
        <v>1400744.43728405</v>
      </c>
      <c r="M45" s="267"/>
    </row>
    <row r="46" spans="2:13">
      <c r="B46" s="271">
        <f>+B45+1</f>
        <v>17</v>
      </c>
      <c r="C46" s="272"/>
      <c r="D46" s="2" t="s">
        <v>475</v>
      </c>
      <c r="E46" s="267"/>
      <c r="F46" s="272"/>
      <c r="H46" s="272"/>
      <c r="I46" s="292"/>
      <c r="J46" s="292"/>
      <c r="K46" s="292"/>
      <c r="L46" s="643">
        <f>'WS F Misc Exp'!D32</f>
        <v>367280.1166116675</v>
      </c>
      <c r="M46" s="267"/>
    </row>
    <row r="47" spans="2:13">
      <c r="B47" s="271"/>
      <c r="C47" s="272"/>
      <c r="E47" s="267"/>
      <c r="F47" s="272"/>
      <c r="H47" s="272"/>
      <c r="I47" s="292"/>
      <c r="J47" s="292"/>
      <c r="K47" s="292"/>
      <c r="L47" s="272"/>
      <c r="M47" s="267"/>
    </row>
    <row r="48" spans="2:13" ht="16" thickBot="1">
      <c r="B48" s="271">
        <f>+B46+1</f>
        <v>18</v>
      </c>
      <c r="C48" s="272"/>
      <c r="D48" s="2" t="s">
        <v>435</v>
      </c>
      <c r="E48" s="279" t="str">
        <f>"(Line "&amp;B44&amp;" - Line "&amp;B45&amp;" - Line "&amp;B46&amp;")"</f>
        <v>(Line 15 - Line 16 - Line 17)</v>
      </c>
      <c r="F48" s="272"/>
      <c r="H48" s="272"/>
      <c r="I48" s="292"/>
      <c r="J48" s="292"/>
      <c r="K48" s="292"/>
      <c r="L48" s="298">
        <f>+L44-L45-L46</f>
        <v>409169.16004919255</v>
      </c>
      <c r="M48" s="267"/>
    </row>
    <row r="49" spans="2:16" ht="16" thickTop="1">
      <c r="B49" s="271"/>
      <c r="C49" s="272"/>
      <c r="E49" s="267"/>
      <c r="F49" s="272"/>
      <c r="G49" s="272"/>
      <c r="H49" s="272"/>
      <c r="I49" s="292"/>
      <c r="J49" s="292"/>
      <c r="K49" s="292"/>
      <c r="L49" s="293"/>
      <c r="M49" s="267"/>
    </row>
    <row r="50" spans="2:16">
      <c r="B50" s="271"/>
      <c r="C50" s="272"/>
      <c r="E50" s="267"/>
      <c r="F50" s="272"/>
      <c r="G50" s="272"/>
      <c r="H50" s="272"/>
      <c r="I50" s="292"/>
      <c r="J50" s="292"/>
      <c r="K50" s="292"/>
      <c r="L50" s="293"/>
      <c r="M50" s="267"/>
    </row>
    <row r="51" spans="2:16">
      <c r="B51" s="271"/>
      <c r="C51" s="272"/>
      <c r="E51" s="267"/>
      <c r="F51" s="272"/>
      <c r="G51" s="272"/>
      <c r="H51" s="272"/>
      <c r="I51" s="292"/>
      <c r="J51" s="292"/>
      <c r="K51" s="292"/>
      <c r="L51" s="293"/>
      <c r="M51" s="267"/>
    </row>
    <row r="52" spans="2:16">
      <c r="D52" s="267"/>
      <c r="E52" s="267"/>
      <c r="G52" s="279"/>
      <c r="H52" s="267"/>
      <c r="I52" s="267"/>
      <c r="J52" s="267"/>
      <c r="K52" s="267"/>
      <c r="L52" s="267"/>
      <c r="M52" s="299"/>
    </row>
    <row r="53" spans="2:16">
      <c r="D53" s="267"/>
      <c r="E53" s="267"/>
      <c r="F53" s="272"/>
      <c r="G53" s="279"/>
      <c r="H53" s="267"/>
      <c r="I53" s="267"/>
      <c r="J53" s="267"/>
      <c r="K53" s="267"/>
      <c r="L53" s="267"/>
      <c r="M53" s="299"/>
      <c r="P53" s="300"/>
    </row>
    <row r="54" spans="2:16">
      <c r="D54" s="267"/>
      <c r="E54" s="267"/>
      <c r="F54" s="272" t="str">
        <f>F5</f>
        <v xml:space="preserve">AEP East Companies </v>
      </c>
      <c r="G54" s="279"/>
      <c r="H54" s="267"/>
      <c r="I54" s="267"/>
      <c r="J54" s="267"/>
      <c r="K54" s="267"/>
      <c r="L54" s="267"/>
      <c r="M54" s="299"/>
      <c r="P54" s="300"/>
    </row>
    <row r="55" spans="2:16">
      <c r="D55" s="267"/>
      <c r="E55" s="270"/>
      <c r="F55" s="272" t="str">
        <f>F6</f>
        <v>Transmission Cost of Service Formula Rate</v>
      </c>
      <c r="G55" s="270"/>
      <c r="H55" s="270"/>
      <c r="I55" s="270"/>
      <c r="J55" s="270"/>
      <c r="K55" s="270"/>
      <c r="L55" s="270"/>
      <c r="M55" s="301"/>
      <c r="P55" s="296"/>
    </row>
    <row r="56" spans="2:16">
      <c r="D56" s="267"/>
      <c r="E56" s="270"/>
      <c r="F56" s="284" t="str">
        <f>F7</f>
        <v>Utilizing  Actual/Projected FERC Form 1 Data</v>
      </c>
      <c r="G56" s="270"/>
      <c r="H56" s="270"/>
      <c r="I56" s="270"/>
      <c r="J56" s="270"/>
      <c r="K56" s="270"/>
      <c r="L56" s="270"/>
      <c r="M56" s="302"/>
      <c r="P56" s="296"/>
    </row>
    <row r="57" spans="2:16">
      <c r="D57" s="267"/>
      <c r="E57" s="270"/>
      <c r="F57" s="272"/>
      <c r="G57" s="270"/>
      <c r="H57" s="270"/>
      <c r="I57" s="270"/>
      <c r="J57" s="270"/>
      <c r="K57" s="270"/>
      <c r="L57" s="270"/>
      <c r="M57" s="270"/>
      <c r="P57" s="296"/>
    </row>
    <row r="58" spans="2:16">
      <c r="D58" s="267"/>
      <c r="E58" s="270"/>
      <c r="F58" s="272" t="str">
        <f>F9</f>
        <v>KENTUCKY POWER COMPANY</v>
      </c>
      <c r="G58" s="270"/>
      <c r="H58" s="270"/>
      <c r="I58" s="270"/>
      <c r="J58" s="270"/>
      <c r="K58" s="270"/>
      <c r="L58" s="270"/>
      <c r="M58" s="270"/>
      <c r="P58" s="296"/>
    </row>
    <row r="59" spans="2:16">
      <c r="D59" s="267"/>
      <c r="E59" s="284"/>
      <c r="F59" s="284"/>
      <c r="G59" s="284"/>
      <c r="H59" s="284"/>
      <c r="I59" s="284"/>
      <c r="J59" s="284"/>
      <c r="K59" s="284"/>
      <c r="L59" s="270"/>
      <c r="M59" s="270"/>
      <c r="P59" s="296"/>
    </row>
    <row r="60" spans="2:16">
      <c r="D60" s="272" t="s">
        <v>123</v>
      </c>
      <c r="E60" s="272" t="s">
        <v>124</v>
      </c>
      <c r="F60" s="272"/>
      <c r="G60" s="272" t="s">
        <v>125</v>
      </c>
      <c r="H60" s="270" t="s">
        <v>116</v>
      </c>
      <c r="I60" s="1158" t="s">
        <v>126</v>
      </c>
      <c r="J60" s="1159"/>
      <c r="K60" s="270"/>
      <c r="L60" s="273" t="s">
        <v>127</v>
      </c>
      <c r="M60" s="270"/>
    </row>
    <row r="61" spans="2:16">
      <c r="B61" s="263"/>
      <c r="D61" s="70"/>
      <c r="E61" s="70"/>
      <c r="F61" s="70"/>
      <c r="G61" s="297"/>
      <c r="H61" s="270"/>
      <c r="I61" s="270"/>
      <c r="J61" s="304"/>
      <c r="K61" s="270"/>
      <c r="M61" s="270"/>
    </row>
    <row r="62" spans="2:16">
      <c r="B62" s="305"/>
      <c r="C62" s="272"/>
      <c r="D62" s="70"/>
      <c r="E62" s="306" t="s">
        <v>96</v>
      </c>
      <c r="F62" s="307"/>
      <c r="G62" s="270"/>
      <c r="H62" s="270"/>
      <c r="I62" s="270"/>
      <c r="J62" s="272"/>
      <c r="K62" s="270"/>
      <c r="L62" s="308" t="s">
        <v>120</v>
      </c>
      <c r="M62" s="270"/>
      <c r="P62" s="300"/>
    </row>
    <row r="63" spans="2:16">
      <c r="B63" s="263"/>
      <c r="C63" s="272"/>
      <c r="D63" s="309" t="s">
        <v>95</v>
      </c>
      <c r="E63" s="310" t="s">
        <v>114</v>
      </c>
      <c r="F63" s="270"/>
      <c r="G63" s="309" t="s">
        <v>82</v>
      </c>
      <c r="H63" s="311"/>
      <c r="I63" s="1160" t="s">
        <v>121</v>
      </c>
      <c r="J63" s="1161"/>
      <c r="K63" s="311"/>
      <c r="L63" s="309" t="s">
        <v>117</v>
      </c>
      <c r="M63" s="270"/>
    </row>
    <row r="64" spans="2:16">
      <c r="B64" s="271" t="str">
        <f>B11</f>
        <v>Line</v>
      </c>
      <c r="C64" s="272"/>
      <c r="D64" s="267"/>
      <c r="E64" s="270"/>
      <c r="F64" s="270"/>
      <c r="G64" s="866" t="s">
        <v>356</v>
      </c>
      <c r="H64" s="270"/>
      <c r="I64" s="270"/>
      <c r="J64" s="270"/>
      <c r="K64" s="270"/>
      <c r="L64" s="270"/>
      <c r="M64" s="270"/>
    </row>
    <row r="65" spans="2:15" ht="16" thickBot="1">
      <c r="B65" s="277" t="str">
        <f>B12</f>
        <v>No.</v>
      </c>
      <c r="C65" s="272"/>
      <c r="D65" s="267" t="s">
        <v>83</v>
      </c>
      <c r="E65" s="284"/>
      <c r="F65" s="284"/>
      <c r="G65" s="270"/>
      <c r="H65" s="270"/>
      <c r="I65" s="284"/>
      <c r="J65" s="270"/>
      <c r="K65" s="270"/>
      <c r="L65" s="270"/>
      <c r="M65" s="270"/>
    </row>
    <row r="66" spans="2:15">
      <c r="B66" s="271">
        <f>+B48+1</f>
        <v>19</v>
      </c>
      <c r="C66" s="272"/>
      <c r="D66" s="267" t="s">
        <v>128</v>
      </c>
      <c r="E66" s="270" t="str">
        <f>"(Worksheet A ln "&amp;'WS A - RB Support'!A23&amp;"."&amp;'WS A - RB Support'!C8&amp;")"</f>
        <v>(Worksheet A ln 14.(b))</v>
      </c>
      <c r="F66" s="270"/>
      <c r="G66" s="283">
        <f>'WS A - RB Support'!C23</f>
        <v>1243676702.6611726</v>
      </c>
      <c r="H66" s="283"/>
      <c r="I66" s="284" t="s">
        <v>129</v>
      </c>
      <c r="J66" s="285">
        <v>0</v>
      </c>
      <c r="K66" s="270"/>
      <c r="L66" s="312">
        <f>+J66*G66</f>
        <v>0</v>
      </c>
      <c r="M66" s="270"/>
    </row>
    <row r="67" spans="2:15">
      <c r="B67" s="271">
        <f>+B66+1</f>
        <v>20</v>
      </c>
      <c r="C67" s="272"/>
      <c r="D67" s="267" t="s">
        <v>379</v>
      </c>
      <c r="E67" s="270" t="str">
        <f>"(Worksheet A ln "&amp;'WS A - RB Support'!A23&amp;"."&amp;'WS A - RB Support'!D8&amp;")"</f>
        <v>(Worksheet A ln 14.(c))</v>
      </c>
      <c r="F67" s="270"/>
      <c r="G67" s="312">
        <f>-'WS A - RB Support'!D23</f>
        <v>-11122504.282873355</v>
      </c>
      <c r="H67" s="283"/>
      <c r="I67" s="284" t="s">
        <v>129</v>
      </c>
      <c r="J67" s="285">
        <v>0</v>
      </c>
      <c r="K67" s="270"/>
      <c r="L67" s="312">
        <f>+J67*G67</f>
        <v>0</v>
      </c>
      <c r="M67" s="270"/>
    </row>
    <row r="68" spans="2:15">
      <c r="B68" s="271">
        <f t="shared" ref="B68:B74" si="0">+B67+1</f>
        <v>21</v>
      </c>
      <c r="C68" s="325"/>
      <c r="D68" s="313" t="s">
        <v>130</v>
      </c>
      <c r="E68" s="270" t="str">
        <f>"(Worksheet A ln "&amp;'WS A - RB Support'!A23&amp;"."&amp;'WS A - RB Support'!E8&amp;" &amp; TCOS Ln "&amp;B229&amp;")"</f>
        <v>(Worksheet A ln 14.(d) &amp; TCOS Ln 134)</v>
      </c>
      <c r="F68" s="314"/>
      <c r="G68" s="283">
        <f>'WS A - RB Support'!E23</f>
        <v>885254323.38911378</v>
      </c>
      <c r="H68" s="283"/>
      <c r="I68" s="315" t="s">
        <v>131</v>
      </c>
      <c r="J68" s="285" t="s">
        <v>116</v>
      </c>
      <c r="K68" s="316"/>
      <c r="L68" s="312">
        <f>+L229</f>
        <v>872265686.31911373</v>
      </c>
      <c r="M68" s="316"/>
    </row>
    <row r="69" spans="2:15">
      <c r="B69" s="271">
        <f t="shared" si="0"/>
        <v>22</v>
      </c>
      <c r="C69" s="325"/>
      <c r="D69" s="267" t="s">
        <v>380</v>
      </c>
      <c r="E69" s="270" t="str">
        <f>"(Worksheet A ln "&amp;'WS A - RB Support'!A23&amp;"."&amp;'WS A - RB Support'!F8&amp;")"</f>
        <v>(Worksheet A ln 14.(e))</v>
      </c>
      <c r="F69" s="314"/>
      <c r="G69" s="283">
        <f>-'WS A - RB Support'!F23</f>
        <v>0</v>
      </c>
      <c r="H69" s="283"/>
      <c r="I69" s="315" t="s">
        <v>122</v>
      </c>
      <c r="J69" s="285">
        <f>L231</f>
        <v>0.98532779030067397</v>
      </c>
      <c r="K69" s="316"/>
      <c r="L69" s="312">
        <f>+G69*J69</f>
        <v>0</v>
      </c>
      <c r="M69" s="316"/>
    </row>
    <row r="70" spans="2:15">
      <c r="B70" s="271">
        <f>+B69+1</f>
        <v>23</v>
      </c>
      <c r="C70" s="325"/>
      <c r="D70" s="267" t="s">
        <v>132</v>
      </c>
      <c r="E70" s="270" t="str">
        <f>"(Worksheet A ln "&amp;'WS A - RB Support'!A23&amp;"."&amp;'WS A - RB Support'!G8&amp;")"</f>
        <v>(Worksheet A ln 14.(f))</v>
      </c>
      <c r="F70" s="270"/>
      <c r="G70" s="283">
        <f>'WS A - RB Support'!G23</f>
        <v>1158974569.0029016</v>
      </c>
      <c r="H70" s="283"/>
      <c r="I70" s="284" t="s">
        <v>129</v>
      </c>
      <c r="J70" s="285">
        <v>0</v>
      </c>
      <c r="K70" s="270"/>
      <c r="L70" s="312">
        <f>+J70*G70</f>
        <v>0</v>
      </c>
      <c r="M70" s="270"/>
    </row>
    <row r="71" spans="2:15">
      <c r="B71" s="271">
        <f t="shared" si="0"/>
        <v>24</v>
      </c>
      <c r="C71" s="325"/>
      <c r="D71" s="267" t="s">
        <v>377</v>
      </c>
      <c r="E71" s="270" t="str">
        <f>"(Worksheet A ln "&amp;'WS A - RB Support'!A23&amp;"."&amp;'WS A - RB Support'!H8&amp;")"</f>
        <v>(Worksheet A ln 14.(g))</v>
      </c>
      <c r="F71" s="270"/>
      <c r="G71" s="312">
        <f>-'WS A - RB Support'!H23</f>
        <v>0</v>
      </c>
      <c r="H71" s="283"/>
      <c r="I71" s="284" t="s">
        <v>129</v>
      </c>
      <c r="J71" s="285">
        <v>0</v>
      </c>
      <c r="K71" s="270"/>
      <c r="L71" s="312">
        <f>+G71*J71</f>
        <v>0</v>
      </c>
      <c r="M71" s="270"/>
    </row>
    <row r="72" spans="2:15">
      <c r="B72" s="271">
        <f t="shared" si="0"/>
        <v>25</v>
      </c>
      <c r="C72" s="325"/>
      <c r="D72" s="267" t="s">
        <v>133</v>
      </c>
      <c r="E72" s="270" t="str">
        <f>"(Worksheet A ln "&amp;'WS A - RB Support'!A23&amp;"."&amp;'WS A - RB Support'!I8&amp;")"</f>
        <v>(Worksheet A ln 14.(h))</v>
      </c>
      <c r="F72" s="270"/>
      <c r="G72" s="283">
        <f>'WS A - RB Support'!I23</f>
        <v>113496627.95390271</v>
      </c>
      <c r="H72" s="283"/>
      <c r="I72" s="284" t="s">
        <v>134</v>
      </c>
      <c r="J72" s="285">
        <f>L241</f>
        <v>9.849346063238712E-2</v>
      </c>
      <c r="K72" s="270"/>
      <c r="L72" s="312">
        <f>+J72*G72</f>
        <v>11178675.657286404</v>
      </c>
      <c r="M72" s="270"/>
    </row>
    <row r="73" spans="2:15">
      <c r="B73" s="271">
        <f t="shared" si="0"/>
        <v>26</v>
      </c>
      <c r="C73" s="325"/>
      <c r="D73" s="267" t="s">
        <v>378</v>
      </c>
      <c r="E73" s="270" t="str">
        <f>"(Worksheet A ln "&amp;'WS A - RB Support'!A23&amp;"."&amp;'WS A - RB Support'!J8&amp;")"</f>
        <v>(Worksheet A ln 14.(i))</v>
      </c>
      <c r="F73" s="270"/>
      <c r="G73" s="312">
        <f>-'WS A - RB Support'!J23</f>
        <v>-158819.17999999996</v>
      </c>
      <c r="H73" s="283"/>
      <c r="I73" s="284" t="s">
        <v>134</v>
      </c>
      <c r="J73" s="285">
        <f>L241</f>
        <v>9.849346063238712E-2</v>
      </c>
      <c r="K73" s="270"/>
      <c r="L73" s="312">
        <f>+G73*J73</f>
        <v>-15642.650652998</v>
      </c>
      <c r="M73" s="270"/>
    </row>
    <row r="74" spans="2:15" ht="16" thickBot="1">
      <c r="B74" s="271">
        <f t="shared" si="0"/>
        <v>27</v>
      </c>
      <c r="C74" s="325"/>
      <c r="D74" s="267" t="s">
        <v>135</v>
      </c>
      <c r="E74" s="270" t="str">
        <f>"(Worksheet A ln "&amp;'WS A - RB Support'!A23&amp;"."&amp;'WS A - RB Support'!K8&amp;")"</f>
        <v>(Worksheet A ln 14.(j))</v>
      </c>
      <c r="F74" s="270"/>
      <c r="G74" s="318">
        <f>'WS A - RB Support'!K23</f>
        <v>60088763.97024481</v>
      </c>
      <c r="H74" s="283"/>
      <c r="I74" s="284" t="s">
        <v>134</v>
      </c>
      <c r="J74" s="285">
        <f>L241</f>
        <v>9.849346063238712E-2</v>
      </c>
      <c r="K74" s="270"/>
      <c r="L74" s="373">
        <f>+J74*G74</f>
        <v>5918350.3085521087</v>
      </c>
      <c r="M74" s="270"/>
      <c r="N74" s="267"/>
      <c r="O74" s="267"/>
    </row>
    <row r="75" spans="2:15">
      <c r="B75" s="271">
        <f>+B74+1</f>
        <v>28</v>
      </c>
      <c r="C75" s="325"/>
      <c r="D75" s="267" t="s">
        <v>48</v>
      </c>
      <c r="E75" s="272" t="str">
        <f>"(sum lns "&amp;B66&amp;" to "&amp;B74&amp;")"</f>
        <v>(sum lns 19 to 27)</v>
      </c>
      <c r="F75" s="4"/>
      <c r="G75" s="283">
        <f>SUM(G66:G74)</f>
        <v>3450209663.5144625</v>
      </c>
      <c r="H75" s="283"/>
      <c r="I75" s="306" t="s">
        <v>759</v>
      </c>
      <c r="J75" s="319">
        <f>+L75/G75</f>
        <v>0.25776609434465209</v>
      </c>
      <c r="K75" s="270"/>
      <c r="L75" s="283">
        <f>SUM(L66:L74)</f>
        <v>889347069.63429928</v>
      </c>
      <c r="M75" s="270"/>
      <c r="N75" s="267"/>
      <c r="O75" s="267"/>
    </row>
    <row r="76" spans="2:15">
      <c r="B76" s="271"/>
      <c r="C76" s="272"/>
      <c r="D76" s="267"/>
      <c r="E76" s="79"/>
      <c r="F76" s="4"/>
      <c r="G76" s="283"/>
      <c r="H76" s="283"/>
      <c r="I76" s="307" t="s">
        <v>218</v>
      </c>
      <c r="J76" s="320">
        <f>+L68/(G70+G68+G71)</f>
        <v>0.42669668233602193</v>
      </c>
      <c r="K76" s="270"/>
      <c r="L76" s="283"/>
      <c r="M76" s="270"/>
      <c r="N76" s="321"/>
      <c r="O76" s="267"/>
    </row>
    <row r="77" spans="2:15">
      <c r="B77" s="271">
        <f>+B75+1</f>
        <v>29</v>
      </c>
      <c r="C77" s="272"/>
      <c r="D77" s="267" t="s">
        <v>24</v>
      </c>
      <c r="E77" s="284"/>
      <c r="F77" s="284"/>
      <c r="G77" s="283"/>
      <c r="H77" s="322"/>
      <c r="I77" s="284"/>
      <c r="J77" s="323"/>
      <c r="K77" s="270"/>
      <c r="L77" s="283"/>
      <c r="M77" s="270"/>
      <c r="N77" s="270"/>
      <c r="O77" s="270"/>
    </row>
    <row r="78" spans="2:15">
      <c r="B78" s="271">
        <f>+B77+1</f>
        <v>30</v>
      </c>
      <c r="C78" s="272"/>
      <c r="D78" s="267" t="str">
        <f>+D66</f>
        <v xml:space="preserve">  Production</v>
      </c>
      <c r="E78" s="270" t="str">
        <f>"(Worksheet A ln "&amp;'WS A - RB Support'!A42&amp;"."&amp;'WS A - RB Support'!C27&amp;")"</f>
        <v>(Worksheet A ln 28.(b))</v>
      </c>
      <c r="F78" s="270"/>
      <c r="G78" s="283">
        <f>'WS A - RB Support'!C42</f>
        <v>631255730.35401237</v>
      </c>
      <c r="H78" s="283"/>
      <c r="I78" s="284" t="s">
        <v>129</v>
      </c>
      <c r="J78" s="285">
        <v>0</v>
      </c>
      <c r="K78" s="270"/>
      <c r="L78" s="312">
        <f>+J78*G78</f>
        <v>0</v>
      </c>
      <c r="M78" s="270"/>
      <c r="N78" s="270"/>
      <c r="O78" s="270"/>
    </row>
    <row r="79" spans="2:15">
      <c r="B79" s="271">
        <f t="shared" ref="B79:B87" si="1">+B78+1</f>
        <v>31</v>
      </c>
      <c r="C79" s="272"/>
      <c r="D79" s="267" t="s">
        <v>379</v>
      </c>
      <c r="E79" s="270" t="str">
        <f>"(Worksheet A ln "&amp;'WS A - RB Support'!A42&amp;"."&amp;'WS A - RB Support'!D27&amp;")"</f>
        <v>(Worksheet A ln 28.(c))</v>
      </c>
      <c r="F79" s="270"/>
      <c r="G79" s="312">
        <f>-'WS A - RB Support'!D42</f>
        <v>-7110179.0481741624</v>
      </c>
      <c r="H79" s="283"/>
      <c r="I79" s="284" t="s">
        <v>129</v>
      </c>
      <c r="J79" s="285">
        <v>0</v>
      </c>
      <c r="K79" s="270"/>
      <c r="L79" s="312">
        <f>+J79*G79</f>
        <v>0</v>
      </c>
      <c r="M79" s="270"/>
      <c r="N79" s="270"/>
      <c r="O79" s="270"/>
    </row>
    <row r="80" spans="2:15">
      <c r="B80" s="271">
        <f t="shared" si="1"/>
        <v>32</v>
      </c>
      <c r="C80" s="325"/>
      <c r="D80" s="313" t="str">
        <f>D68</f>
        <v xml:space="preserve">  Transmission</v>
      </c>
      <c r="E80" s="270" t="str">
        <f>"(Worksheet A ln "&amp;'WS A - RB Support'!A42&amp;"."&amp;'WS A - RB Support'!E27&amp;" &amp; "&amp;"ln "&amp;'WS A - RB Support'!A64&amp;"."&amp;'WS A - RB Support'!D47&amp;")"</f>
        <v>(Worksheet A ln 28.(d) &amp; ln 43.(c))</v>
      </c>
      <c r="F80" s="314"/>
      <c r="G80" s="317">
        <f>'WS A - RB Support'!E42</f>
        <v>283003573.74451727</v>
      </c>
      <c r="H80" s="283"/>
      <c r="I80" s="865" t="s">
        <v>27</v>
      </c>
      <c r="J80" s="324">
        <f>L80/G80</f>
        <v>0.97657036179168522</v>
      </c>
      <c r="K80" s="316"/>
      <c r="L80" s="312">
        <f>'WS A - RB Support'!D64</f>
        <v>276372902.4000231</v>
      </c>
      <c r="M80" s="316"/>
      <c r="N80" s="270"/>
      <c r="O80" s="270"/>
    </row>
    <row r="81" spans="2:15">
      <c r="B81" s="271">
        <f t="shared" si="1"/>
        <v>33</v>
      </c>
      <c r="C81" s="325"/>
      <c r="D81" s="267" t="s">
        <v>380</v>
      </c>
      <c r="E81" s="270" t="str">
        <f>"(Worksheet A ln "&amp;'WS A - RB Support'!A42&amp;"."&amp;'WS A - RB Support'!F27&amp;")"</f>
        <v>(Worksheet A ln 28.(e))</v>
      </c>
      <c r="F81" s="314"/>
      <c r="G81" s="312">
        <f>-'WS A - RB Support'!F42</f>
        <v>0</v>
      </c>
      <c r="H81" s="283"/>
      <c r="I81" s="865" t="s">
        <v>27</v>
      </c>
      <c r="J81" s="285">
        <f>+J80</f>
        <v>0.97657036179168522</v>
      </c>
      <c r="K81" s="316"/>
      <c r="L81" s="312">
        <f t="shared" ref="L81:L86" si="2">+J81*G81</f>
        <v>0</v>
      </c>
      <c r="M81" s="316"/>
      <c r="N81" s="270"/>
      <c r="O81" s="270"/>
    </row>
    <row r="82" spans="2:15">
      <c r="B82" s="271">
        <f>+B81+1</f>
        <v>34</v>
      </c>
      <c r="C82" s="325"/>
      <c r="D82" s="267" t="str">
        <f>+D70</f>
        <v xml:space="preserve">  Distribution</v>
      </c>
      <c r="E82" s="270" t="str">
        <f>"(Worksheet A ln "&amp;'WS A - RB Support'!A42&amp;"."&amp;'WS A - RB Support'!G27&amp;")"</f>
        <v>(Worksheet A ln 28.(f))</v>
      </c>
      <c r="F82" s="270"/>
      <c r="G82" s="283">
        <f>'WS A - RB Support'!G42</f>
        <v>359667444.13316971</v>
      </c>
      <c r="H82" s="283"/>
      <c r="I82" s="284" t="s">
        <v>129</v>
      </c>
      <c r="J82" s="285">
        <v>0</v>
      </c>
      <c r="K82" s="270"/>
      <c r="L82" s="312">
        <f t="shared" si="2"/>
        <v>0</v>
      </c>
      <c r="M82" s="270"/>
      <c r="N82" s="270"/>
      <c r="O82" s="270"/>
    </row>
    <row r="83" spans="2:15">
      <c r="B83" s="271">
        <f t="shared" si="1"/>
        <v>35</v>
      </c>
      <c r="C83" s="325"/>
      <c r="D83" s="267" t="s">
        <v>377</v>
      </c>
      <c r="E83" s="270" t="str">
        <f>"(Worksheet A ln "&amp;'WS A - RB Support'!A42&amp;"."&amp;'WS A - RB Support'!H27&amp;")"</f>
        <v>(Worksheet A ln 28.(g))</v>
      </c>
      <c r="F83" s="270"/>
      <c r="G83" s="312">
        <f>-'WS A - RB Support'!H42</f>
        <v>0</v>
      </c>
      <c r="H83" s="283"/>
      <c r="I83" s="284" t="s">
        <v>129</v>
      </c>
      <c r="J83" s="285">
        <v>0</v>
      </c>
      <c r="K83" s="270"/>
      <c r="L83" s="312">
        <f t="shared" si="2"/>
        <v>0</v>
      </c>
      <c r="M83" s="270"/>
      <c r="N83" s="270"/>
      <c r="O83" s="270"/>
    </row>
    <row r="84" spans="2:15">
      <c r="B84" s="271">
        <f t="shared" si="1"/>
        <v>36</v>
      </c>
      <c r="C84" s="325"/>
      <c r="D84" s="267" t="str">
        <f>+D72</f>
        <v xml:space="preserve">  General Plant   </v>
      </c>
      <c r="E84" s="270" t="str">
        <f>"(Worksheet A ln "&amp;'WS A - RB Support'!A42&amp;"."&amp;'WS A - RB Support'!I27&amp;")"</f>
        <v>(Worksheet A ln 28.(h))</v>
      </c>
      <c r="F84" s="270"/>
      <c r="G84" s="283">
        <f>'WS A - RB Support'!I42</f>
        <v>31274475.761530392</v>
      </c>
      <c r="H84" s="283"/>
      <c r="I84" s="284" t="s">
        <v>134</v>
      </c>
      <c r="J84" s="285">
        <f>L241</f>
        <v>9.849346063238712E-2</v>
      </c>
      <c r="K84" s="270"/>
      <c r="L84" s="312">
        <f t="shared" si="2"/>
        <v>3080331.347216839</v>
      </c>
      <c r="M84" s="270"/>
      <c r="N84" s="270"/>
      <c r="O84" s="270"/>
    </row>
    <row r="85" spans="2:15">
      <c r="B85" s="271">
        <f t="shared" si="1"/>
        <v>37</v>
      </c>
      <c r="C85" s="325"/>
      <c r="D85" s="267" t="s">
        <v>378</v>
      </c>
      <c r="E85" s="270" t="str">
        <f>"(Worksheet A ln "&amp;'WS A - RB Support'!A42&amp;"."&amp;'WS A - RB Support'!J27&amp;")"</f>
        <v>(Worksheet A ln 28.(i))</v>
      </c>
      <c r="F85" s="270"/>
      <c r="G85" s="312">
        <f>-'WS A - RB Support'!J42</f>
        <v>-102246.92000000001</v>
      </c>
      <c r="H85" s="283"/>
      <c r="I85" s="284" t="s">
        <v>134</v>
      </c>
      <c r="J85" s="285">
        <f>L241</f>
        <v>9.849346063238712E-2</v>
      </c>
      <c r="K85" s="270"/>
      <c r="L85" s="312">
        <f t="shared" si="2"/>
        <v>-10070.652989802837</v>
      </c>
      <c r="M85" s="270"/>
      <c r="N85" s="270"/>
      <c r="O85" s="270"/>
    </row>
    <row r="86" spans="2:15" ht="16" thickBot="1">
      <c r="B86" s="271">
        <f t="shared" si="1"/>
        <v>38</v>
      </c>
      <c r="C86" s="325"/>
      <c r="D86" s="267" t="str">
        <f>+D74</f>
        <v xml:space="preserve">  Intangible Plant</v>
      </c>
      <c r="E86" s="270" t="str">
        <f>"(Worksheet A ln "&amp;'WS A - RB Support'!A42&amp;"."&amp;'WS A - RB Support'!K27&amp;")"</f>
        <v>(Worksheet A ln 28.(j))</v>
      </c>
      <c r="F86" s="270"/>
      <c r="G86" s="318">
        <f>'WS A - RB Support'!K42</f>
        <v>33319154.067319237</v>
      </c>
      <c r="H86" s="283"/>
      <c r="I86" s="284" t="s">
        <v>134</v>
      </c>
      <c r="J86" s="285">
        <f>L241</f>
        <v>9.849346063238712E-2</v>
      </c>
      <c r="K86" s="270"/>
      <c r="L86" s="373">
        <f t="shared" si="2"/>
        <v>3281718.7894339482</v>
      </c>
      <c r="M86" s="270"/>
      <c r="N86" s="270"/>
      <c r="O86" s="270"/>
    </row>
    <row r="87" spans="2:15">
      <c r="B87" s="271">
        <f t="shared" si="1"/>
        <v>39</v>
      </c>
      <c r="C87" s="325"/>
      <c r="D87" s="267" t="s">
        <v>47</v>
      </c>
      <c r="E87" s="850" t="str">
        <f>"(sum lns "&amp;B78&amp;" to "&amp;B86&amp;")"</f>
        <v>(sum lns 30 to 38)</v>
      </c>
      <c r="F87" s="508"/>
      <c r="G87" s="283">
        <f>SUM(G78:G86)</f>
        <v>1331307952.0923746</v>
      </c>
      <c r="H87" s="283"/>
      <c r="I87" s="284"/>
      <c r="J87" s="270"/>
      <c r="K87" s="283"/>
      <c r="L87" s="283">
        <f>SUM(L78:L86)</f>
        <v>282724881.8836841</v>
      </c>
      <c r="M87" s="270"/>
      <c r="N87" s="270"/>
      <c r="O87" s="270"/>
    </row>
    <row r="88" spans="2:15">
      <c r="B88" s="271"/>
      <c r="C88" s="272"/>
      <c r="E88" s="194"/>
      <c r="F88" s="508"/>
      <c r="G88" s="283"/>
      <c r="H88" s="283"/>
      <c r="I88" s="284"/>
      <c r="J88" s="326"/>
      <c r="K88" s="270"/>
      <c r="L88" s="283"/>
      <c r="M88" s="270"/>
      <c r="N88" s="270"/>
      <c r="O88" s="270"/>
    </row>
    <row r="89" spans="2:15">
      <c r="B89" s="271">
        <f>+B87+1</f>
        <v>40</v>
      </c>
      <c r="C89" s="272"/>
      <c r="D89" s="267" t="s">
        <v>84</v>
      </c>
      <c r="E89" s="284"/>
      <c r="F89" s="284"/>
      <c r="G89" s="283"/>
      <c r="H89" s="283"/>
      <c r="I89" s="284"/>
      <c r="J89" s="270"/>
      <c r="K89" s="270"/>
      <c r="L89" s="283"/>
      <c r="M89" s="270"/>
      <c r="N89" s="270"/>
      <c r="O89" s="270"/>
    </row>
    <row r="90" spans="2:15">
      <c r="B90" s="271">
        <f t="shared" ref="B90:B95" si="3">+B89+1</f>
        <v>41</v>
      </c>
      <c r="C90" s="325"/>
      <c r="D90" s="267" t="str">
        <f>+D78</f>
        <v xml:space="preserve">  Production</v>
      </c>
      <c r="E90" s="270" t="str">
        <f>" (ln "&amp;B66&amp;" + ln "&amp;B67&amp;" - ln "&amp;B78&amp;" - ln "&amp;B79&amp;")"</f>
        <v xml:space="preserve"> (ln 19 + ln 20 - ln 30 - ln 31)</v>
      </c>
      <c r="F90" s="270"/>
      <c r="G90" s="283">
        <f>G66+G67-G78-G79</f>
        <v>608408647.07246101</v>
      </c>
      <c r="H90" s="283"/>
      <c r="I90" s="284"/>
      <c r="J90" s="327"/>
      <c r="K90" s="270"/>
      <c r="L90" s="283">
        <f>L66+L67-L78-L79</f>
        <v>0</v>
      </c>
      <c r="M90" s="270"/>
      <c r="N90" s="270"/>
      <c r="O90" s="270"/>
    </row>
    <row r="91" spans="2:15">
      <c r="B91" s="271">
        <f t="shared" si="3"/>
        <v>42</v>
      </c>
      <c r="C91" s="325"/>
      <c r="D91" s="267" t="str">
        <f>+D80</f>
        <v xml:space="preserve">  Transmission</v>
      </c>
      <c r="E91" s="270" t="str">
        <f>" (ln "&amp;B68&amp;" + ln "&amp;B69&amp;" - ln "&amp;B80&amp;" - ln "&amp;B81&amp;")"</f>
        <v xml:space="preserve"> (ln 21 + ln 22 - ln 32 - ln 33)</v>
      </c>
      <c r="F91" s="270"/>
      <c r="G91" s="283">
        <f>+G68+G69-G80-G81</f>
        <v>602250749.64459658</v>
      </c>
      <c r="H91" s="283"/>
      <c r="I91" s="284"/>
      <c r="J91" s="324"/>
      <c r="K91" s="270"/>
      <c r="L91" s="283">
        <f>+L68+L69-L80-L81</f>
        <v>595892783.91909063</v>
      </c>
      <c r="M91" s="270"/>
      <c r="N91" s="270"/>
      <c r="O91" s="270"/>
    </row>
    <row r="92" spans="2:15">
      <c r="B92" s="271">
        <f>+B91+1</f>
        <v>43</v>
      </c>
      <c r="C92" s="325"/>
      <c r="D92" s="267" t="str">
        <f>+D82</f>
        <v xml:space="preserve">  Distribution</v>
      </c>
      <c r="E92" s="270" t="str">
        <f>" (ln "&amp;B70&amp;" + ln "&amp;B71&amp;" - ln "&amp;B82&amp;" - ln "&amp;B83&amp;")"</f>
        <v xml:space="preserve"> (ln 23 + ln 24 - ln 34 - ln 35)</v>
      </c>
      <c r="F92" s="270"/>
      <c r="G92" s="283">
        <f>+G70+G71-G82-G83</f>
        <v>799307124.8697319</v>
      </c>
      <c r="H92" s="283"/>
      <c r="I92" s="284"/>
      <c r="J92" s="326"/>
      <c r="K92" s="270"/>
      <c r="L92" s="283">
        <f>+L70+L71-L82-L83</f>
        <v>0</v>
      </c>
      <c r="M92" s="270"/>
      <c r="O92" s="270"/>
    </row>
    <row r="93" spans="2:15">
      <c r="B93" s="271">
        <f t="shared" si="3"/>
        <v>44</v>
      </c>
      <c r="C93" s="325"/>
      <c r="D93" s="267" t="str">
        <f>+D84</f>
        <v xml:space="preserve">  General Plant   </v>
      </c>
      <c r="E93" s="270" t="str">
        <f>" (ln "&amp;B72&amp;" + ln "&amp;B73&amp;" - ln "&amp;B84&amp;" - ln "&amp;B85&amp;")"</f>
        <v xml:space="preserve"> (ln 25 + ln 26 - ln 36 - ln 37)</v>
      </c>
      <c r="F93" s="270"/>
      <c r="G93" s="283">
        <f>+G72+G73-G84-G85</f>
        <v>82165579.932372317</v>
      </c>
      <c r="H93" s="283"/>
      <c r="I93" s="284"/>
      <c r="J93" s="326"/>
      <c r="K93" s="270"/>
      <c r="L93" s="283">
        <f>+L72+L73-L84-L85</f>
        <v>8092772.3124063704</v>
      </c>
      <c r="M93" s="270"/>
      <c r="N93" s="270"/>
      <c r="O93" s="270"/>
    </row>
    <row r="94" spans="2:15" ht="16" thickBot="1">
      <c r="B94" s="271">
        <f t="shared" si="3"/>
        <v>45</v>
      </c>
      <c r="C94" s="325"/>
      <c r="D94" s="267" t="str">
        <f>+D86</f>
        <v xml:space="preserve">  Intangible Plant</v>
      </c>
      <c r="E94" s="270" t="str">
        <f>" (ln "&amp;B74&amp;" - ln "&amp;B86&amp;")"</f>
        <v xml:space="preserve"> (ln 27 - ln 38)</v>
      </c>
      <c r="F94" s="270"/>
      <c r="G94" s="318">
        <f>+G74-G86</f>
        <v>26769609.902925573</v>
      </c>
      <c r="H94" s="283"/>
      <c r="I94" s="284"/>
      <c r="J94" s="326"/>
      <c r="K94" s="270"/>
      <c r="L94" s="318">
        <f>+L74-L86</f>
        <v>2636631.5191181605</v>
      </c>
      <c r="M94" s="270"/>
      <c r="N94" s="270"/>
      <c r="O94" s="270"/>
    </row>
    <row r="95" spans="2:15">
      <c r="B95" s="271">
        <f t="shared" si="3"/>
        <v>46</v>
      </c>
      <c r="C95" s="325"/>
      <c r="D95" s="267" t="s">
        <v>46</v>
      </c>
      <c r="E95" s="267" t="str">
        <f>"(sum lns "&amp;B90&amp;" to "&amp;B94&amp;")"</f>
        <v>(sum lns 41 to 45)</v>
      </c>
      <c r="F95" s="270"/>
      <c r="G95" s="283">
        <f>SUM(G90:G94)</f>
        <v>2118901711.4220874</v>
      </c>
      <c r="H95" s="283"/>
      <c r="I95" s="306" t="s">
        <v>760</v>
      </c>
      <c r="J95" s="319">
        <f>+L95/G95</f>
        <v>0.28629085741947163</v>
      </c>
      <c r="K95" s="270"/>
      <c r="L95" s="283">
        <f>SUM(L90:L94)</f>
        <v>606622187.75061524</v>
      </c>
      <c r="M95" s="270"/>
      <c r="N95" s="270"/>
      <c r="O95" s="270"/>
    </row>
    <row r="96" spans="2:15">
      <c r="B96" s="271"/>
      <c r="C96" s="272"/>
      <c r="D96" s="267"/>
      <c r="E96" s="270"/>
      <c r="F96" s="270"/>
      <c r="G96" s="283"/>
      <c r="H96" s="283"/>
      <c r="I96" s="336"/>
      <c r="J96" s="329"/>
      <c r="K96" s="270"/>
      <c r="L96" s="283"/>
      <c r="M96" s="270"/>
      <c r="N96" s="270"/>
      <c r="O96" s="270"/>
    </row>
    <row r="97" spans="2:15">
      <c r="B97" s="271"/>
      <c r="C97" s="272"/>
      <c r="G97" s="4"/>
      <c r="H97" s="4"/>
      <c r="I97" s="79"/>
      <c r="J97" s="4"/>
      <c r="K97" s="4"/>
      <c r="L97" s="4"/>
      <c r="M97"/>
      <c r="N97" s="270"/>
      <c r="O97" s="270"/>
    </row>
    <row r="98" spans="2:15">
      <c r="B98" s="271">
        <f>+B95+1</f>
        <v>47</v>
      </c>
      <c r="C98" s="272"/>
      <c r="D98" s="267" t="s">
        <v>328</v>
      </c>
      <c r="E98" s="270" t="s">
        <v>305</v>
      </c>
      <c r="F98" s="284"/>
      <c r="G98" s="4"/>
      <c r="H98" s="4"/>
      <c r="I98" s="79"/>
      <c r="J98" s="4"/>
      <c r="K98" s="4"/>
      <c r="L98" s="4"/>
      <c r="M98"/>
      <c r="N98" s="270"/>
      <c r="O98" s="270"/>
    </row>
    <row r="99" spans="2:15">
      <c r="B99" s="271">
        <f t="shared" ref="B99:B104" si="4">+B98+1</f>
        <v>48</v>
      </c>
      <c r="C99" s="325"/>
      <c r="D99" s="267" t="s">
        <v>195</v>
      </c>
      <c r="E99" s="270" t="s">
        <v>538</v>
      </c>
      <c r="F99" s="270"/>
      <c r="G99" s="283">
        <f>-'WS B ADIT &amp; ITC'!I17</f>
        <v>-42654072.202444419</v>
      </c>
      <c r="H99" s="283"/>
      <c r="I99" s="284" t="s">
        <v>129</v>
      </c>
      <c r="J99" s="285"/>
      <c r="K99" s="270"/>
      <c r="L99" s="283">
        <f>'WS B ADIT &amp; ITC'!I20</f>
        <v>0</v>
      </c>
      <c r="M99" s="270"/>
      <c r="N99" s="270"/>
      <c r="O99" s="270"/>
    </row>
    <row r="100" spans="2:15">
      <c r="B100" s="271">
        <f t="shared" si="4"/>
        <v>49</v>
      </c>
      <c r="C100" s="325"/>
      <c r="D100" s="267" t="s">
        <v>196</v>
      </c>
      <c r="E100" s="270" t="s">
        <v>539</v>
      </c>
      <c r="F100" s="270"/>
      <c r="G100" s="283">
        <f>-'WS B ADIT &amp; ITC'!I25</f>
        <v>-326504945.5293048</v>
      </c>
      <c r="H100" s="283"/>
      <c r="I100" s="284" t="s">
        <v>131</v>
      </c>
      <c r="J100" s="285"/>
      <c r="K100" s="270"/>
      <c r="L100" s="283">
        <f>-'WS B ADIT &amp; ITC'!I28</f>
        <v>-92852655.925345212</v>
      </c>
      <c r="M100" s="270"/>
      <c r="N100" s="270"/>
      <c r="O100" s="270"/>
    </row>
    <row r="101" spans="2:15">
      <c r="B101" s="271">
        <f t="shared" si="4"/>
        <v>50</v>
      </c>
      <c r="C101" s="325"/>
      <c r="D101" s="267" t="s">
        <v>197</v>
      </c>
      <c r="E101" s="270" t="s">
        <v>540</v>
      </c>
      <c r="F101" s="270"/>
      <c r="G101" s="283">
        <f>-'WS B ADIT &amp; ITC'!I33</f>
        <v>-116998470.64759934</v>
      </c>
      <c r="H101" s="283"/>
      <c r="I101" s="284" t="s">
        <v>131</v>
      </c>
      <c r="J101" s="285"/>
      <c r="K101" s="270"/>
      <c r="L101" s="283">
        <f>-'WS B ADIT &amp; ITC'!I36</f>
        <v>-159555.86020602286</v>
      </c>
      <c r="M101" s="270"/>
      <c r="N101" s="270"/>
      <c r="O101" s="270"/>
    </row>
    <row r="102" spans="2:15">
      <c r="B102" s="271">
        <f t="shared" si="4"/>
        <v>51</v>
      </c>
      <c r="C102" s="325"/>
      <c r="D102" s="267" t="s">
        <v>198</v>
      </c>
      <c r="E102" s="270" t="s">
        <v>541</v>
      </c>
      <c r="F102" s="270"/>
      <c r="G102" s="283">
        <f>'WS B ADIT &amp; ITC'!I41</f>
        <v>32555997.000999995</v>
      </c>
      <c r="H102" s="283"/>
      <c r="I102" s="284" t="s">
        <v>131</v>
      </c>
      <c r="J102" s="285"/>
      <c r="K102" s="270"/>
      <c r="L102" s="283">
        <f>'WS B ADIT &amp; ITC'!I44</f>
        <v>13882519.98849681</v>
      </c>
      <c r="M102" s="270"/>
      <c r="N102" s="270"/>
      <c r="O102" s="270"/>
    </row>
    <row r="103" spans="2:15" ht="16" thickBot="1">
      <c r="B103" s="271">
        <f t="shared" si="4"/>
        <v>52</v>
      </c>
      <c r="C103" s="325"/>
      <c r="D103" s="263" t="s">
        <v>136</v>
      </c>
      <c r="E103" s="270" t="s">
        <v>542</v>
      </c>
      <c r="G103" s="318">
        <f>-'WS B ADIT &amp; ITC'!I51</f>
        <v>0</v>
      </c>
      <c r="H103" s="283"/>
      <c r="I103" s="284" t="s">
        <v>131</v>
      </c>
      <c r="J103" s="285"/>
      <c r="K103" s="270"/>
      <c r="L103" s="318">
        <f>-'WS B ADIT &amp; ITC'!I52</f>
        <v>0</v>
      </c>
      <c r="M103" s="330"/>
      <c r="N103" s="270"/>
      <c r="O103" s="270"/>
    </row>
    <row r="104" spans="2:15">
      <c r="B104" s="271">
        <f t="shared" si="4"/>
        <v>53</v>
      </c>
      <c r="C104" s="325"/>
      <c r="D104" s="267" t="s">
        <v>93</v>
      </c>
      <c r="E104" s="267" t="str">
        <f>"(sum lns "&amp;B99&amp;" to "&amp;B103&amp;")"</f>
        <v>(sum lns 48 to 52)</v>
      </c>
      <c r="F104" s="270"/>
      <c r="G104" s="283">
        <f>SUM(G99:G103)</f>
        <v>-453601491.37834859</v>
      </c>
      <c r="H104" s="4"/>
      <c r="I104" s="284"/>
      <c r="J104" s="331"/>
      <c r="K104" s="270"/>
      <c r="L104" s="283">
        <f>SUM(L99:L103)</f>
        <v>-79129691.797054425</v>
      </c>
      <c r="M104" s="270"/>
      <c r="N104" s="332"/>
    </row>
    <row r="105" spans="2:15">
      <c r="B105" s="271"/>
      <c r="C105" s="272"/>
      <c r="D105" s="267"/>
      <c r="E105" s="270"/>
      <c r="F105" s="270"/>
      <c r="G105" s="283"/>
      <c r="H105" s="4"/>
      <c r="I105" s="284"/>
      <c r="J105" s="326"/>
      <c r="K105" s="270"/>
      <c r="L105" s="283"/>
      <c r="M105" s="270"/>
    </row>
    <row r="106" spans="2:15">
      <c r="B106" s="271">
        <f>+B104+1</f>
        <v>54</v>
      </c>
      <c r="C106" s="272"/>
      <c r="D106" s="267" t="s">
        <v>207</v>
      </c>
      <c r="E106" s="270" t="str">
        <f>"(Worksheet A ln "&amp;'WS A - RB Support'!A69&amp;"."&amp;'WS A - RB Support'!F68&amp;" &amp; "&amp;"ln "&amp;'WS A - RB Support'!A71&amp;"."&amp;'WS A - RB Support'!F68&amp;")"</f>
        <v>(Worksheet A ln 44.(e) &amp; ln 45.(e))</v>
      </c>
      <c r="F106" s="270"/>
      <c r="G106" s="283">
        <f>'WS A - RB Support'!F69</f>
        <v>801671.21</v>
      </c>
      <c r="H106" s="4"/>
      <c r="I106" s="284" t="s">
        <v>131</v>
      </c>
      <c r="J106" s="285"/>
      <c r="K106" s="270"/>
      <c r="L106" s="283">
        <f>'WS A - RB Support'!F71</f>
        <v>0</v>
      </c>
      <c r="M106" s="270"/>
    </row>
    <row r="107" spans="2:15">
      <c r="B107" s="271"/>
      <c r="C107" s="272"/>
      <c r="D107" s="267"/>
      <c r="E107" s="270"/>
      <c r="F107" s="270"/>
      <c r="G107" s="283"/>
      <c r="H107" s="4"/>
      <c r="I107" s="284"/>
      <c r="J107" s="285"/>
      <c r="K107" s="270"/>
      <c r="L107" s="283"/>
      <c r="M107" s="270"/>
    </row>
    <row r="108" spans="2:15">
      <c r="B108" s="271">
        <f>+B106+1</f>
        <v>55</v>
      </c>
      <c r="C108" s="272"/>
      <c r="D108" s="267" t="s">
        <v>329</v>
      </c>
      <c r="E108" s="270" t="str">
        <f>"(Worksheet A ln "&amp;'WS A - RB Support'!A80&amp;"."&amp;'WS A - RB Support'!F68&amp;")"</f>
        <v>(Worksheet A ln 51.(e))</v>
      </c>
      <c r="F108" s="270"/>
      <c r="G108" s="283">
        <f>'WS A - RB Support'!F80</f>
        <v>0</v>
      </c>
      <c r="H108" s="4"/>
      <c r="I108" s="284" t="s">
        <v>131</v>
      </c>
      <c r="J108" s="270"/>
      <c r="K108" s="270"/>
      <c r="L108" s="283">
        <f>+G108</f>
        <v>0</v>
      </c>
      <c r="M108" s="270"/>
    </row>
    <row r="109" spans="2:15">
      <c r="B109" s="271"/>
      <c r="C109" s="272"/>
      <c r="D109" s="267"/>
      <c r="E109" s="270"/>
      <c r="F109" s="270"/>
      <c r="G109" s="283"/>
      <c r="H109" s="4"/>
      <c r="I109" s="284"/>
      <c r="J109" s="270"/>
      <c r="K109" s="270"/>
      <c r="L109" s="283"/>
      <c r="M109" s="270"/>
    </row>
    <row r="110" spans="2:15" ht="14.25" customHeight="1">
      <c r="B110" s="271">
        <f>+B108+1</f>
        <v>56</v>
      </c>
      <c r="C110" s="325"/>
      <c r="D110" s="279" t="s">
        <v>748</v>
      </c>
      <c r="E110" s="270" t="str">
        <f>"(Worksheet A ln "&amp;'WS A - RB Support'!A87&amp;"."&amp;'WS A - RB Support'!F68&amp;")"</f>
        <v>(Worksheet A ln 54.(e))</v>
      </c>
      <c r="F110" s="270"/>
      <c r="G110" s="283">
        <f>-'WS A - RB Support'!F87</f>
        <v>-1079630.6199999999</v>
      </c>
      <c r="H110" s="283"/>
      <c r="I110" s="284" t="s">
        <v>134</v>
      </c>
      <c r="J110" s="285">
        <f>L241</f>
        <v>9.849346063238712E-2</v>
      </c>
      <c r="K110" s="270"/>
      <c r="L110" s="283">
        <f>G110*J110</f>
        <v>-106336.55596848969</v>
      </c>
      <c r="M110" s="270"/>
    </row>
    <row r="111" spans="2:15">
      <c r="B111" s="271"/>
      <c r="C111" s="272"/>
      <c r="D111" s="267"/>
      <c r="E111" s="270"/>
      <c r="F111" s="270"/>
      <c r="G111" s="283"/>
      <c r="H111" s="4"/>
      <c r="I111" s="284"/>
      <c r="J111" s="270"/>
      <c r="K111" s="270"/>
      <c r="L111" s="283"/>
      <c r="M111" s="270"/>
    </row>
    <row r="112" spans="2:15">
      <c r="B112" s="271">
        <f>+B110+1</f>
        <v>57</v>
      </c>
      <c r="C112" s="272"/>
      <c r="D112" s="267" t="s">
        <v>94</v>
      </c>
      <c r="E112" s="270" t="s">
        <v>500</v>
      </c>
      <c r="F112" s="270"/>
      <c r="G112" s="283"/>
      <c r="H112" s="4"/>
      <c r="I112" s="284"/>
      <c r="J112" s="270"/>
      <c r="K112" s="270"/>
      <c r="L112" s="283"/>
      <c r="M112" s="270"/>
    </row>
    <row r="113" spans="2:13">
      <c r="B113" s="271">
        <f t="shared" ref="B113:B120" si="5">+B112+1</f>
        <v>58</v>
      </c>
      <c r="C113" s="325"/>
      <c r="D113" s="267" t="s">
        <v>206</v>
      </c>
      <c r="E113" s="263" t="str">
        <f>"(1/8 * ln "&amp;B149&amp;")"</f>
        <v>(1/8 * ln 78)</v>
      </c>
      <c r="G113" s="283">
        <f>+G149/8</f>
        <v>1362615.6264668107</v>
      </c>
      <c r="H113" s="270"/>
      <c r="I113" s="284"/>
      <c r="J113" s="326"/>
      <c r="K113" s="270"/>
      <c r="L113" s="283">
        <f>+L149/8</f>
        <v>1342623.0442557111</v>
      </c>
      <c r="M113" s="267"/>
    </row>
    <row r="114" spans="2:13">
      <c r="B114" s="271">
        <f t="shared" si="5"/>
        <v>59</v>
      </c>
      <c r="C114" s="325"/>
      <c r="D114" s="267" t="s">
        <v>337</v>
      </c>
      <c r="E114" s="270" t="s">
        <v>543</v>
      </c>
      <c r="F114" s="270"/>
      <c r="G114" s="283">
        <f>'WS C  - Working Capital'!I17</f>
        <v>7640</v>
      </c>
      <c r="H114" s="4"/>
      <c r="I114" s="284" t="s">
        <v>122</v>
      </c>
      <c r="J114" s="285">
        <f>L231</f>
        <v>0.98532779030067397</v>
      </c>
      <c r="K114" s="270"/>
      <c r="L114" s="283">
        <f>+J114*G114</f>
        <v>7527.9043178971488</v>
      </c>
      <c r="M114" s="270"/>
    </row>
    <row r="115" spans="2:13">
      <c r="B115" s="271">
        <f t="shared" si="5"/>
        <v>60</v>
      </c>
      <c r="C115" s="325"/>
      <c r="D115" s="267" t="s">
        <v>338</v>
      </c>
      <c r="E115" s="270" t="s">
        <v>544</v>
      </c>
      <c r="F115" s="270"/>
      <c r="G115" s="283">
        <f>'WS C  - Working Capital'!I19</f>
        <v>39280.5</v>
      </c>
      <c r="H115" s="4"/>
      <c r="I115" s="284" t="s">
        <v>134</v>
      </c>
      <c r="J115" s="285">
        <f>L241</f>
        <v>9.849346063238712E-2</v>
      </c>
      <c r="K115" s="270"/>
      <c r="L115" s="283">
        <f>+J115*G115</f>
        <v>3868.8723803704825</v>
      </c>
      <c r="M115" s="270"/>
    </row>
    <row r="116" spans="2:13">
      <c r="B116" s="271">
        <f t="shared" si="5"/>
        <v>61</v>
      </c>
      <c r="C116" s="325"/>
      <c r="D116" s="267" t="s">
        <v>531</v>
      </c>
      <c r="E116" s="270" t="s">
        <v>545</v>
      </c>
      <c r="F116" s="270"/>
      <c r="G116" s="283">
        <f>'WS C  - Working Capital'!I21</f>
        <v>0</v>
      </c>
      <c r="H116" s="4"/>
      <c r="I116" s="284" t="s">
        <v>759</v>
      </c>
      <c r="J116" s="285">
        <f>J75</f>
        <v>0.25776609434465209</v>
      </c>
      <c r="K116" s="270"/>
      <c r="L116" s="283">
        <f>+J116*G116</f>
        <v>0</v>
      </c>
      <c r="M116" s="270"/>
    </row>
    <row r="117" spans="2:13">
      <c r="B117" s="271">
        <f t="shared" si="5"/>
        <v>62</v>
      </c>
      <c r="C117" s="325"/>
      <c r="D117" s="267" t="s">
        <v>210</v>
      </c>
      <c r="E117" s="270" t="s">
        <v>574</v>
      </c>
      <c r="F117" s="270"/>
      <c r="G117" s="283">
        <f>'WS C  - Working Capital'!J31</f>
        <v>47308340.949999794</v>
      </c>
      <c r="H117" s="4"/>
      <c r="I117" s="284" t="s">
        <v>134</v>
      </c>
      <c r="J117" s="285">
        <f>L241</f>
        <v>9.849346063238712E-2</v>
      </c>
      <c r="K117" s="270"/>
      <c r="L117" s="283">
        <f>+J117*G117</f>
        <v>4659562.2169423522</v>
      </c>
      <c r="M117" s="270"/>
    </row>
    <row r="118" spans="2:13">
      <c r="B118" s="271">
        <f t="shared" si="5"/>
        <v>63</v>
      </c>
      <c r="C118" s="325"/>
      <c r="D118" s="267" t="s">
        <v>211</v>
      </c>
      <c r="E118" s="270" t="s">
        <v>573</v>
      </c>
      <c r="F118" s="270"/>
      <c r="G118" s="283">
        <f>'WS C  - Working Capital'!I31</f>
        <v>2232839.7612545444</v>
      </c>
      <c r="H118" s="4"/>
      <c r="I118" s="284" t="s">
        <v>759</v>
      </c>
      <c r="J118" s="285">
        <f>J75</f>
        <v>0.25776609434465209</v>
      </c>
      <c r="K118" s="270"/>
      <c r="L118" s="283">
        <f>+G118*J118</f>
        <v>575550.38455602934</v>
      </c>
      <c r="M118" s="270"/>
    </row>
    <row r="119" spans="2:13">
      <c r="B119" s="271">
        <f t="shared" si="5"/>
        <v>64</v>
      </c>
      <c r="C119" s="325"/>
      <c r="D119" s="267" t="s">
        <v>307</v>
      </c>
      <c r="E119" s="270" t="s">
        <v>575</v>
      </c>
      <c r="F119" s="270"/>
      <c r="G119" s="283">
        <f>'WS C  - Working Capital'!G31</f>
        <v>0</v>
      </c>
      <c r="H119" s="4"/>
      <c r="I119" s="284" t="s">
        <v>131</v>
      </c>
      <c r="J119" s="285">
        <v>1</v>
      </c>
      <c r="K119" s="270"/>
      <c r="L119" s="283">
        <f>+G119*J119</f>
        <v>0</v>
      </c>
      <c r="M119" s="270"/>
    </row>
    <row r="120" spans="2:13" ht="16" thickBot="1">
      <c r="B120" s="271">
        <f t="shared" si="5"/>
        <v>65</v>
      </c>
      <c r="C120" s="325"/>
      <c r="D120" s="267" t="s">
        <v>106</v>
      </c>
      <c r="E120" s="270" t="s">
        <v>576</v>
      </c>
      <c r="F120" s="270"/>
      <c r="G120" s="318">
        <f>'WS C  - Working Capital'!E31</f>
        <v>-44926239.199754447</v>
      </c>
      <c r="H120" s="283"/>
      <c r="I120" s="284" t="s">
        <v>129</v>
      </c>
      <c r="J120" s="285">
        <v>0</v>
      </c>
      <c r="K120" s="270"/>
      <c r="L120" s="318">
        <f>+G120*J120</f>
        <v>0</v>
      </c>
      <c r="M120" s="270"/>
    </row>
    <row r="121" spans="2:13">
      <c r="B121" s="271">
        <f>+B120+1</f>
        <v>66</v>
      </c>
      <c r="C121" s="325"/>
      <c r="D121" s="267" t="s">
        <v>45</v>
      </c>
      <c r="E121" s="267" t="str">
        <f>"(sum lns "&amp;B113&amp;" to "&amp;B120&amp;")"</f>
        <v>(sum lns 58 to 65)</v>
      </c>
      <c r="F121" s="267"/>
      <c r="G121" s="283">
        <f>SUM(G113:G120)</f>
        <v>6024477.6379666999</v>
      </c>
      <c r="H121" s="267"/>
      <c r="I121" s="272"/>
      <c r="J121" s="267"/>
      <c r="K121" s="267"/>
      <c r="L121" s="283">
        <f>SUM(L113:L120)</f>
        <v>6589132.4224523604</v>
      </c>
      <c r="M121" s="267"/>
    </row>
    <row r="122" spans="2:13">
      <c r="B122" s="271"/>
      <c r="C122" s="272"/>
      <c r="D122" s="267"/>
      <c r="E122" s="267"/>
      <c r="F122" s="267"/>
      <c r="G122" s="283"/>
      <c r="H122" s="267"/>
      <c r="I122" s="272"/>
      <c r="J122" s="267"/>
      <c r="K122" s="267"/>
      <c r="L122" s="283"/>
      <c r="M122" s="267"/>
    </row>
    <row r="123" spans="2:13">
      <c r="B123" s="271">
        <f>+B121+1</f>
        <v>67</v>
      </c>
      <c r="C123" s="272"/>
      <c r="D123" s="267" t="s">
        <v>32</v>
      </c>
      <c r="E123" s="267" t="s">
        <v>546</v>
      </c>
      <c r="F123" s="267"/>
      <c r="G123" s="283">
        <f>+'WS D IPP Credits'!C23</f>
        <v>0</v>
      </c>
      <c r="H123" s="267"/>
      <c r="I123" s="333" t="s">
        <v>131</v>
      </c>
      <c r="J123" s="285">
        <v>1</v>
      </c>
      <c r="K123" s="270"/>
      <c r="L123" s="283">
        <f>+J123*G123</f>
        <v>0</v>
      </c>
      <c r="M123" s="267"/>
    </row>
    <row r="124" spans="2:13" ht="16" thickBot="1">
      <c r="B124" s="271"/>
      <c r="E124" s="270"/>
      <c r="F124" s="270"/>
      <c r="G124" s="318"/>
      <c r="H124" s="270"/>
      <c r="I124" s="284"/>
      <c r="J124" s="270"/>
      <c r="K124" s="270"/>
      <c r="L124" s="318"/>
      <c r="M124" s="270"/>
    </row>
    <row r="125" spans="2:13" ht="16" thickBot="1">
      <c r="B125" s="271">
        <f>+B123+1</f>
        <v>68</v>
      </c>
      <c r="C125" s="272"/>
      <c r="D125" s="267" t="str">
        <f>"RATE BASE  (sum lns "&amp;B95&amp;", "&amp;B104&amp;", "&amp;B106&amp;", "&amp;B108&amp;", "&amp;B110&amp;", "&amp;B121&amp;", "&amp;B123&amp;")"</f>
        <v>RATE BASE  (sum lns 46, 53, 54, 55, 56, 66, 67)</v>
      </c>
      <c r="E125" s="270"/>
      <c r="F125" s="270"/>
      <c r="G125" s="867">
        <f>+G121+G106+G104+G95+G123+G108+G110</f>
        <v>1671046738.2717056</v>
      </c>
      <c r="H125" s="270"/>
      <c r="I125" s="270"/>
      <c r="J125" s="326"/>
      <c r="K125" s="270"/>
      <c r="L125" s="867">
        <f>+L121+L106+L104+L95+L123+L108+L110</f>
        <v>533975291.8200447</v>
      </c>
      <c r="M125" s="270"/>
    </row>
    <row r="126" spans="2:13" ht="16" thickTop="1">
      <c r="B126" s="271"/>
      <c r="C126" s="70"/>
      <c r="D126" s="70"/>
      <c r="E126" s="70"/>
      <c r="F126" s="70"/>
      <c r="G126" s="70"/>
      <c r="H126" s="70"/>
      <c r="I126" s="266"/>
      <c r="J126" s="266"/>
      <c r="K126" s="266"/>
      <c r="L126" s="835"/>
    </row>
    <row r="127" spans="2:13">
      <c r="B127" s="334"/>
      <c r="C127" s="272"/>
      <c r="D127" s="267"/>
      <c r="E127" s="270"/>
      <c r="F127" s="270"/>
      <c r="G127" s="270"/>
      <c r="H127" s="270"/>
      <c r="I127" s="270"/>
      <c r="J127" s="270"/>
      <c r="K127" s="270"/>
      <c r="L127" s="270"/>
      <c r="M127" s="270"/>
    </row>
    <row r="128" spans="2:13">
      <c r="B128" s="334"/>
      <c r="C128" s="272"/>
      <c r="D128" s="267"/>
      <c r="E128" s="270"/>
      <c r="F128" s="284" t="str">
        <f>F54</f>
        <v xml:space="preserve">AEP East Companies </v>
      </c>
      <c r="G128" s="284"/>
      <c r="H128" s="270"/>
      <c r="I128" s="270"/>
      <c r="J128" s="270"/>
      <c r="K128" s="270"/>
      <c r="L128" s="270"/>
      <c r="M128" s="335"/>
    </row>
    <row r="129" spans="2:15">
      <c r="B129" s="334"/>
      <c r="C129" s="272"/>
      <c r="D129" s="267"/>
      <c r="E129" s="270"/>
      <c r="F129" s="284" t="str">
        <f>F55</f>
        <v>Transmission Cost of Service Formula Rate</v>
      </c>
      <c r="G129" s="284"/>
      <c r="H129" s="270"/>
      <c r="I129" s="270"/>
      <c r="J129" s="270"/>
      <c r="K129" s="270"/>
      <c r="L129" s="270"/>
      <c r="M129" s="335"/>
    </row>
    <row r="130" spans="2:15">
      <c r="B130" s="334"/>
      <c r="C130" s="272"/>
      <c r="E130" s="270"/>
      <c r="F130" s="284" t="str">
        <f>F56</f>
        <v>Utilizing  Actual/Projected FERC Form 1 Data</v>
      </c>
      <c r="G130" s="270"/>
      <c r="H130" s="270"/>
      <c r="I130" s="270"/>
      <c r="J130" s="270"/>
      <c r="K130" s="270"/>
      <c r="L130" s="270"/>
      <c r="M130" s="302"/>
    </row>
    <row r="131" spans="2:15">
      <c r="B131" s="334"/>
      <c r="C131" s="272"/>
      <c r="E131" s="270"/>
      <c r="F131" s="284"/>
      <c r="G131" s="270"/>
      <c r="H131" s="270"/>
      <c r="I131" s="270"/>
      <c r="J131" s="270"/>
      <c r="K131" s="270"/>
      <c r="L131" s="270"/>
      <c r="M131" s="270"/>
    </row>
    <row r="132" spans="2:15">
      <c r="B132" s="334"/>
      <c r="C132" s="272"/>
      <c r="E132" s="336"/>
      <c r="F132" s="284" t="str">
        <f>F58</f>
        <v>KENTUCKY POWER COMPANY</v>
      </c>
      <c r="G132" s="336"/>
      <c r="H132" s="336"/>
      <c r="I132" s="336"/>
      <c r="J132" s="336"/>
      <c r="K132" s="336"/>
      <c r="M132" s="270"/>
    </row>
    <row r="133" spans="2:15">
      <c r="B133" s="334"/>
      <c r="C133" s="272"/>
      <c r="E133" s="336"/>
      <c r="F133" s="284"/>
      <c r="G133" s="336"/>
      <c r="H133" s="336"/>
      <c r="I133" s="336"/>
      <c r="J133" s="336"/>
      <c r="K133" s="336"/>
      <c r="M133" s="270"/>
    </row>
    <row r="134" spans="2:15">
      <c r="B134" s="334"/>
      <c r="D134" s="272" t="s">
        <v>123</v>
      </c>
      <c r="E134" s="272" t="s">
        <v>124</v>
      </c>
      <c r="F134" s="272"/>
      <c r="G134" s="272" t="s">
        <v>125</v>
      </c>
      <c r="H134" s="270"/>
      <c r="I134" s="1158" t="s">
        <v>126</v>
      </c>
      <c r="J134" s="1162"/>
      <c r="K134" s="270"/>
      <c r="L134" s="273" t="s">
        <v>127</v>
      </c>
      <c r="M134" s="270"/>
      <c r="N134" s="273"/>
    </row>
    <row r="135" spans="2:15">
      <c r="B135" s="334"/>
      <c r="D135" s="272"/>
      <c r="E135" s="272"/>
      <c r="F135" s="272"/>
      <c r="G135" s="272"/>
      <c r="H135" s="270"/>
      <c r="I135" s="270"/>
      <c r="J135" s="304"/>
      <c r="K135" s="270"/>
      <c r="M135" s="270"/>
      <c r="N135" s="337"/>
      <c r="O135" s="266"/>
    </row>
    <row r="136" spans="2:15">
      <c r="B136" s="334"/>
      <c r="C136" s="272"/>
      <c r="D136" s="337" t="s">
        <v>102</v>
      </c>
      <c r="E136" s="306" t="str">
        <f>E62</f>
        <v>Data Sources</v>
      </c>
      <c r="F136" s="307"/>
      <c r="G136" s="270"/>
      <c r="H136" s="270"/>
      <c r="I136" s="270"/>
      <c r="J136" s="272"/>
      <c r="K136" s="270"/>
      <c r="L136" s="306" t="str">
        <f>L62</f>
        <v>Total</v>
      </c>
      <c r="N136" s="337"/>
      <c r="O136" s="266"/>
    </row>
    <row r="137" spans="2:15">
      <c r="B137" s="334"/>
      <c r="C137" s="272"/>
      <c r="D137" s="309" t="s">
        <v>103</v>
      </c>
      <c r="E137" s="338" t="str">
        <f>E63</f>
        <v>(See "General Notes")</v>
      </c>
      <c r="F137" s="270"/>
      <c r="G137" s="338" t="str">
        <f>G63</f>
        <v>TO Total</v>
      </c>
      <c r="H137" s="311"/>
      <c r="I137" s="1160" t="str">
        <f>I63</f>
        <v>Allocator</v>
      </c>
      <c r="J137" s="1161"/>
      <c r="K137" s="311"/>
      <c r="L137" s="338" t="str">
        <f>L63</f>
        <v>Transmission</v>
      </c>
      <c r="M137" s="270"/>
      <c r="N137" s="337"/>
      <c r="O137" s="266"/>
    </row>
    <row r="138" spans="2:15">
      <c r="B138" s="271" t="str">
        <f>B64</f>
        <v>Line</v>
      </c>
      <c r="D138" s="267"/>
      <c r="E138" s="270"/>
      <c r="F138" s="270"/>
      <c r="G138" s="309"/>
      <c r="H138" s="339"/>
      <c r="I138" s="337"/>
      <c r="K138" s="339"/>
      <c r="L138" s="309"/>
      <c r="M138" s="270"/>
    </row>
    <row r="139" spans="2:15">
      <c r="B139" s="271" t="str">
        <f>B65</f>
        <v>No.</v>
      </c>
      <c r="C139" s="272"/>
      <c r="D139" s="267" t="s">
        <v>104</v>
      </c>
      <c r="E139" s="270"/>
      <c r="F139" s="270"/>
      <c r="G139" s="270"/>
      <c r="H139" s="270"/>
      <c r="I139" s="284"/>
      <c r="J139" s="270"/>
      <c r="K139" s="270"/>
      <c r="L139" s="270"/>
      <c r="M139" s="270"/>
    </row>
    <row r="140" spans="2:15">
      <c r="B140" s="271">
        <f>+B125+1</f>
        <v>69</v>
      </c>
      <c r="C140" s="272"/>
      <c r="D140" s="267" t="s">
        <v>128</v>
      </c>
      <c r="E140" s="270" t="s">
        <v>10</v>
      </c>
      <c r="F140" s="270"/>
      <c r="G140" s="644">
        <v>270056005.65916902</v>
      </c>
      <c r="H140" s="270"/>
      <c r="I140" s="284"/>
      <c r="J140" s="285"/>
      <c r="K140" s="270"/>
      <c r="L140" s="283"/>
      <c r="M140" s="270"/>
    </row>
    <row r="141" spans="2:15">
      <c r="B141" s="271">
        <f>+B140+1</f>
        <v>70</v>
      </c>
      <c r="C141" s="272"/>
      <c r="D141" s="267" t="s">
        <v>132</v>
      </c>
      <c r="E141" s="270" t="s">
        <v>11</v>
      </c>
      <c r="F141" s="270"/>
      <c r="G141" s="644">
        <v>32692302.338381801</v>
      </c>
      <c r="H141" s="270"/>
      <c r="I141" s="284"/>
      <c r="J141" s="285"/>
      <c r="K141" s="270"/>
      <c r="L141" s="283"/>
      <c r="M141" s="270"/>
    </row>
    <row r="142" spans="2:15">
      <c r="B142" s="271">
        <f t="shared" ref="B142:B147" si="6">+B141+1</f>
        <v>71</v>
      </c>
      <c r="C142" s="272"/>
      <c r="D142" s="267" t="s">
        <v>248</v>
      </c>
      <c r="E142" s="270" t="s">
        <v>204</v>
      </c>
      <c r="F142" s="270"/>
      <c r="G142" s="644">
        <v>10656451.623508966</v>
      </c>
      <c r="H142" s="270"/>
      <c r="I142" s="284"/>
      <c r="J142" s="285"/>
      <c r="K142" s="270"/>
      <c r="L142" s="283"/>
      <c r="M142" s="270"/>
    </row>
    <row r="143" spans="2:15">
      <c r="B143" s="271">
        <f t="shared" si="6"/>
        <v>72</v>
      </c>
      <c r="C143" s="272"/>
      <c r="D143" s="267" t="s">
        <v>249</v>
      </c>
      <c r="E143" s="270" t="s">
        <v>419</v>
      </c>
      <c r="F143" s="270"/>
      <c r="G143" s="644">
        <v>1152467.9523371002</v>
      </c>
      <c r="H143" s="270"/>
      <c r="I143" s="284"/>
      <c r="J143" s="285"/>
      <c r="K143" s="270"/>
      <c r="L143" s="283"/>
      <c r="M143" s="270"/>
    </row>
    <row r="144" spans="2:15" ht="16" thickBot="1">
      <c r="B144" s="271">
        <f t="shared" si="6"/>
        <v>73</v>
      </c>
      <c r="C144" s="272"/>
      <c r="D144" s="267" t="s">
        <v>137</v>
      </c>
      <c r="E144" s="270" t="s">
        <v>418</v>
      </c>
      <c r="F144" s="270"/>
      <c r="G144" s="645">
        <v>96476963.2210273</v>
      </c>
      <c r="H144" s="283"/>
      <c r="I144" s="70"/>
      <c r="J144" s="70"/>
      <c r="K144"/>
      <c r="L144"/>
      <c r="M144" s="267"/>
      <c r="N144" s="270"/>
      <c r="O144" s="270"/>
    </row>
    <row r="145" spans="2:15">
      <c r="B145" s="271">
        <f t="shared" si="6"/>
        <v>74</v>
      </c>
      <c r="C145" s="272"/>
      <c r="D145" s="267" t="s">
        <v>250</v>
      </c>
      <c r="E145" s="270" t="str">
        <f>"(sum lns "&amp;B140&amp;"  to "&amp;B144&amp;")"</f>
        <v>(sum lns 69  to 73)</v>
      </c>
      <c r="F145" s="270"/>
      <c r="G145" s="283">
        <f>SUM(G140:G144)</f>
        <v>411034190.79442424</v>
      </c>
      <c r="H145" s="283"/>
      <c r="I145" s="70"/>
      <c r="J145" s="70"/>
      <c r="K145"/>
      <c r="L145"/>
      <c r="M145" s="267"/>
      <c r="N145" s="270"/>
      <c r="O145" s="270"/>
    </row>
    <row r="146" spans="2:15">
      <c r="B146" s="271">
        <f t="shared" si="6"/>
        <v>75</v>
      </c>
      <c r="C146" s="272"/>
      <c r="D146" s="267" t="s">
        <v>330</v>
      </c>
      <c r="E146" s="270" t="str">
        <f>"(Note G) (Worksheet F, ln "&amp;'WS F Misc Exp'!A33&amp;".C)"</f>
        <v>(Note G) (Worksheet F, ln 14.C)</v>
      </c>
      <c r="F146" s="270"/>
      <c r="G146" s="283">
        <f>'WS F Misc Exp'!D33</f>
        <v>2177193.7139449101</v>
      </c>
      <c r="H146" s="283"/>
      <c r="I146" s="70"/>
      <c r="J146" s="70"/>
      <c r="K146"/>
      <c r="L146"/>
      <c r="M146" s="267"/>
      <c r="N146" s="270"/>
      <c r="O146" s="270"/>
    </row>
    <row r="147" spans="2:15">
      <c r="B147" s="271">
        <f t="shared" si="6"/>
        <v>76</v>
      </c>
      <c r="C147" s="272"/>
      <c r="D147" s="267" t="s">
        <v>23</v>
      </c>
      <c r="E147" s="270" t="s">
        <v>101</v>
      </c>
      <c r="F147" s="270"/>
      <c r="G147" s="644">
        <v>83398844.495347902</v>
      </c>
      <c r="H147" s="283"/>
      <c r="I147" s="70"/>
      <c r="J147" s="70"/>
      <c r="K147"/>
      <c r="L147"/>
      <c r="M147" s="267"/>
      <c r="N147" s="270"/>
      <c r="O147" s="270"/>
    </row>
    <row r="148" spans="2:15" ht="16" thickBot="1">
      <c r="B148" s="271">
        <f>+B147+1</f>
        <v>77</v>
      </c>
      <c r="C148" s="272"/>
      <c r="D148" s="267" t="s">
        <v>334</v>
      </c>
      <c r="E148" s="270" t="s">
        <v>482</v>
      </c>
      <c r="F148" s="270"/>
      <c r="G148" s="318">
        <f>+'WS F Misc Exp'!D21</f>
        <v>0</v>
      </c>
      <c r="H148" s="283"/>
      <c r="I148" s="70"/>
      <c r="J148" s="70"/>
      <c r="K148"/>
      <c r="L148"/>
      <c r="M148" s="267"/>
      <c r="N148" s="270"/>
      <c r="O148" s="270"/>
    </row>
    <row r="149" spans="2:15">
      <c r="B149" s="271">
        <f>+B148+1</f>
        <v>78</v>
      </c>
      <c r="C149" s="272"/>
      <c r="D149" s="267" t="s">
        <v>386</v>
      </c>
      <c r="E149" s="270" t="str">
        <f>"(lns "&amp;B144&amp;" - "&amp;B146&amp;" - "&amp;B147&amp;" - "&amp;B148&amp;")"</f>
        <v>(lns 73 - 75 - 76 - 77)</v>
      </c>
      <c r="F149" s="267"/>
      <c r="G149" s="283">
        <f>G144-G146-G147-G148</f>
        <v>10900925.011734486</v>
      </c>
      <c r="H149" s="270"/>
      <c r="I149" s="284" t="s">
        <v>122</v>
      </c>
      <c r="J149" s="285">
        <f>L231</f>
        <v>0.98532779030067397</v>
      </c>
      <c r="K149" s="270"/>
      <c r="L149" s="283">
        <f>+J149*G149</f>
        <v>10740984.354045689</v>
      </c>
      <c r="M149" s="267"/>
      <c r="N149" s="270"/>
      <c r="O149" s="270"/>
    </row>
    <row r="150" spans="2:15">
      <c r="B150" s="271"/>
      <c r="C150" s="272"/>
      <c r="D150" s="267"/>
      <c r="E150" s="270"/>
      <c r="F150" s="270"/>
      <c r="G150" s="70"/>
      <c r="H150" s="283"/>
      <c r="I150" s="70"/>
      <c r="J150" s="70"/>
      <c r="K150"/>
      <c r="L150"/>
      <c r="M150" s="267"/>
      <c r="N150" s="270"/>
      <c r="O150" s="270"/>
    </row>
    <row r="151" spans="2:15">
      <c r="B151" s="271">
        <f>+B149+1</f>
        <v>79</v>
      </c>
      <c r="C151" s="272"/>
      <c r="D151" s="267" t="s">
        <v>105</v>
      </c>
      <c r="E151" s="270" t="s">
        <v>750</v>
      </c>
      <c r="F151" s="270"/>
      <c r="G151" s="644">
        <v>17148954.592673801</v>
      </c>
      <c r="H151" s="283"/>
      <c r="I151" s="324"/>
      <c r="J151" s="324"/>
      <c r="K151" s="270"/>
      <c r="L151" s="283"/>
      <c r="M151" s="270"/>
      <c r="N151" s="270"/>
      <c r="O151" s="270"/>
    </row>
    <row r="152" spans="2:15">
      <c r="B152" s="271">
        <f t="shared" ref="B152:B165" si="7">+B151+1</f>
        <v>80</v>
      </c>
      <c r="C152" s="272"/>
      <c r="D152" s="267" t="s">
        <v>332</v>
      </c>
      <c r="E152" s="270" t="s">
        <v>420</v>
      </c>
      <c r="F152" s="270"/>
      <c r="G152" s="644">
        <v>939544.40780609194</v>
      </c>
      <c r="H152" s="283"/>
      <c r="I152" s="324"/>
      <c r="J152" s="267"/>
      <c r="K152" s="270"/>
      <c r="L152" s="283"/>
      <c r="M152"/>
      <c r="N152" s="270"/>
      <c r="O152" s="270"/>
    </row>
    <row r="153" spans="2:15">
      <c r="B153" s="271">
        <f t="shared" si="7"/>
        <v>81</v>
      </c>
      <c r="C153" s="272"/>
      <c r="D153" s="958" t="s">
        <v>861</v>
      </c>
      <c r="E153" s="270" t="str">
        <f>"PBOP Worksheet O Line "&amp;'WS O - PBOP'!A37&amp;" &amp; "&amp;'WS O - PBOP'!A39&amp;", (Note K)"</f>
        <v>PBOP Worksheet O Line 9 &amp; 10, (Note K)</v>
      </c>
      <c r="F153" s="270"/>
      <c r="G153" s="959">
        <f>'WS O - PBOP'!G37+'WS O - PBOP'!G39</f>
        <v>-1412188.9700000007</v>
      </c>
      <c r="H153" s="283"/>
      <c r="I153" s="324"/>
      <c r="J153" s="267"/>
      <c r="K153" s="270"/>
      <c r="L153" s="283"/>
      <c r="M153"/>
      <c r="N153" s="270"/>
      <c r="O153" s="270"/>
    </row>
    <row r="154" spans="2:15">
      <c r="B154" s="271">
        <f t="shared" si="7"/>
        <v>82</v>
      </c>
      <c r="C154" s="272"/>
      <c r="D154" s="267" t="s">
        <v>862</v>
      </c>
      <c r="E154" s="270" t="str">
        <f>"PBOP Worksheet O  Line "&amp;'WS O - PBOP'!A41&amp;", (Note K)"</f>
        <v>PBOP Worksheet O  Line 11, (Note K)</v>
      </c>
      <c r="F154" s="270"/>
      <c r="G154" s="959">
        <f>'WS O - PBOP'!G41</f>
        <v>0</v>
      </c>
      <c r="H154" s="283"/>
      <c r="I154" s="324"/>
      <c r="J154" s="267"/>
      <c r="K154" s="270"/>
      <c r="L154" s="283"/>
      <c r="M154"/>
      <c r="N154" s="270"/>
      <c r="O154" s="270"/>
    </row>
    <row r="155" spans="2:15">
      <c r="B155" s="271">
        <f t="shared" si="7"/>
        <v>83</v>
      </c>
      <c r="C155" s="272"/>
      <c r="D155" s="267" t="s">
        <v>863</v>
      </c>
      <c r="E155" s="270" t="str">
        <f>"PBOP Worksheet O Line "&amp;'WS O - PBOP'!A45&amp;", (Note K)"</f>
        <v>PBOP Worksheet O Line 13, (Note K)</v>
      </c>
      <c r="F155" s="270"/>
      <c r="G155" s="959">
        <f>'WS O - PBOP'!G45</f>
        <v>-1524370.7509908418</v>
      </c>
      <c r="H155" s="283"/>
      <c r="I155" s="324"/>
      <c r="J155" s="267"/>
      <c r="K155" s="270"/>
      <c r="L155" s="283"/>
      <c r="M155"/>
      <c r="N155" s="270"/>
      <c r="O155" s="270"/>
    </row>
    <row r="156" spans="2:15">
      <c r="B156" s="271">
        <f t="shared" si="7"/>
        <v>84</v>
      </c>
      <c r="C156" s="272"/>
      <c r="D156" s="267" t="s">
        <v>331</v>
      </c>
      <c r="E156" s="270" t="s">
        <v>97</v>
      </c>
      <c r="F156" s="270"/>
      <c r="G156" s="644">
        <f>'WS F Misc Exp'!D41</f>
        <v>1579498.1615077499</v>
      </c>
      <c r="H156" s="283"/>
      <c r="I156" s="324"/>
      <c r="J156" s="340"/>
      <c r="K156" s="270"/>
      <c r="L156" s="283"/>
      <c r="M156" s="270"/>
      <c r="N156" s="270"/>
      <c r="O156" s="270"/>
    </row>
    <row r="157" spans="2:15">
      <c r="B157" s="271">
        <f t="shared" si="7"/>
        <v>85</v>
      </c>
      <c r="C157" s="272"/>
      <c r="D157" s="267" t="s">
        <v>109</v>
      </c>
      <c r="E157" s="270" t="s">
        <v>98</v>
      </c>
      <c r="F157" s="270"/>
      <c r="G157" s="644">
        <f>'WS F Misc Exp'!D61</f>
        <v>4950.4894720276297</v>
      </c>
      <c r="H157" s="283"/>
      <c r="I157" s="324"/>
      <c r="J157" s="324"/>
      <c r="K157" s="270"/>
      <c r="L157" s="283"/>
      <c r="M157" s="270"/>
      <c r="N157" s="270"/>
      <c r="O157" s="270"/>
    </row>
    <row r="158" spans="2:15" ht="16" thickBot="1">
      <c r="B158" s="271">
        <f t="shared" si="7"/>
        <v>86</v>
      </c>
      <c r="C158" s="272"/>
      <c r="D158" s="267" t="s">
        <v>333</v>
      </c>
      <c r="E158" s="270" t="s">
        <v>99</v>
      </c>
      <c r="F158" s="270"/>
      <c r="G158" s="645">
        <f>'WS F Misc Exp'!D71</f>
        <v>1424367.912597795</v>
      </c>
      <c r="H158" s="283"/>
      <c r="I158" s="324"/>
      <c r="J158" s="324"/>
      <c r="K158" s="270"/>
      <c r="L158" s="283"/>
      <c r="M158" s="270"/>
      <c r="N158" s="270"/>
      <c r="O158" s="270"/>
    </row>
    <row r="159" spans="2:15">
      <c r="B159" s="271">
        <f t="shared" si="7"/>
        <v>87</v>
      </c>
      <c r="C159" s="272"/>
      <c r="D159" s="267" t="s">
        <v>110</v>
      </c>
      <c r="E159" s="270" t="str">
        <f>"(ln "&amp;B151&amp;" - sum ln "&amp;B152&amp;"  to ln "&amp;B158&amp;")"</f>
        <v>(ln 79 - sum ln 80  to ln 86)</v>
      </c>
      <c r="F159" s="270"/>
      <c r="G159" s="283">
        <f>G151-SUM(G152:G158)</f>
        <v>16137153.342280978</v>
      </c>
      <c r="H159" s="283"/>
      <c r="I159" s="284" t="s">
        <v>134</v>
      </c>
      <c r="J159" s="285">
        <f>L241</f>
        <v>9.849346063238712E-2</v>
      </c>
      <c r="K159" s="270"/>
      <c r="L159" s="283">
        <f>+J159*G159</f>
        <v>1589404.0774367459</v>
      </c>
      <c r="M159" s="270"/>
      <c r="N159" s="270"/>
      <c r="O159" s="270"/>
    </row>
    <row r="160" spans="2:15">
      <c r="B160" s="271">
        <f t="shared" si="7"/>
        <v>88</v>
      </c>
      <c r="C160" s="272"/>
      <c r="D160" s="267" t="s">
        <v>199</v>
      </c>
      <c r="E160" s="270" t="str">
        <f>"(ln "&amp;B152&amp;")"</f>
        <v>(ln 80)</v>
      </c>
      <c r="F160" s="270"/>
      <c r="G160" s="283">
        <f>+G152</f>
        <v>939544.40780609194</v>
      </c>
      <c r="H160" s="283"/>
      <c r="I160" s="284" t="s">
        <v>759</v>
      </c>
      <c r="J160" s="285">
        <f>J75</f>
        <v>0.25776609434465209</v>
      </c>
      <c r="K160" s="270"/>
      <c r="L160" s="283">
        <f>+J160*G160</f>
        <v>242182.69246353538</v>
      </c>
      <c r="M160" s="270"/>
      <c r="N160" s="270"/>
      <c r="O160" s="270"/>
    </row>
    <row r="161" spans="2:15">
      <c r="B161" s="271">
        <f t="shared" si="7"/>
        <v>89</v>
      </c>
      <c r="C161" s="272"/>
      <c r="D161" s="267" t="s">
        <v>232</v>
      </c>
      <c r="E161" s="270" t="str">
        <f>"Worksheet F ln "&amp;'WS F Misc Exp'!A41&amp;".(E) (Note L)"</f>
        <v>Worksheet F ln 20.(E) (Note L)</v>
      </c>
      <c r="F161" s="270"/>
      <c r="G161" s="283">
        <f>+'WS F Misc Exp'!F41</f>
        <v>277142.70800133311</v>
      </c>
      <c r="H161" s="283"/>
      <c r="I161" s="284" t="s">
        <v>122</v>
      </c>
      <c r="J161" s="285">
        <f>L231</f>
        <v>0.98532779030067397</v>
      </c>
      <c r="K161" s="270"/>
      <c r="L161" s="283">
        <f>J161*G161</f>
        <v>273076.41207289847</v>
      </c>
      <c r="M161" s="270"/>
      <c r="N161" s="270"/>
      <c r="O161" s="270"/>
    </row>
    <row r="162" spans="2:15">
      <c r="B162" s="271">
        <f t="shared" si="7"/>
        <v>90</v>
      </c>
      <c r="C162" s="272"/>
      <c r="D162" s="267" t="s">
        <v>242</v>
      </c>
      <c r="E162" s="270" t="str">
        <f>"Worksheet F ln "&amp;'WS F Misc Exp'!A61&amp;".(E) (Note L)"</f>
        <v>Worksheet F ln 37.(E) (Note L)</v>
      </c>
      <c r="F162" s="270"/>
      <c r="G162" s="283">
        <f>+'WS F Misc Exp'!F61</f>
        <v>361.21869500983416</v>
      </c>
      <c r="H162" s="270"/>
      <c r="I162" s="284" t="s">
        <v>122</v>
      </c>
      <c r="J162" s="285">
        <f>L231</f>
        <v>0.98532779030067397</v>
      </c>
      <c r="K162" s="270"/>
      <c r="L162" s="283">
        <f>+J162*G162</f>
        <v>355.91881856933298</v>
      </c>
      <c r="M162" s="270"/>
      <c r="N162" s="270"/>
      <c r="O162" s="270"/>
    </row>
    <row r="163" spans="2:15">
      <c r="B163" s="271">
        <f t="shared" si="7"/>
        <v>91</v>
      </c>
      <c r="C163" s="272"/>
      <c r="D163" s="267" t="s">
        <v>243</v>
      </c>
      <c r="E163" s="270" t="str">
        <f>"Worksheet F ln "&amp;'WS F Misc Exp'!A71&amp;".(E) (Note L)"</f>
        <v>Worksheet F ln 44.(E) (Note L)</v>
      </c>
      <c r="F163" s="270"/>
      <c r="G163" s="283">
        <f>+'WS F Misc Exp'!F71</f>
        <v>295539.62786659529</v>
      </c>
      <c r="H163" s="341"/>
      <c r="I163" s="284" t="s">
        <v>131</v>
      </c>
      <c r="J163" s="285">
        <v>1</v>
      </c>
      <c r="K163" s="270"/>
      <c r="L163" s="283">
        <f>+J163*G163</f>
        <v>295539.62786659529</v>
      </c>
      <c r="M163" s="270"/>
      <c r="N163" s="270"/>
      <c r="O163" s="270"/>
    </row>
    <row r="164" spans="2:15">
      <c r="B164" s="271">
        <f t="shared" si="7"/>
        <v>92</v>
      </c>
      <c r="C164" s="272"/>
      <c r="D164" s="267" t="s">
        <v>864</v>
      </c>
      <c r="E164" s="270" t="s">
        <v>866</v>
      </c>
      <c r="F164" s="270"/>
      <c r="G164" s="362">
        <f>'WS O - PBOP'!E24</f>
        <v>4319400</v>
      </c>
      <c r="H164" s="341"/>
      <c r="I164" s="284" t="s">
        <v>134</v>
      </c>
      <c r="J164" s="285">
        <f>L241</f>
        <v>9.849346063238712E-2</v>
      </c>
      <c r="K164" s="270"/>
      <c r="L164" s="362">
        <f>+J164*G164</f>
        <v>425432.65385553293</v>
      </c>
      <c r="M164" s="270"/>
      <c r="N164" s="270"/>
      <c r="O164" s="270"/>
    </row>
    <row r="165" spans="2:15">
      <c r="B165" s="271">
        <f t="shared" si="7"/>
        <v>93</v>
      </c>
      <c r="C165" s="272"/>
      <c r="D165" s="267" t="s">
        <v>111</v>
      </c>
      <c r="E165" s="270" t="str">
        <f>"(sum lns "&amp;B159&amp;"  to "&amp;B164&amp;")"</f>
        <v>(sum lns 87  to 92)</v>
      </c>
      <c r="F165" s="270"/>
      <c r="G165" s="283">
        <f>SUM(G159:G164)</f>
        <v>21969141.304650012</v>
      </c>
      <c r="H165" s="283"/>
      <c r="I165" s="284"/>
      <c r="J165" s="324"/>
      <c r="K165" s="270"/>
      <c r="L165" s="283">
        <f>SUM(L159:L164)</f>
        <v>2825991.3825138775</v>
      </c>
      <c r="M165" s="270"/>
      <c r="N165" s="283"/>
      <c r="O165" s="270"/>
    </row>
    <row r="166" spans="2:15" ht="16" thickBot="1">
      <c r="B166" s="271"/>
      <c r="C166" s="272"/>
      <c r="D166" s="267"/>
      <c r="E166" s="270"/>
      <c r="F166" s="270"/>
      <c r="G166" s="318"/>
      <c r="H166" s="270"/>
      <c r="I166" s="284"/>
      <c r="J166" s="324"/>
      <c r="K166" s="270"/>
      <c r="L166" s="318"/>
      <c r="M166" s="270"/>
      <c r="N166" s="270"/>
      <c r="O166" s="270"/>
    </row>
    <row r="167" spans="2:15">
      <c r="B167" s="271">
        <f>+B165+1</f>
        <v>94</v>
      </c>
      <c r="C167" s="272"/>
      <c r="D167" s="267" t="s">
        <v>416</v>
      </c>
      <c r="E167" s="270" t="str">
        <f>"(ln "&amp;B149&amp;" + ln "&amp;B165&amp;")"</f>
        <v>(ln 78 + ln 93)</v>
      </c>
      <c r="F167" s="270"/>
      <c r="G167" s="283">
        <f>+G149+G165</f>
        <v>32870066.316384498</v>
      </c>
      <c r="H167" s="283"/>
      <c r="I167" s="284"/>
      <c r="J167" s="270"/>
      <c r="K167" s="270"/>
      <c r="L167" s="283">
        <f>L149+L165</f>
        <v>13566975.736559566</v>
      </c>
      <c r="M167" s="270"/>
      <c r="N167" s="270"/>
      <c r="O167" s="270"/>
    </row>
    <row r="168" spans="2:15" ht="16" thickBot="1">
      <c r="B168" s="271">
        <f>+B167+1</f>
        <v>95</v>
      </c>
      <c r="C168" s="272"/>
      <c r="D168" s="267" t="s">
        <v>488</v>
      </c>
      <c r="E168" s="267"/>
      <c r="F168" s="270"/>
      <c r="G168" s="645">
        <v>0</v>
      </c>
      <c r="H168" s="283"/>
      <c r="I168" s="284" t="s">
        <v>131</v>
      </c>
      <c r="J168" s="285">
        <v>1</v>
      </c>
      <c r="K168" s="270"/>
      <c r="L168" s="318">
        <f>J168*G168</f>
        <v>0</v>
      </c>
      <c r="M168" s="270"/>
      <c r="N168" s="270"/>
      <c r="O168" s="270"/>
    </row>
    <row r="169" spans="2:15">
      <c r="B169" s="271">
        <f>+B168+1</f>
        <v>96</v>
      </c>
      <c r="C169" s="272"/>
      <c r="D169" s="267" t="s">
        <v>112</v>
      </c>
      <c r="E169" s="270" t="str">
        <f>"(ln "&amp;B167&amp;" + ln "&amp;B168&amp;")"</f>
        <v>(ln 94 + ln 95)</v>
      </c>
      <c r="F169" s="270"/>
      <c r="G169" s="283">
        <f>+G167+G168</f>
        <v>32870066.316384498</v>
      </c>
      <c r="H169" s="283"/>
      <c r="I169" s="284"/>
      <c r="J169" s="270"/>
      <c r="K169" s="270"/>
      <c r="L169" s="283">
        <f>+L167+L168</f>
        <v>13566975.736559566</v>
      </c>
      <c r="M169" s="270"/>
      <c r="N169" s="270"/>
      <c r="O169" s="270"/>
    </row>
    <row r="170" spans="2:15">
      <c r="B170" s="271"/>
      <c r="C170" s="272"/>
      <c r="D170" s="267"/>
      <c r="E170" s="270"/>
      <c r="F170" s="270"/>
      <c r="G170" s="283"/>
      <c r="H170" s="270"/>
      <c r="I170" s="270"/>
      <c r="J170" s="270"/>
      <c r="K170" s="270"/>
      <c r="L170" s="283"/>
      <c r="M170" s="270"/>
      <c r="N170" s="270"/>
      <c r="O170" s="270"/>
    </row>
    <row r="171" spans="2:15">
      <c r="B171" s="271">
        <f>+B169+1</f>
        <v>97</v>
      </c>
      <c r="C171" s="272"/>
      <c r="D171" s="267" t="s">
        <v>115</v>
      </c>
      <c r="E171" s="284"/>
      <c r="F171" s="284"/>
      <c r="G171" s="283"/>
      <c r="H171" s="270"/>
      <c r="I171" s="284"/>
      <c r="J171" s="270"/>
      <c r="K171" s="270"/>
      <c r="L171" s="283"/>
      <c r="M171" s="270"/>
      <c r="N171" s="270"/>
      <c r="O171" s="270"/>
    </row>
    <row r="172" spans="2:15">
      <c r="B172" s="271">
        <f t="shared" ref="B172:B177" si="8">+B171+1</f>
        <v>98</v>
      </c>
      <c r="C172" s="272"/>
      <c r="D172" s="267" t="s">
        <v>128</v>
      </c>
      <c r="E172" s="281" t="s">
        <v>426</v>
      </c>
      <c r="F172" s="284"/>
      <c r="G172" s="644">
        <v>37161505.442321889</v>
      </c>
      <c r="H172" s="270"/>
      <c r="I172" s="284" t="s">
        <v>129</v>
      </c>
      <c r="J172" s="285">
        <v>0</v>
      </c>
      <c r="K172" s="270"/>
      <c r="L172" s="283">
        <f>+G172*J172</f>
        <v>0</v>
      </c>
      <c r="M172" s="270"/>
      <c r="N172" s="270"/>
      <c r="O172" s="270"/>
    </row>
    <row r="173" spans="2:15">
      <c r="B173" s="271">
        <f t="shared" si="8"/>
        <v>99</v>
      </c>
      <c r="C173" s="272"/>
      <c r="D173" s="267" t="s">
        <v>132</v>
      </c>
      <c r="E173" s="281" t="s">
        <v>425</v>
      </c>
      <c r="F173" s="284"/>
      <c r="G173" s="644">
        <v>40590976.122891001</v>
      </c>
      <c r="H173" s="270"/>
      <c r="I173" s="284" t="s">
        <v>129</v>
      </c>
      <c r="J173" s="285">
        <v>0</v>
      </c>
      <c r="K173" s="270"/>
      <c r="L173" s="283">
        <f>+G173*J173</f>
        <v>0</v>
      </c>
      <c r="M173" s="270"/>
      <c r="N173" s="270"/>
      <c r="O173" s="270"/>
    </row>
    <row r="174" spans="2:15">
      <c r="B174" s="271">
        <f t="shared" si="8"/>
        <v>100</v>
      </c>
      <c r="C174" s="272"/>
      <c r="D174" s="313" t="str">
        <f>+D144</f>
        <v xml:space="preserve">  Transmission </v>
      </c>
      <c r="E174" s="281" t="s">
        <v>421</v>
      </c>
      <c r="F174" s="314"/>
      <c r="G174" s="644">
        <v>24018996.447425399</v>
      </c>
      <c r="H174" s="342"/>
      <c r="I174" s="315" t="s">
        <v>26</v>
      </c>
      <c r="J174" s="285">
        <f>J80</f>
        <v>0.97657036179168522</v>
      </c>
      <c r="K174" s="316"/>
      <c r="L174" s="317">
        <f>J174*G174</f>
        <v>23456240.050535426</v>
      </c>
      <c r="M174" s="316"/>
      <c r="N174" s="270"/>
      <c r="O174" s="270"/>
    </row>
    <row r="175" spans="2:15">
      <c r="B175" s="271">
        <f>+B174+1</f>
        <v>101</v>
      </c>
      <c r="C175" s="272"/>
      <c r="D175" s="267" t="s">
        <v>138</v>
      </c>
      <c r="E175" s="314" t="s">
        <v>422</v>
      </c>
      <c r="F175" s="270"/>
      <c r="G175" s="644">
        <v>5193131.6417929195</v>
      </c>
      <c r="H175" s="283"/>
      <c r="I175" s="284" t="s">
        <v>134</v>
      </c>
      <c r="J175" s="285">
        <f>L241</f>
        <v>9.849346063238712E-2</v>
      </c>
      <c r="K175" s="270"/>
      <c r="L175" s="283">
        <f>+J175*G175</f>
        <v>511489.50691973482</v>
      </c>
      <c r="M175" s="270"/>
      <c r="N175" s="270"/>
      <c r="O175" s="270"/>
    </row>
    <row r="176" spans="2:15" ht="16" thickBot="1">
      <c r="B176" s="271">
        <f t="shared" si="8"/>
        <v>102</v>
      </c>
      <c r="C176" s="272"/>
      <c r="D176" s="267" t="s">
        <v>139</v>
      </c>
      <c r="E176" s="314" t="s">
        <v>423</v>
      </c>
      <c r="F176" s="270"/>
      <c r="G176" s="645">
        <v>10042279.6073949</v>
      </c>
      <c r="H176" s="283"/>
      <c r="I176" s="284" t="s">
        <v>134</v>
      </c>
      <c r="J176" s="285">
        <f>L241</f>
        <v>9.849346063238712E-2</v>
      </c>
      <c r="K176" s="270"/>
      <c r="L176" s="318">
        <f>+J176*G176</f>
        <v>989098.87117037363</v>
      </c>
      <c r="M176" s="270"/>
      <c r="N176" s="270"/>
      <c r="O176" s="270"/>
    </row>
    <row r="177" spans="2:15">
      <c r="B177" s="271">
        <f t="shared" si="8"/>
        <v>103</v>
      </c>
      <c r="C177" s="272"/>
      <c r="D177" s="267" t="s">
        <v>303</v>
      </c>
      <c r="E177" s="1155" t="str">
        <f>"(Ln "&amp;B172&amp;"+"&amp;B173&amp;"+
"&amp;B174&amp;"+"&amp;B175&amp;"+"&amp;B176&amp;")"</f>
        <v>(Ln 98+99+
100+101+102)</v>
      </c>
      <c r="F177" s="270"/>
      <c r="G177" s="283">
        <f>+G172+G173+G174+G175+G176</f>
        <v>117006889.26182611</v>
      </c>
      <c r="H177" s="270"/>
      <c r="I177" s="284"/>
      <c r="J177" s="270"/>
      <c r="K177" s="270"/>
      <c r="L177" s="283">
        <f>+L172+L173+L174+L175+L176</f>
        <v>24956828.428625531</v>
      </c>
      <c r="M177" s="270"/>
      <c r="N177" s="270"/>
      <c r="O177" s="270"/>
    </row>
    <row r="178" spans="2:15">
      <c r="B178" s="271"/>
      <c r="C178" s="272"/>
      <c r="D178" s="267"/>
      <c r="E178" s="1156"/>
      <c r="F178" s="270"/>
      <c r="G178" s="283"/>
      <c r="H178" s="270"/>
      <c r="I178" s="284"/>
      <c r="J178" s="270"/>
      <c r="K178" s="270"/>
      <c r="L178" s="283"/>
      <c r="M178" s="270"/>
      <c r="N178" s="270"/>
      <c r="O178" s="270"/>
    </row>
    <row r="179" spans="2:15">
      <c r="B179" s="271">
        <f>+B177+1</f>
        <v>104</v>
      </c>
      <c r="C179" s="272"/>
      <c r="D179" s="267" t="s">
        <v>33</v>
      </c>
      <c r="E179" s="263" t="s">
        <v>424</v>
      </c>
      <c r="G179" s="283"/>
      <c r="H179" s="270"/>
      <c r="I179" s="284"/>
      <c r="J179" s="270"/>
      <c r="K179" s="270"/>
      <c r="L179" s="283"/>
      <c r="M179" s="270"/>
      <c r="N179" s="335"/>
      <c r="O179" s="270"/>
    </row>
    <row r="180" spans="2:15">
      <c r="B180" s="271">
        <f t="shared" ref="B180:B185" si="9">+B179+1</f>
        <v>105</v>
      </c>
      <c r="C180" s="272"/>
      <c r="D180" s="267" t="s">
        <v>140</v>
      </c>
      <c r="G180" s="283"/>
      <c r="H180" s="270"/>
      <c r="I180" s="284"/>
      <c r="K180" s="270"/>
      <c r="L180" s="283"/>
      <c r="M180" s="270"/>
      <c r="N180" s="270"/>
      <c r="O180" s="270"/>
    </row>
    <row r="181" spans="2:15">
      <c r="B181" s="271">
        <f t="shared" si="9"/>
        <v>106</v>
      </c>
      <c r="C181" s="272"/>
      <c r="D181" s="267" t="s">
        <v>141</v>
      </c>
      <c r="E181" s="270" t="str">
        <f>"Worksheet H ln "&amp;'WS H Other Taxes'!A43&amp;"."&amp;'WS H Other Taxes'!I10&amp;""</f>
        <v>Worksheet H ln 24.(D)</v>
      </c>
      <c r="F181" s="270"/>
      <c r="G181" s="283">
        <f>+'WS H Other Taxes'!I43</f>
        <v>1295731.8744767294</v>
      </c>
      <c r="H181" s="283"/>
      <c r="I181" s="284" t="s">
        <v>134</v>
      </c>
      <c r="J181" s="285">
        <f>L241</f>
        <v>9.849346063238712E-2</v>
      </c>
      <c r="K181" s="270"/>
      <c r="L181" s="283">
        <f>+J181*G181</f>
        <v>127621.11636890292</v>
      </c>
      <c r="M181" s="330"/>
      <c r="N181" s="270"/>
      <c r="O181" s="270"/>
    </row>
    <row r="182" spans="2:15">
      <c r="B182" s="271">
        <f t="shared" si="9"/>
        <v>107</v>
      </c>
      <c r="C182" s="272"/>
      <c r="D182" s="267" t="s">
        <v>142</v>
      </c>
      <c r="E182" s="270" t="s">
        <v>116</v>
      </c>
      <c r="F182" s="270"/>
      <c r="G182" s="283"/>
      <c r="H182" s="283"/>
      <c r="I182" s="284"/>
      <c r="K182" s="270"/>
      <c r="L182" s="283"/>
      <c r="M182" s="270"/>
      <c r="N182" s="270"/>
      <c r="O182" s="270"/>
    </row>
    <row r="183" spans="2:15">
      <c r="B183" s="271">
        <f t="shared" si="9"/>
        <v>108</v>
      </c>
      <c r="C183" s="272"/>
      <c r="D183" s="267" t="s">
        <v>143</v>
      </c>
      <c r="E183" s="270" t="str">
        <f>"Worksheet H ln "&amp;'WS H Other Taxes'!A43&amp;"."&amp;'WS H Other Taxes'!G10&amp;""</f>
        <v>Worksheet H ln 24.(C)</v>
      </c>
      <c r="F183" s="270"/>
      <c r="G183" s="283">
        <f>+'WS H Other Taxes'!G43</f>
        <v>23726574.999999899</v>
      </c>
      <c r="H183" s="283"/>
      <c r="I183" s="284" t="s">
        <v>131</v>
      </c>
      <c r="J183" s="285"/>
      <c r="K183" s="270"/>
      <c r="L183" s="335">
        <f>'WS H-1-Detail of Tax Amts'!I25</f>
        <v>8506857.709221568</v>
      </c>
      <c r="M183" s="343"/>
      <c r="N183" s="335"/>
      <c r="O183" s="270"/>
    </row>
    <row r="184" spans="2:15">
      <c r="B184" s="271">
        <f t="shared" si="9"/>
        <v>109</v>
      </c>
      <c r="C184" s="272"/>
      <c r="D184" s="267" t="s">
        <v>202</v>
      </c>
      <c r="E184" s="270" t="str">
        <f>"Worksheet H ln "&amp;'WS H Other Taxes'!A43&amp;"."&amp;'WS H Other Taxes'!M10&amp;""</f>
        <v>Worksheet H ln 24.(F)</v>
      </c>
      <c r="F184" s="270"/>
      <c r="G184" s="283">
        <f>+'WS H Other Taxes'!M43</f>
        <v>7441200</v>
      </c>
      <c r="H184" s="70"/>
      <c r="I184" s="284" t="s">
        <v>129</v>
      </c>
      <c r="J184" s="285">
        <v>0</v>
      </c>
      <c r="K184" s="270"/>
      <c r="L184" s="283">
        <f>+J184*G184</f>
        <v>0</v>
      </c>
      <c r="M184" s="270"/>
      <c r="N184" s="270"/>
      <c r="O184" s="270"/>
    </row>
    <row r="185" spans="2:15" ht="16" thickBot="1">
      <c r="B185" s="271">
        <f t="shared" si="9"/>
        <v>110</v>
      </c>
      <c r="C185" s="272"/>
      <c r="D185" s="267" t="s">
        <v>144</v>
      </c>
      <c r="E185" s="270" t="str">
        <f>"Worksheet H ln "&amp;'WS H Other Taxes'!A43&amp;"."&amp;'WS H Other Taxes'!K10&amp;""</f>
        <v>Worksheet H ln 24.(E)</v>
      </c>
      <c r="F185" s="270"/>
      <c r="G185" s="318">
        <f>+'WS H Other Taxes'!K43</f>
        <v>0</v>
      </c>
      <c r="H185" s="70"/>
      <c r="I185" s="284" t="s">
        <v>759</v>
      </c>
      <c r="J185" s="285">
        <f>J75</f>
        <v>0.25776609434465209</v>
      </c>
      <c r="K185" s="270"/>
      <c r="L185" s="318">
        <f>+J185*G185</f>
        <v>0</v>
      </c>
      <c r="M185" s="270"/>
      <c r="N185" s="270"/>
      <c r="O185" s="270"/>
    </row>
    <row r="186" spans="2:15">
      <c r="B186" s="271">
        <f>+B185+1</f>
        <v>111</v>
      </c>
      <c r="C186" s="272"/>
      <c r="D186" s="267" t="s">
        <v>34</v>
      </c>
      <c r="E186" s="281" t="str">
        <f>"(sum lns "&amp;B181&amp;" to "&amp;B185&amp;")"</f>
        <v>(sum lns 106 to 110)</v>
      </c>
      <c r="F186" s="270"/>
      <c r="G186" s="283">
        <f>SUM(G181:G185)</f>
        <v>32463506.87447663</v>
      </c>
      <c r="H186" s="270"/>
      <c r="I186" s="284"/>
      <c r="J186" s="344"/>
      <c r="K186" s="270"/>
      <c r="L186" s="283">
        <f>SUM(L181:L185)</f>
        <v>8634478.8255904708</v>
      </c>
      <c r="M186" s="270"/>
      <c r="N186" s="270"/>
      <c r="O186" s="270"/>
    </row>
    <row r="187" spans="2:15">
      <c r="B187" s="271"/>
      <c r="C187" s="272"/>
      <c r="D187" s="267"/>
      <c r="E187" s="270"/>
      <c r="F187" s="270"/>
      <c r="G187" s="270"/>
      <c r="H187" s="270"/>
      <c r="I187" s="284"/>
      <c r="J187" s="344"/>
      <c r="K187" s="270"/>
      <c r="L187" s="270"/>
      <c r="M187" s="329"/>
      <c r="N187" s="270"/>
      <c r="O187" s="270"/>
    </row>
    <row r="188" spans="2:15">
      <c r="B188" s="271">
        <f>+B186+1</f>
        <v>112</v>
      </c>
      <c r="C188" s="272"/>
      <c r="D188" s="267" t="s">
        <v>339</v>
      </c>
      <c r="E188" s="270" t="s">
        <v>427</v>
      </c>
      <c r="F188" s="345"/>
      <c r="G188" s="270"/>
      <c r="H188" s="70"/>
      <c r="I188" s="336"/>
      <c r="K188" s="270"/>
      <c r="L188" s="346"/>
      <c r="M188" s="270"/>
      <c r="N188" s="270"/>
      <c r="O188" s="270"/>
    </row>
    <row r="189" spans="2:15">
      <c r="B189" s="271">
        <f t="shared" ref="B189:B196" si="10">+B188+1</f>
        <v>113</v>
      </c>
      <c r="C189" s="272"/>
      <c r="D189" s="330" t="s">
        <v>340</v>
      </c>
      <c r="E189" s="270"/>
      <c r="F189" s="347"/>
      <c r="G189" s="348">
        <f>IF(F339&gt;0,1-(((1-F340)*(1-F339))/(1-F340*F339*F341)),0)</f>
        <v>0.249579</v>
      </c>
      <c r="H189" s="349"/>
      <c r="I189" s="349"/>
      <c r="K189" s="350"/>
      <c r="L189" s="346"/>
      <c r="M189" s="270"/>
      <c r="N189" s="270"/>
      <c r="O189" s="270"/>
    </row>
    <row r="190" spans="2:15">
      <c r="B190" s="271">
        <f t="shared" si="10"/>
        <v>114</v>
      </c>
      <c r="C190" s="272"/>
      <c r="D190" s="263" t="s">
        <v>341</v>
      </c>
      <c r="E190" s="270"/>
      <c r="F190" s="347"/>
      <c r="G190" s="348">
        <f>IF(L255&gt;0,($G189/(1-$G189))*(1-$L255/$L258),0)</f>
        <v>0.19337885061456153</v>
      </c>
      <c r="H190" s="349"/>
      <c r="I190" s="349"/>
      <c r="K190" s="350"/>
      <c r="L190" s="346"/>
      <c r="M190" s="270"/>
      <c r="N190" s="270"/>
      <c r="O190" s="270"/>
    </row>
    <row r="191" spans="2:15">
      <c r="B191" s="271">
        <f t="shared" si="10"/>
        <v>115</v>
      </c>
      <c r="C191" s="272"/>
      <c r="D191" s="267" t="str">
        <f>"       where WCLTD=(ln "&amp;B255&amp;") and WACC = (ln "&amp;B258&amp;")"</f>
        <v xml:space="preserve">       where WCLTD=(ln 154) and WACC = (ln 157)</v>
      </c>
      <c r="E191" s="270"/>
      <c r="F191" s="345"/>
      <c r="G191" s="270"/>
      <c r="H191" s="349"/>
      <c r="I191" s="349"/>
      <c r="J191" s="351"/>
      <c r="K191" s="350"/>
      <c r="L191" s="352"/>
      <c r="M191" s="270"/>
      <c r="N191" s="270"/>
      <c r="O191" s="270"/>
    </row>
    <row r="192" spans="2:15">
      <c r="B192" s="271">
        <f t="shared" si="10"/>
        <v>116</v>
      </c>
      <c r="C192" s="272"/>
      <c r="D192" s="267" t="s">
        <v>430</v>
      </c>
      <c r="E192" s="353"/>
      <c r="F192" s="347"/>
      <c r="G192" s="270"/>
      <c r="H192" s="70"/>
      <c r="I192" s="336"/>
      <c r="J192" s="351"/>
      <c r="K192" s="350"/>
      <c r="L192" s="346"/>
      <c r="M192" s="270"/>
      <c r="N192" s="270"/>
      <c r="O192" s="270"/>
    </row>
    <row r="193" spans="2:15">
      <c r="B193" s="271">
        <f t="shared" si="10"/>
        <v>117</v>
      </c>
      <c r="C193" s="272"/>
      <c r="D193" s="330" t="str">
        <f>"      GRCF=1 / (1 - T)  = (from ln "&amp;B189&amp;")"</f>
        <v xml:space="preserve">      GRCF=1 / (1 - T)  = (from ln 113)</v>
      </c>
      <c r="E193" s="345"/>
      <c r="F193" s="345"/>
      <c r="G193" s="354">
        <f>IF(G189&gt;0,1/(1-G189),0)</f>
        <v>1.3325853087800048</v>
      </c>
      <c r="H193" s="70"/>
      <c r="I193" s="297"/>
      <c r="J193" s="355"/>
      <c r="K193" s="356"/>
      <c r="L193" s="357"/>
      <c r="M193" s="270"/>
      <c r="N193" s="270"/>
      <c r="O193" s="270"/>
    </row>
    <row r="194" spans="2:15">
      <c r="B194" s="271">
        <f t="shared" si="10"/>
        <v>118</v>
      </c>
      <c r="C194" s="272"/>
      <c r="D194" s="267" t="s">
        <v>342</v>
      </c>
      <c r="E194" s="324" t="s">
        <v>506</v>
      </c>
      <c r="F194" s="345"/>
      <c r="G194" s="644">
        <v>0</v>
      </c>
      <c r="H194" s="70"/>
      <c r="I194" s="297"/>
      <c r="J194" s="358"/>
      <c r="K194" s="356"/>
      <c r="L194" s="346"/>
      <c r="M194" s="284"/>
      <c r="N194" s="270"/>
      <c r="O194" s="270"/>
    </row>
    <row r="195" spans="2:15">
      <c r="B195" s="271">
        <f t="shared" si="10"/>
        <v>119</v>
      </c>
      <c r="C195" s="272"/>
      <c r="D195" s="263" t="s">
        <v>534</v>
      </c>
      <c r="E195" s="270" t="s">
        <v>547</v>
      </c>
      <c r="F195" s="359"/>
      <c r="G195" s="644">
        <v>-2866079.0350991581</v>
      </c>
      <c r="H195" s="70"/>
      <c r="I195" s="284" t="s">
        <v>131</v>
      </c>
      <c r="J195" s="358"/>
      <c r="K195" s="356"/>
      <c r="L195" s="644">
        <v>-1153567.6486814786</v>
      </c>
      <c r="M195" s="284"/>
      <c r="N195" s="270"/>
      <c r="O195" s="270"/>
    </row>
    <row r="196" spans="2:15">
      <c r="B196" s="271">
        <f t="shared" si="10"/>
        <v>120</v>
      </c>
      <c r="C196" s="272"/>
      <c r="D196" s="263" t="s">
        <v>749</v>
      </c>
      <c r="E196" s="270" t="s">
        <v>547</v>
      </c>
      <c r="F196" s="359"/>
      <c r="G196" s="644">
        <v>916008.23999999778</v>
      </c>
      <c r="H196" s="70"/>
      <c r="I196" s="284" t="s">
        <v>131</v>
      </c>
      <c r="J196" s="358"/>
      <c r="K196" s="356"/>
      <c r="L196" s="644">
        <v>584913.08819999953</v>
      </c>
      <c r="M196" s="284"/>
      <c r="N196" s="270"/>
      <c r="O196" s="270"/>
    </row>
    <row r="197" spans="2:15">
      <c r="B197" s="271"/>
      <c r="C197" s="272"/>
      <c r="D197" s="267"/>
      <c r="E197" s="270"/>
      <c r="F197" s="347"/>
      <c r="G197" s="283"/>
      <c r="H197" s="70"/>
      <c r="I197" s="297"/>
      <c r="J197" s="360"/>
      <c r="K197" s="356"/>
      <c r="L197" s="346"/>
      <c r="M197" s="270"/>
      <c r="N197" s="270"/>
      <c r="O197" s="270"/>
    </row>
    <row r="198" spans="2:15">
      <c r="B198" s="271">
        <f>+B196+1</f>
        <v>121</v>
      </c>
      <c r="C198" s="272"/>
      <c r="D198" s="330" t="s">
        <v>343</v>
      </c>
      <c r="E198" s="359" t="str">
        <f>"(ln "&amp;B190&amp;" * ln "&amp;B205&amp;")"</f>
        <v>(ln 114 * ln 126)</v>
      </c>
      <c r="F198" s="361"/>
      <c r="G198" s="283">
        <f>+G190*G205</f>
        <v>24405224.987054426</v>
      </c>
      <c r="H198" s="70"/>
      <c r="I198" s="297"/>
      <c r="J198" s="360"/>
      <c r="K198" s="283"/>
      <c r="L198" s="283">
        <f>+L205*G190</f>
        <v>7798577.2844836591</v>
      </c>
      <c r="M198" s="270"/>
      <c r="N198" s="270"/>
      <c r="O198" s="270"/>
    </row>
    <row r="199" spans="2:15">
      <c r="B199" s="271">
        <f>+B198+1</f>
        <v>122</v>
      </c>
      <c r="C199" s="272"/>
      <c r="D199" s="263" t="s">
        <v>344</v>
      </c>
      <c r="E199" s="359" t="str">
        <f>"(ln "&amp;B193&amp;" * ln "&amp;B194&amp;")"</f>
        <v>(ln 117 * ln 118)</v>
      </c>
      <c r="F199" s="359"/>
      <c r="G199" s="283">
        <f>G193*G194</f>
        <v>0</v>
      </c>
      <c r="H199" s="70"/>
      <c r="I199" s="284" t="s">
        <v>759</v>
      </c>
      <c r="J199" s="285">
        <f>J75</f>
        <v>0.25776609434465209</v>
      </c>
      <c r="K199" s="283"/>
      <c r="L199" s="283">
        <f>+G199*J199</f>
        <v>0</v>
      </c>
      <c r="M199" s="270"/>
      <c r="N199" s="270"/>
      <c r="O199" s="270"/>
    </row>
    <row r="200" spans="2:15">
      <c r="B200" s="271">
        <f>B199+1</f>
        <v>123</v>
      </c>
      <c r="C200" s="272"/>
      <c r="D200" s="263" t="s">
        <v>534</v>
      </c>
      <c r="E200" s="359" t="str">
        <f>"(ln "&amp;B193&amp;" * ln "&amp;B195&amp;")"</f>
        <v>(ln 117 * ln 119)</v>
      </c>
      <c r="F200" s="359"/>
      <c r="G200" s="283">
        <f>G195*G193</f>
        <v>-3819294.8159755096</v>
      </c>
      <c r="H200" s="70"/>
      <c r="I200" s="299"/>
      <c r="J200" s="285"/>
      <c r="K200" s="283"/>
      <c r="L200" s="283">
        <f>L195*G193</f>
        <v>-1537227.3013168322</v>
      </c>
      <c r="M200" s="270"/>
      <c r="N200" s="270"/>
      <c r="O200" s="270"/>
    </row>
    <row r="201" spans="2:15">
      <c r="B201" s="271">
        <f>B200+1</f>
        <v>124</v>
      </c>
      <c r="C201" s="272"/>
      <c r="D201" s="263" t="s">
        <v>749</v>
      </c>
      <c r="E201" s="359" t="str">
        <f>"(ln "&amp;B193&amp;" * ln "&amp;B196&amp;")"</f>
        <v>(ln 117 * ln 120)</v>
      </c>
      <c r="F201" s="359"/>
      <c r="G201" s="362">
        <f>G196*G193</f>
        <v>1220659.1233454258</v>
      </c>
      <c r="H201" s="70"/>
      <c r="I201" s="299"/>
      <c r="J201" s="285"/>
      <c r="K201" s="283"/>
      <c r="L201" s="362">
        <f>L196*G193</f>
        <v>779446.58824846253</v>
      </c>
      <c r="M201" s="270"/>
      <c r="N201" s="270"/>
      <c r="O201" s="270"/>
    </row>
    <row r="202" spans="2:15">
      <c r="B202" s="271"/>
      <c r="C202" s="272"/>
      <c r="E202" s="359"/>
      <c r="F202" s="359"/>
      <c r="G202" s="283"/>
      <c r="H202" s="70"/>
      <c r="I202" s="299"/>
      <c r="J202" s="285"/>
      <c r="K202" s="283"/>
      <c r="L202" s="283"/>
      <c r="M202" s="270"/>
      <c r="N202" s="270"/>
      <c r="O202" s="270"/>
    </row>
    <row r="203" spans="2:15">
      <c r="B203" s="271">
        <f>+B201+1</f>
        <v>125</v>
      </c>
      <c r="C203" s="272"/>
      <c r="D203" s="330" t="s">
        <v>36</v>
      </c>
      <c r="E203" s="270" t="str">
        <f>"(sum lns "&amp;B198&amp;" to "&amp;B201&amp;")"</f>
        <v>(sum lns 121 to 124)</v>
      </c>
      <c r="F203" s="359"/>
      <c r="G203" s="299">
        <f>SUM(G198:G201)</f>
        <v>21806589.294424344</v>
      </c>
      <c r="H203" s="70"/>
      <c r="I203" s="297" t="s">
        <v>116</v>
      </c>
      <c r="J203" s="363"/>
      <c r="K203" s="283"/>
      <c r="L203" s="299">
        <f>SUM(L198:L201)</f>
        <v>7040796.5714152893</v>
      </c>
      <c r="M203" s="270"/>
      <c r="N203" s="270"/>
      <c r="O203" s="270"/>
    </row>
    <row r="204" spans="2:15">
      <c r="B204" s="271"/>
      <c r="C204" s="272"/>
      <c r="D204" s="267"/>
      <c r="E204" s="270"/>
      <c r="F204" s="270"/>
      <c r="G204" s="270"/>
      <c r="H204" s="270"/>
      <c r="I204" s="284"/>
      <c r="J204" s="344"/>
      <c r="K204" s="270"/>
      <c r="L204" s="270"/>
      <c r="M204" s="270"/>
      <c r="N204" s="270"/>
      <c r="O204" s="270"/>
    </row>
    <row r="205" spans="2:15">
      <c r="B205" s="271">
        <f>+B203+1</f>
        <v>126</v>
      </c>
      <c r="C205" s="272"/>
      <c r="D205" s="330" t="s">
        <v>201</v>
      </c>
      <c r="E205" s="330" t="str">
        <f>"(ln "&amp;B125&amp;" * ln "&amp;B258&amp;")"</f>
        <v>(ln 68 * ln 157)</v>
      </c>
      <c r="F205" s="326"/>
      <c r="G205" s="283">
        <f>+$L258*G125</f>
        <v>126204209.55804719</v>
      </c>
      <c r="H205" s="270"/>
      <c r="I205" s="297"/>
      <c r="J205" s="283"/>
      <c r="K205" s="283"/>
      <c r="L205" s="283">
        <f>+L258*L125</f>
        <v>40327974.127985753</v>
      </c>
      <c r="M205" s="270"/>
      <c r="N205" s="346"/>
      <c r="O205" s="346"/>
    </row>
    <row r="206" spans="2:15">
      <c r="B206" s="271"/>
      <c r="C206" s="272"/>
      <c r="D206" s="330"/>
      <c r="G206" s="283"/>
      <c r="H206" s="283"/>
      <c r="I206" s="297"/>
      <c r="J206" s="297"/>
      <c r="K206" s="283"/>
      <c r="L206" s="283"/>
      <c r="M206" s="270"/>
    </row>
    <row r="207" spans="2:15">
      <c r="B207" s="271">
        <f>+B205+1</f>
        <v>127</v>
      </c>
      <c r="C207" s="272"/>
      <c r="D207" s="364" t="s">
        <v>100</v>
      </c>
      <c r="F207" s="314"/>
      <c r="G207" s="283">
        <f>-'WS D IPP Credits'!C13</f>
        <v>0</v>
      </c>
      <c r="H207" s="283"/>
      <c r="I207" s="333" t="s">
        <v>131</v>
      </c>
      <c r="J207" s="285">
        <v>1</v>
      </c>
      <c r="K207" s="317"/>
      <c r="L207" s="283">
        <f>+J207*G207</f>
        <v>0</v>
      </c>
      <c r="M207" s="316"/>
    </row>
    <row r="208" spans="2:15">
      <c r="B208" s="271"/>
      <c r="C208" s="272"/>
      <c r="D208" s="364"/>
      <c r="F208" s="314"/>
      <c r="G208" s="283"/>
      <c r="H208" s="283"/>
      <c r="I208" s="333"/>
      <c r="J208" s="285"/>
      <c r="K208" s="317"/>
      <c r="L208" s="283"/>
      <c r="M208" s="316"/>
    </row>
    <row r="209" spans="2:13">
      <c r="B209" s="271">
        <f>+B207+1</f>
        <v>128</v>
      </c>
      <c r="C209" s="272"/>
      <c r="D209" s="364" t="str">
        <f>"(Gains) / Losses on Sales of Plant Held for Future Use (Worksheet N, ln "&amp;'WS N - Sale of Plant Held'!A33&amp;", Cols. ("&amp;'WS N - Sale of Plant Held'!O12&amp;" &amp; "&amp;'WS N - Sale of Plant Held'!S12&amp;")"</f>
        <v>(Gains) / Losses on Sales of Plant Held for Future Use (Worksheet N, ln 4, Cols. ((F) &amp; (H))</v>
      </c>
      <c r="F209" s="314"/>
      <c r="G209" s="283">
        <f>+'WS N - Sale of Plant Held'!O33</f>
        <v>0</v>
      </c>
      <c r="H209" s="283"/>
      <c r="I209" s="333"/>
      <c r="J209" s="285"/>
      <c r="K209" s="317"/>
      <c r="L209" s="283">
        <f>'WS N - Sale of Plant Held'!S33</f>
        <v>0</v>
      </c>
      <c r="M209" s="316"/>
    </row>
    <row r="210" spans="2:13">
      <c r="B210" s="271"/>
      <c r="C210" s="272"/>
      <c r="D210" s="364"/>
      <c r="F210" s="314"/>
      <c r="G210" s="283"/>
      <c r="H210" s="283"/>
      <c r="I210" s="333"/>
      <c r="J210" s="285"/>
      <c r="K210" s="317"/>
      <c r="L210" s="283"/>
      <c r="M210" s="316"/>
    </row>
    <row r="211" spans="2:13">
      <c r="B211" s="271">
        <f>+B209+1</f>
        <v>129</v>
      </c>
      <c r="C211" s="272"/>
      <c r="D211" s="364" t="str">
        <f>" Tax Impact on Net Loss / (Gain) on Sales of Plant Held for Future Use (ln "&amp;B209&amp;" * ln"&amp;B190&amp;")"</f>
        <v xml:space="preserve"> Tax Impact on Net Loss / (Gain) on Sales of Plant Held for Future Use (ln 128 * ln114)</v>
      </c>
      <c r="F211" s="314"/>
      <c r="G211" s="283">
        <f>-+G190*G209</f>
        <v>0</v>
      </c>
      <c r="H211" s="283"/>
      <c r="I211" s="333"/>
      <c r="J211" s="285"/>
      <c r="K211" s="317"/>
      <c r="L211" s="283">
        <f>L209*-G190</f>
        <v>0</v>
      </c>
      <c r="M211" s="316"/>
    </row>
    <row r="212" spans="2:13" ht="16" thickBot="1">
      <c r="B212" s="271"/>
      <c r="C212" s="272"/>
      <c r="D212" s="267"/>
      <c r="G212" s="318"/>
      <c r="H212" s="365"/>
      <c r="I212" s="297"/>
      <c r="J212" s="297"/>
      <c r="K212" s="283"/>
      <c r="L212" s="318"/>
      <c r="M212" s="270"/>
    </row>
    <row r="213" spans="2:13" ht="16" thickBot="1">
      <c r="B213" s="271">
        <f>+B211+1</f>
        <v>130</v>
      </c>
      <c r="C213" s="272"/>
      <c r="D213" s="263" t="s">
        <v>251</v>
      </c>
      <c r="G213" s="366">
        <f>+G207+G205+G203+G186+G177+G169+G209+G211</f>
        <v>330351261.30515879</v>
      </c>
      <c r="L213" s="366">
        <f>+L207+L205+L203+L186+L177+L169+L209+L211</f>
        <v>94527053.690176606</v>
      </c>
      <c r="M213" s="270"/>
    </row>
    <row r="214" spans="2:13" ht="16" thickTop="1">
      <c r="B214" s="271"/>
      <c r="C214" s="272"/>
      <c r="D214" s="267" t="str">
        <f>"    (sum lns "&amp;B169&amp;", "&amp;B177&amp;", "&amp;B186&amp;", "&amp;B203&amp;", "&amp;B205&amp;", "&amp;B207&amp;", "&amp;B209&amp;", "&amp;B211&amp;")"</f>
        <v xml:space="preserve">    (sum lns 96, 103, 111, 125, 126, 127, 128, 129)</v>
      </c>
      <c r="F214" s="279"/>
      <c r="M214" s="270"/>
    </row>
    <row r="215" spans="2:13">
      <c r="B215" s="271"/>
      <c r="C215" s="272"/>
      <c r="F215" s="279"/>
      <c r="M215" s="270"/>
    </row>
    <row r="216" spans="2:13">
      <c r="B216" s="271"/>
      <c r="C216" s="272"/>
      <c r="D216" s="267"/>
      <c r="F216" s="336" t="str">
        <f>F128</f>
        <v xml:space="preserve">AEP East Companies </v>
      </c>
      <c r="M216" s="335"/>
    </row>
    <row r="217" spans="2:13">
      <c r="B217" s="271"/>
      <c r="C217" s="272"/>
      <c r="D217" s="267"/>
      <c r="F217" s="336" t="str">
        <f>F129</f>
        <v>Transmission Cost of Service Formula Rate</v>
      </c>
      <c r="M217" s="335"/>
    </row>
    <row r="218" spans="2:13">
      <c r="B218" s="263"/>
      <c r="C218" s="272"/>
      <c r="F218" s="336" t="str">
        <f>F130</f>
        <v>Utilizing  Actual/Projected FERC Form 1 Data</v>
      </c>
      <c r="M218" s="302"/>
    </row>
    <row r="219" spans="2:13">
      <c r="B219" s="271"/>
      <c r="C219" s="272"/>
      <c r="E219" s="336"/>
      <c r="F219" s="336"/>
      <c r="G219" s="336"/>
      <c r="H219" s="336"/>
      <c r="I219" s="336"/>
      <c r="J219" s="336"/>
      <c r="K219" s="336"/>
      <c r="M219" s="270"/>
    </row>
    <row r="220" spans="2:13">
      <c r="B220" s="271"/>
      <c r="C220" s="272"/>
      <c r="E220" s="267"/>
      <c r="F220" s="336" t="str">
        <f>F132</f>
        <v>KENTUCKY POWER COMPANY</v>
      </c>
      <c r="G220" s="267"/>
      <c r="H220" s="267"/>
      <c r="I220" s="267"/>
      <c r="J220" s="267"/>
      <c r="K220" s="267"/>
      <c r="L220" s="267"/>
      <c r="M220" s="267"/>
    </row>
    <row r="221" spans="2:13">
      <c r="B221" s="271"/>
      <c r="C221" s="272"/>
      <c r="E221" s="267"/>
      <c r="F221" s="336"/>
      <c r="G221" s="267"/>
      <c r="H221" s="267"/>
      <c r="I221" s="267"/>
      <c r="J221" s="267"/>
      <c r="K221" s="267"/>
      <c r="L221" s="267"/>
      <c r="M221" s="267"/>
    </row>
    <row r="222" spans="2:13">
      <c r="B222" s="271"/>
      <c r="C222" s="272"/>
      <c r="F222" s="337" t="s">
        <v>41</v>
      </c>
      <c r="H222" s="267"/>
      <c r="I222" s="267"/>
      <c r="J222" s="267"/>
      <c r="K222" s="267"/>
      <c r="L222" s="267"/>
      <c r="M222" s="270"/>
    </row>
    <row r="223" spans="2:13">
      <c r="B223" s="271"/>
      <c r="C223" s="272"/>
      <c r="D223" s="367"/>
      <c r="E223" s="267"/>
      <c r="F223" s="267"/>
      <c r="G223" s="267"/>
      <c r="H223" s="267"/>
      <c r="I223" s="267"/>
      <c r="J223" s="267"/>
      <c r="K223" s="267"/>
      <c r="L223" s="267"/>
      <c r="M223" s="270"/>
    </row>
    <row r="224" spans="2:13">
      <c r="B224" s="271" t="s">
        <v>118</v>
      </c>
      <c r="C224" s="272"/>
      <c r="D224" s="367"/>
      <c r="E224" s="267"/>
      <c r="F224" s="267"/>
      <c r="G224" s="267"/>
      <c r="H224" s="267"/>
      <c r="I224" s="267"/>
      <c r="J224" s="267"/>
      <c r="K224" s="267"/>
      <c r="L224" s="267"/>
      <c r="M224" s="270"/>
    </row>
    <row r="225" spans="2:16" ht="16" thickBot="1">
      <c r="B225" s="277" t="s">
        <v>119</v>
      </c>
      <c r="C225" s="272"/>
      <c r="D225" s="267" t="s">
        <v>223</v>
      </c>
      <c r="E225" s="267"/>
      <c r="F225" s="267"/>
      <c r="G225" s="267"/>
      <c r="H225" s="267"/>
      <c r="I225" s="267"/>
      <c r="J225" s="267"/>
      <c r="M225" s="270"/>
      <c r="P225"/>
    </row>
    <row r="226" spans="2:16">
      <c r="B226" s="271">
        <f>+B213+1</f>
        <v>131</v>
      </c>
      <c r="C226" s="272"/>
      <c r="D226" s="267" t="s">
        <v>168</v>
      </c>
      <c r="E226" s="368" t="str">
        <f>"(ln "&amp;B68&amp;")"</f>
        <v>(ln 21)</v>
      </c>
      <c r="F226" s="267"/>
      <c r="H226" s="270"/>
      <c r="I226" s="270"/>
      <c r="J226" s="270"/>
      <c r="K226" s="270"/>
      <c r="L226" s="283">
        <f>+G68</f>
        <v>885254323.38911378</v>
      </c>
      <c r="M226" s="270"/>
      <c r="P226"/>
    </row>
    <row r="227" spans="2:16">
      <c r="B227" s="271">
        <f>+B226+1</f>
        <v>132</v>
      </c>
      <c r="C227" s="272"/>
      <c r="D227" s="267" t="str">
        <f>"  Less transmission plant excluded from PJM Tariff  (Worksheet A, ln "&amp;'WS A - RB Support'!A62&amp;", Col. "&amp;'WS A - RB Support'!E47&amp;") (Note P)"</f>
        <v xml:space="preserve">  Less transmission plant excluded from PJM Tariff  (Worksheet A, ln 42, Col. (d)) (Note P)</v>
      </c>
      <c r="G227" s="336"/>
      <c r="L227" s="644">
        <f>'WS A - RB Support'!E62</f>
        <v>0</v>
      </c>
      <c r="M227" s="270"/>
      <c r="P227"/>
    </row>
    <row r="228" spans="2:16" ht="16" thickBot="1">
      <c r="B228" s="271">
        <f>+B227+1</f>
        <v>133</v>
      </c>
      <c r="C228" s="272"/>
      <c r="D228" s="267" t="str">
        <f>"  Less transmission plant included in OATT Ancillary Services (Worksheet A, ln "&amp;'WS A - RB Support'!A62&amp;", Col. "&amp;'WS A - RB Support'!C47&amp;")  (Note Q)"</f>
        <v xml:space="preserve">  Less transmission plant included in OATT Ancillary Services (Worksheet A, ln 42, Col. (b))  (Note Q)</v>
      </c>
      <c r="E228" s="267"/>
      <c r="F228" s="267"/>
      <c r="G228" s="284"/>
      <c r="H228" s="270"/>
      <c r="I228" s="270"/>
      <c r="J228" s="284"/>
      <c r="K228" s="270"/>
      <c r="L228" s="369">
        <f>'WS A - RB Support'!C62</f>
        <v>12988637.069999997</v>
      </c>
      <c r="M228" s="270"/>
      <c r="P228"/>
    </row>
    <row r="229" spans="2:16">
      <c r="B229" s="271">
        <f>+B228+1</f>
        <v>134</v>
      </c>
      <c r="C229" s="272"/>
      <c r="D229" s="267" t="s">
        <v>224</v>
      </c>
      <c r="E229" s="281" t="str">
        <f>"(ln "&amp;B226&amp;" - ln "&amp;B227&amp;" - ln "&amp;B228&amp;")"</f>
        <v>(ln 131 - ln 132 - ln 133)</v>
      </c>
      <c r="F229" s="267"/>
      <c r="H229" s="270"/>
      <c r="I229" s="270"/>
      <c r="J229" s="284"/>
      <c r="K229" s="270"/>
      <c r="L229" s="283">
        <f>L226-L227-L228</f>
        <v>872265686.31911373</v>
      </c>
      <c r="M229" s="270"/>
      <c r="P229"/>
    </row>
    <row r="230" spans="2:16">
      <c r="B230" s="271"/>
      <c r="C230" s="272"/>
      <c r="E230" s="267"/>
      <c r="F230" s="267"/>
      <c r="G230" s="284"/>
      <c r="H230" s="270"/>
      <c r="I230" s="270"/>
      <c r="J230" s="284"/>
      <c r="K230" s="270"/>
      <c r="M230" s="270"/>
      <c r="P230"/>
    </row>
    <row r="231" spans="2:16">
      <c r="B231" s="271">
        <f>+B229+1</f>
        <v>135</v>
      </c>
      <c r="C231" s="272"/>
      <c r="D231" s="267" t="s">
        <v>225</v>
      </c>
      <c r="E231" s="272" t="str">
        <f>"(ln "&amp;B229&amp;" / ln "&amp;B226&amp;")"</f>
        <v>(ln 134 / ln 131)</v>
      </c>
      <c r="F231" s="275"/>
      <c r="H231" s="275"/>
      <c r="I231" s="273"/>
      <c r="J231" s="273"/>
      <c r="K231" s="311" t="s">
        <v>145</v>
      </c>
      <c r="L231" s="370">
        <f>IF(L226&gt;0,L229/L226,0)</f>
        <v>0.98532779030067397</v>
      </c>
      <c r="M231" s="270"/>
      <c r="P231"/>
    </row>
    <row r="232" spans="2:16">
      <c r="B232" s="271"/>
      <c r="C232" s="272"/>
      <c r="D232" s="367"/>
      <c r="E232" s="267"/>
      <c r="F232" s="267"/>
      <c r="G232" s="270"/>
      <c r="H232" s="267"/>
      <c r="I232" s="272"/>
      <c r="J232" s="267"/>
      <c r="K232" s="267"/>
      <c r="L232" s="267"/>
      <c r="M232" s="270"/>
    </row>
    <row r="233" spans="2:16" ht="31">
      <c r="B233" s="271">
        <f>B231+1</f>
        <v>136</v>
      </c>
      <c r="C233" s="272"/>
      <c r="D233" s="267" t="s">
        <v>42</v>
      </c>
      <c r="E233" s="284" t="s">
        <v>345</v>
      </c>
      <c r="F233" s="284" t="s">
        <v>186</v>
      </c>
      <c r="G233" s="371" t="s">
        <v>216</v>
      </c>
      <c r="H233" s="336" t="s">
        <v>120</v>
      </c>
      <c r="I233" s="284"/>
      <c r="J233" s="270"/>
      <c r="K233" s="270"/>
      <c r="L233" s="270"/>
      <c r="M233" s="270"/>
    </row>
    <row r="234" spans="2:16">
      <c r="B234" s="271">
        <f t="shared" ref="B234:B239" si="11">+B233+1</f>
        <v>137</v>
      </c>
      <c r="C234" s="272"/>
      <c r="D234" s="267" t="s">
        <v>128</v>
      </c>
      <c r="E234" s="270" t="s">
        <v>433</v>
      </c>
      <c r="F234" s="1083">
        <v>11873861.57</v>
      </c>
      <c r="G234" s="1083">
        <v>3880557</v>
      </c>
      <c r="H234" s="312">
        <f>+F234+G234</f>
        <v>15754418.57</v>
      </c>
      <c r="I234" s="284" t="s">
        <v>129</v>
      </c>
      <c r="J234" s="285">
        <v>0</v>
      </c>
      <c r="K234" s="372"/>
      <c r="L234" s="283">
        <f>(F234+G234)*J234</f>
        <v>0</v>
      </c>
      <c r="M234" s="270"/>
    </row>
    <row r="235" spans="2:16">
      <c r="B235" s="271">
        <f t="shared" si="11"/>
        <v>138</v>
      </c>
      <c r="C235" s="272"/>
      <c r="D235" s="267" t="s">
        <v>130</v>
      </c>
      <c r="E235" s="270" t="s">
        <v>12</v>
      </c>
      <c r="F235" s="1083">
        <v>3869</v>
      </c>
      <c r="G235" s="1083">
        <v>3174145</v>
      </c>
      <c r="H235" s="312">
        <f>+F235+G235</f>
        <v>3178014</v>
      </c>
      <c r="I235" s="272" t="s">
        <v>122</v>
      </c>
      <c r="J235" s="285">
        <f>L231</f>
        <v>0.98532779030067397</v>
      </c>
      <c r="K235" s="372"/>
      <c r="L235" s="283">
        <f>(F235+G235)*J235</f>
        <v>3131385.5121646062</v>
      </c>
      <c r="M235" s="270"/>
    </row>
    <row r="236" spans="2:16">
      <c r="B236" s="271">
        <f t="shared" si="11"/>
        <v>139</v>
      </c>
      <c r="C236" s="272"/>
      <c r="D236" s="267" t="s">
        <v>228</v>
      </c>
      <c r="E236" s="270" t="s">
        <v>468</v>
      </c>
      <c r="F236" s="1083">
        <v>0</v>
      </c>
      <c r="G236" s="1083">
        <v>0</v>
      </c>
      <c r="H236" s="312">
        <v>0</v>
      </c>
      <c r="I236" s="284" t="s">
        <v>129</v>
      </c>
      <c r="J236" s="285">
        <v>0</v>
      </c>
      <c r="K236" s="372"/>
      <c r="L236" s="283">
        <f>(F236+G236)*J236</f>
        <v>0</v>
      </c>
      <c r="M236" s="270"/>
    </row>
    <row r="237" spans="2:16">
      <c r="B237" s="271">
        <f t="shared" si="11"/>
        <v>140</v>
      </c>
      <c r="C237" s="272"/>
      <c r="D237" s="267" t="s">
        <v>132</v>
      </c>
      <c r="E237" s="270" t="s">
        <v>431</v>
      </c>
      <c r="F237" s="1083">
        <v>8627193</v>
      </c>
      <c r="G237" s="1083">
        <v>1048127</v>
      </c>
      <c r="H237" s="312">
        <f>+F237+G237</f>
        <v>9675320</v>
      </c>
      <c r="I237" s="284" t="s">
        <v>129</v>
      </c>
      <c r="J237" s="285">
        <v>0</v>
      </c>
      <c r="K237" s="372"/>
      <c r="L237" s="283">
        <f>(F237+G237)*J237</f>
        <v>0</v>
      </c>
      <c r="M237" s="270"/>
    </row>
    <row r="238" spans="2:16" ht="16" thickBot="1">
      <c r="B238" s="271">
        <f t="shared" si="11"/>
        <v>141</v>
      </c>
      <c r="C238" s="272"/>
      <c r="D238" s="267" t="s">
        <v>203</v>
      </c>
      <c r="E238" s="270" t="s">
        <v>432</v>
      </c>
      <c r="F238" s="646">
        <v>1180313</v>
      </c>
      <c r="G238" s="646">
        <v>2004761</v>
      </c>
      <c r="H238" s="373">
        <f>+F238+G238</f>
        <v>3185074</v>
      </c>
      <c r="I238" s="284" t="s">
        <v>129</v>
      </c>
      <c r="J238" s="285">
        <v>0</v>
      </c>
      <c r="K238" s="372"/>
      <c r="L238" s="318">
        <f>(F238+G238)*J238</f>
        <v>0</v>
      </c>
      <c r="M238" s="270"/>
    </row>
    <row r="239" spans="2:16">
      <c r="B239" s="271">
        <f t="shared" si="11"/>
        <v>142</v>
      </c>
      <c r="C239" s="272"/>
      <c r="D239" s="267" t="s">
        <v>120</v>
      </c>
      <c r="E239" s="267" t="str">
        <f>"(sum lns "&amp;B234&amp;" to "&amp;B238&amp;")"</f>
        <v>(sum lns 137 to 141)</v>
      </c>
      <c r="F239" s="270">
        <f>SUM(F234:F238)</f>
        <v>21685236.57</v>
      </c>
      <c r="G239" s="270">
        <f>SUM(G234:G238)</f>
        <v>10107590</v>
      </c>
      <c r="H239" s="270">
        <f>SUM(H234:H238)</f>
        <v>31792826.57</v>
      </c>
      <c r="I239" s="284"/>
      <c r="J239" s="270"/>
      <c r="K239" s="270"/>
      <c r="L239" s="283">
        <f>SUM(L234:L238)</f>
        <v>3131385.5121646062</v>
      </c>
      <c r="M239" s="306"/>
    </row>
    <row r="240" spans="2:16">
      <c r="B240" s="271"/>
      <c r="C240" s="272"/>
      <c r="D240" s="267" t="s">
        <v>116</v>
      </c>
      <c r="E240" s="270" t="s">
        <v>116</v>
      </c>
      <c r="F240" s="270"/>
      <c r="H240" s="270"/>
      <c r="I240" s="336"/>
    </row>
    <row r="241" spans="2:21">
      <c r="B241" s="271">
        <f>B239+1</f>
        <v>143</v>
      </c>
      <c r="C241" s="272"/>
      <c r="D241" s="267" t="s">
        <v>43</v>
      </c>
      <c r="E241" s="270"/>
      <c r="F241" s="270"/>
      <c r="G241" s="270"/>
      <c r="H241" s="270"/>
      <c r="I241" s="336"/>
      <c r="K241" s="374" t="s">
        <v>44</v>
      </c>
      <c r="L241" s="375">
        <f>L239/(F239+G239)</f>
        <v>9.849346063238712E-2</v>
      </c>
    </row>
    <row r="242" spans="2:21">
      <c r="B242" s="271"/>
      <c r="C242" s="272"/>
      <c r="D242" s="267"/>
      <c r="E242" s="270"/>
      <c r="F242" s="270"/>
      <c r="G242" s="270"/>
      <c r="H242" s="270"/>
      <c r="I242" s="284"/>
      <c r="J242" s="270"/>
      <c r="K242" s="270"/>
      <c r="L242" s="270"/>
      <c r="M242" s="270"/>
    </row>
    <row r="243" spans="2:21">
      <c r="B243" s="271"/>
      <c r="C243" s="272"/>
      <c r="D243" s="267"/>
      <c r="E243" s="279"/>
      <c r="F243" s="270"/>
      <c r="H243" s="270"/>
      <c r="I243" s="270"/>
      <c r="J243" s="270"/>
      <c r="K243" s="311"/>
      <c r="L243" s="376"/>
      <c r="M243" s="270"/>
    </row>
    <row r="244" spans="2:21" ht="16" thickBot="1">
      <c r="B244" s="271">
        <f>+B241+1</f>
        <v>144</v>
      </c>
      <c r="C244" s="272"/>
      <c r="D244" s="267" t="s">
        <v>200</v>
      </c>
      <c r="E244" s="270"/>
      <c r="F244" s="270"/>
      <c r="G244" s="270"/>
      <c r="H244" s="270"/>
      <c r="I244" s="270"/>
      <c r="J244" s="270"/>
      <c r="K244" s="270"/>
      <c r="L244" s="377" t="s">
        <v>146</v>
      </c>
      <c r="M244" s="270"/>
    </row>
    <row r="245" spans="2:21">
      <c r="B245" s="271">
        <f t="shared" ref="B245:B252" si="12">+B244+1</f>
        <v>145</v>
      </c>
      <c r="C245" s="272"/>
      <c r="D245" s="270" t="s">
        <v>221</v>
      </c>
      <c r="E245" s="263" t="str">
        <f>"(Worksheet M, ln. "&amp;'WS M - Cost of Capital'!A56&amp;", col. "&amp;'WS M - Cost of Capital'!E47&amp;")"</f>
        <v>(Worksheet M, ln. 37, col. (d))</v>
      </c>
      <c r="F245" s="270"/>
      <c r="G245" s="270"/>
      <c r="H245" s="270"/>
      <c r="I245" s="270"/>
      <c r="J245" s="270"/>
      <c r="K245" s="270"/>
      <c r="L245" s="283">
        <f>'WS M - Cost of Capital'!E56</f>
        <v>74568143.004911602</v>
      </c>
      <c r="M245" s="270"/>
    </row>
    <row r="246" spans="2:21">
      <c r="B246" s="271">
        <f t="shared" si="12"/>
        <v>146</v>
      </c>
      <c r="C246" s="272"/>
      <c r="D246" s="270" t="s">
        <v>222</v>
      </c>
      <c r="E246" s="263" t="str">
        <f>"(Worksheet M, ln. "&amp;'WS M - Cost of Capital'!A103&amp;")"</f>
        <v>(Worksheet M, ln. 71)</v>
      </c>
      <c r="F246" s="270"/>
      <c r="G246" s="270"/>
      <c r="H246" s="270"/>
      <c r="I246" s="270"/>
      <c r="J246" s="270"/>
      <c r="K246" s="270"/>
      <c r="L246" s="283">
        <f>'WS M - Cost of Capital'!E103</f>
        <v>0</v>
      </c>
      <c r="M246" s="270"/>
    </row>
    <row r="247" spans="2:21">
      <c r="B247" s="271">
        <f t="shared" si="12"/>
        <v>147</v>
      </c>
      <c r="C247" s="272"/>
      <c r="D247" s="378" t="s">
        <v>244</v>
      </c>
      <c r="E247" s="270"/>
      <c r="F247" s="270"/>
      <c r="G247" s="270"/>
      <c r="H247"/>
      <c r="I247" s="270"/>
      <c r="J247" s="270"/>
      <c r="K247" s="270"/>
      <c r="L247" s="283"/>
      <c r="M247" s="270"/>
    </row>
    <row r="248" spans="2:21">
      <c r="B248" s="271">
        <f t="shared" si="12"/>
        <v>148</v>
      </c>
      <c r="C248" s="272"/>
      <c r="D248" s="270" t="s">
        <v>245</v>
      </c>
      <c r="E248" s="392" t="str">
        <f>"(Worksheet M, ln. "&amp;'WS M - Cost of Capital'!A23&amp;", col. "&amp;'WS M - Cost of Capital'!C8&amp;")"</f>
        <v>(Worksheet M, ln. 14, col. (b))</v>
      </c>
      <c r="F248" s="270"/>
      <c r="G248" s="267"/>
      <c r="H248" s="70"/>
      <c r="I248" s="270"/>
      <c r="J248" s="270"/>
      <c r="K248" s="270"/>
      <c r="L248" s="283">
        <f>'WS M - Cost of Capital'!C23</f>
        <v>1000920403.9451848</v>
      </c>
      <c r="M248" s="270"/>
    </row>
    <row r="249" spans="2:21">
      <c r="B249" s="271">
        <f t="shared" si="12"/>
        <v>149</v>
      </c>
      <c r="C249" s="272"/>
      <c r="D249" s="270" t="s">
        <v>370</v>
      </c>
      <c r="E249" s="392" t="str">
        <f>"(Worksheet M, ln. "&amp;'WS M - Cost of Capital'!A23&amp;", col. "&amp;'WS M - Cost of Capital'!D8&amp;")"</f>
        <v>(Worksheet M, ln. 14, col. (c))</v>
      </c>
      <c r="F249" s="270"/>
      <c r="G249" s="270"/>
      <c r="H249" s="70"/>
      <c r="I249" s="270"/>
      <c r="J249" s="270"/>
      <c r="K249" s="270"/>
      <c r="L249" s="312">
        <f>'WS M - Cost of Capital'!D23</f>
        <v>0</v>
      </c>
      <c r="M249" s="270"/>
    </row>
    <row r="250" spans="2:21">
      <c r="B250" s="271">
        <f>+B249+1</f>
        <v>150</v>
      </c>
      <c r="C250" s="272"/>
      <c r="D250" s="270" t="s">
        <v>363</v>
      </c>
      <c r="E250" s="392" t="str">
        <f>"(Worksheet M, ln. "&amp;'WS M - Cost of Capital'!A23&amp;", col. "&amp;'WS M - Cost of Capital'!E8&amp;")"</f>
        <v>(Worksheet M, ln. 14, col. (d))</v>
      </c>
      <c r="F250" s="270"/>
      <c r="G250" s="270"/>
      <c r="H250" s="70"/>
      <c r="I250" s="270"/>
      <c r="J250" s="270"/>
      <c r="K250" s="270"/>
      <c r="L250" s="312">
        <f>'WS M - Cost of Capital'!E23</f>
        <v>0</v>
      </c>
      <c r="M250" s="270"/>
    </row>
    <row r="251" spans="2:21" ht="16" thickBot="1">
      <c r="B251" s="271">
        <f t="shared" si="12"/>
        <v>151</v>
      </c>
      <c r="C251" s="272"/>
      <c r="D251" s="270" t="s">
        <v>369</v>
      </c>
      <c r="E251" s="392" t="str">
        <f>"(Worksheet M, ln. "&amp;'WS M - Cost of Capital'!A23&amp;", col. "&amp;'WS M - Cost of Capital'!F8&amp;")"</f>
        <v>(Worksheet M, ln. 14, col. (e))</v>
      </c>
      <c r="F251" s="270"/>
      <c r="G251" s="270"/>
      <c r="H251" s="70"/>
      <c r="I251" s="270"/>
      <c r="J251" s="331"/>
      <c r="K251" s="270"/>
      <c r="L251" s="373">
        <f>'WS M - Cost of Capital'!F23</f>
        <v>85209.85</v>
      </c>
      <c r="M251" s="270"/>
    </row>
    <row r="252" spans="2:21">
      <c r="B252" s="271">
        <f t="shared" si="12"/>
        <v>152</v>
      </c>
      <c r="C252" s="272"/>
      <c r="D252" s="263" t="s">
        <v>246</v>
      </c>
      <c r="E252" s="270" t="str">
        <f>"(ln "&amp;B248&amp;" - ln "&amp;B249&amp;" - ln "&amp;B250&amp;" - ln "&amp;B251&amp;")"</f>
        <v>(ln 148 - ln 149 - ln 150 - ln 151)</v>
      </c>
      <c r="F252" s="279"/>
      <c r="H252" s="267"/>
      <c r="I252" s="267"/>
      <c r="J252" s="267"/>
      <c r="K252" s="267"/>
      <c r="L252" s="283">
        <f>+L248-L249-L250-L251</f>
        <v>1000835194.0951848</v>
      </c>
      <c r="M252" s="270"/>
    </row>
    <row r="253" spans="2:21">
      <c r="B253" s="271"/>
      <c r="C253" s="272"/>
      <c r="D253" s="267"/>
      <c r="E253" s="270"/>
      <c r="F253" s="270"/>
      <c r="G253" s="339"/>
      <c r="H253" s="1149" t="s">
        <v>933</v>
      </c>
      <c r="I253" s="1149"/>
      <c r="J253" s="379" t="s">
        <v>147</v>
      </c>
      <c r="K253" s="270"/>
      <c r="L253" s="270"/>
      <c r="M253" s="270"/>
    </row>
    <row r="254" spans="2:21" ht="16" thickBot="1">
      <c r="B254" s="271">
        <f>+B252+1</f>
        <v>153</v>
      </c>
      <c r="C254" s="272"/>
      <c r="D254" s="267"/>
      <c r="F254" s="270"/>
      <c r="G254" s="278" t="s">
        <v>146</v>
      </c>
      <c r="H254" s="278" t="s">
        <v>148</v>
      </c>
      <c r="I254" s="377" t="s">
        <v>932</v>
      </c>
      <c r="J254" s="380" t="s">
        <v>429</v>
      </c>
      <c r="K254" s="270"/>
      <c r="L254" s="278" t="s">
        <v>149</v>
      </c>
      <c r="M254" s="270"/>
      <c r="N254" s="267"/>
      <c r="O254" s="267"/>
      <c r="P254" s="267"/>
      <c r="Q254" s="267"/>
      <c r="R254" s="267"/>
      <c r="S254" s="267"/>
      <c r="T254" s="267"/>
      <c r="U254" s="267"/>
    </row>
    <row r="255" spans="2:21">
      <c r="B255" s="271">
        <f>+B254+1</f>
        <v>154</v>
      </c>
      <c r="C255" s="272"/>
      <c r="D255" s="392" t="str">
        <f>"  Long Term Debt  (Note T) Worksheet M, ln "&amp;'WS M - Cost of Capital'!A42&amp;", col. (g), ln "&amp;'WS M - Cost of Capital'!A58&amp;", col. "&amp;'WS M - Cost of Capital'!E47&amp;")"</f>
        <v xml:space="preserve">  Long Term Debt  (Note T) Worksheet M, ln 28, col. (g), ln 38, col. (d))</v>
      </c>
      <c r="E255" s="392"/>
      <c r="F255" s="270"/>
      <c r="G255" s="283">
        <f>'WS M - Cost of Capital'!H42</f>
        <v>1358076923.0769231</v>
      </c>
      <c r="H255" s="293">
        <f>IF($G$258&gt;0,G255/$G$258,0)</f>
        <v>0.57572171222088686</v>
      </c>
      <c r="I255" s="293">
        <f>IF(H257&gt;E260,1-I256-I257,H255)</f>
        <v>0.57572171222088686</v>
      </c>
      <c r="J255" s="331">
        <f>'WS M - Cost of Capital'!E58</f>
        <v>5.4907157126244735E-2</v>
      </c>
      <c r="L255" s="382">
        <f>H255*J255</f>
        <v>3.161124251390289E-2</v>
      </c>
      <c r="M255" s="383"/>
      <c r="N255" s="267"/>
      <c r="O255" s="267"/>
      <c r="P255" s="267"/>
      <c r="Q255" s="267"/>
      <c r="R255" s="267"/>
      <c r="S255" s="267"/>
      <c r="T255" s="267"/>
      <c r="U255" s="267"/>
    </row>
    <row r="256" spans="2:21">
      <c r="B256" s="271">
        <f>+B255+1</f>
        <v>155</v>
      </c>
      <c r="C256" s="272"/>
      <c r="D256" s="267" t="str">
        <f>"  Preferred Stock (ln "&amp;B249&amp;")"</f>
        <v xml:space="preserve">  Preferred Stock (ln 149)</v>
      </c>
      <c r="G256" s="283">
        <f>+L249</f>
        <v>0</v>
      </c>
      <c r="H256" s="293">
        <f>IF($G$258&gt;0,G256/$G$258,0)</f>
        <v>0</v>
      </c>
      <c r="I256" s="293">
        <f>H256</f>
        <v>0</v>
      </c>
      <c r="J256" s="381">
        <f>IF(G256&gt;0,L246/G256,0)</f>
        <v>0</v>
      </c>
      <c r="L256" s="384">
        <f>H256*J256</f>
        <v>0</v>
      </c>
      <c r="M256" s="270"/>
    </row>
    <row r="257" spans="2:21" ht="16" thickBot="1">
      <c r="B257" s="271">
        <f>+B256+1</f>
        <v>156</v>
      </c>
      <c r="C257" s="272"/>
      <c r="D257" s="267" t="str">
        <f>"  Common Stock (ln "&amp;B252&amp;")"</f>
        <v xml:space="preserve">  Common Stock (ln 152)</v>
      </c>
      <c r="G257" s="318">
        <f>+L252</f>
        <v>1000835194.0951848</v>
      </c>
      <c r="H257" s="293">
        <f>IF($G$258&gt;0,G257/$G$258,0)</f>
        <v>0.42427828777911325</v>
      </c>
      <c r="I257" s="293">
        <f>IF(H257&gt;E260,E262,H257)</f>
        <v>0.42427828777911325</v>
      </c>
      <c r="J257" s="647">
        <v>0.10349999999999999</v>
      </c>
      <c r="L257" s="385">
        <f>H257*J257</f>
        <v>4.3912802785138219E-2</v>
      </c>
      <c r="M257" s="270"/>
    </row>
    <row r="258" spans="2:21">
      <c r="B258" s="271">
        <f>+B257+1</f>
        <v>157</v>
      </c>
      <c r="C258" s="272"/>
      <c r="D258" s="267" t="str">
        <f>" Total (Sum lns "&amp;B255&amp;" to "&amp;B257&amp;")"</f>
        <v xml:space="preserve"> Total (Sum lns 154 to 156)</v>
      </c>
      <c r="G258" s="283">
        <f>G257+G256+G255</f>
        <v>2358912117.1721077</v>
      </c>
      <c r="I258" s="350"/>
      <c r="J258" s="386"/>
      <c r="K258" s="328" t="s">
        <v>25</v>
      </c>
      <c r="L258" s="387">
        <f>SUM(L255:L257)</f>
        <v>7.5524045299041109E-2</v>
      </c>
      <c r="M258" s="388"/>
    </row>
    <row r="259" spans="2:21">
      <c r="B259" s="271"/>
      <c r="C259" s="272"/>
      <c r="D259" s="267"/>
      <c r="G259" s="283"/>
      <c r="I259" s="350"/>
      <c r="J259" s="386"/>
      <c r="K259" s="328"/>
      <c r="L259" s="387"/>
      <c r="M259" s="388"/>
    </row>
    <row r="260" spans="2:21">
      <c r="B260" s="271">
        <f>B258+1</f>
        <v>158</v>
      </c>
      <c r="C260" s="2"/>
      <c r="D260" s="2" t="s">
        <v>934</v>
      </c>
      <c r="E260" s="990">
        <v>0.55000000000000004</v>
      </c>
      <c r="G260" s="283"/>
      <c r="I260" s="350"/>
      <c r="J260" s="386"/>
      <c r="K260" s="328"/>
      <c r="L260" s="387"/>
      <c r="M260" s="388"/>
    </row>
    <row r="261" spans="2:21">
      <c r="B261" s="271"/>
      <c r="C261" s="70"/>
      <c r="D261" s="70"/>
      <c r="E261"/>
      <c r="F261"/>
      <c r="G261"/>
      <c r="H261"/>
      <c r="I261"/>
      <c r="J261" s="270"/>
      <c r="K261" s="267"/>
      <c r="L261" s="270"/>
      <c r="M261" s="267"/>
      <c r="N261" s="267"/>
      <c r="O261" s="267"/>
      <c r="P261" s="267"/>
      <c r="Q261" s="267"/>
      <c r="R261" s="267"/>
      <c r="S261" s="267"/>
      <c r="T261" s="267"/>
      <c r="U261" s="267"/>
    </row>
    <row r="262" spans="2:21">
      <c r="B262" s="334"/>
      <c r="C262" s="272"/>
      <c r="D262" s="264"/>
      <c r="E262" s="264"/>
      <c r="F262" s="336" t="str">
        <f>F216</f>
        <v xml:space="preserve">AEP East Companies </v>
      </c>
      <c r="G262" s="265"/>
      <c r="H262" s="270"/>
      <c r="I262" s="270"/>
      <c r="J262" s="270"/>
      <c r="K262" s="267"/>
      <c r="L262" s="270"/>
      <c r="M262" s="302"/>
      <c r="N262" s="267"/>
      <c r="O262" s="267"/>
      <c r="P262" s="267"/>
      <c r="Q262" s="267"/>
      <c r="R262" s="267"/>
      <c r="S262" s="267"/>
      <c r="T262" s="267"/>
      <c r="U262" s="267"/>
    </row>
    <row r="263" spans="2:21">
      <c r="B263" s="334"/>
      <c r="C263" s="272"/>
      <c r="E263" s="272"/>
      <c r="F263" s="336" t="str">
        <f>F217</f>
        <v>Transmission Cost of Service Formula Rate</v>
      </c>
      <c r="G263" s="270"/>
      <c r="H263" s="270"/>
      <c r="I263" s="270"/>
      <c r="J263" s="270"/>
      <c r="K263" s="267"/>
      <c r="L263" s="280"/>
      <c r="M263" s="302"/>
      <c r="N263" s="267"/>
      <c r="O263" s="267"/>
      <c r="P263" s="267"/>
      <c r="Q263" s="267"/>
      <c r="R263" s="267"/>
      <c r="S263" s="267"/>
      <c r="T263" s="267"/>
      <c r="U263" s="267"/>
    </row>
    <row r="264" spans="2:21">
      <c r="B264" s="334"/>
      <c r="C264" s="272"/>
      <c r="E264" s="337"/>
      <c r="F264" s="336" t="str">
        <f>F218</f>
        <v>Utilizing  Actual/Projected FERC Form 1 Data</v>
      </c>
      <c r="G264" s="270"/>
      <c r="H264" s="270"/>
      <c r="I264" s="270"/>
      <c r="J264" s="270"/>
      <c r="K264" s="267"/>
      <c r="L264" s="280"/>
      <c r="M264" s="302"/>
      <c r="N264" s="267"/>
      <c r="O264" s="267"/>
      <c r="P264" s="267"/>
      <c r="Q264" s="267"/>
      <c r="R264" s="267"/>
      <c r="S264" s="267"/>
      <c r="T264" s="267"/>
      <c r="U264" s="267"/>
    </row>
    <row r="265" spans="2:21">
      <c r="B265" s="271"/>
      <c r="C265" s="272"/>
      <c r="E265" s="337"/>
      <c r="F265" s="336"/>
      <c r="G265" s="270"/>
      <c r="H265" s="270"/>
      <c r="I265" s="270"/>
      <c r="J265" s="270"/>
      <c r="K265" s="267"/>
      <c r="L265" s="280"/>
      <c r="N265" s="267"/>
      <c r="O265" s="267"/>
      <c r="P265" s="267"/>
      <c r="Q265" s="267"/>
      <c r="R265" s="267"/>
      <c r="S265" s="267"/>
      <c r="T265" s="267"/>
      <c r="U265" s="267"/>
    </row>
    <row r="266" spans="2:21">
      <c r="B266" s="271"/>
      <c r="C266" s="272"/>
      <c r="E266" s="337"/>
      <c r="F266" s="336" t="str">
        <f>F220</f>
        <v>KENTUCKY POWER COMPANY</v>
      </c>
      <c r="G266" s="270"/>
      <c r="H266" s="270"/>
      <c r="I266" s="270"/>
      <c r="J266" s="270"/>
      <c r="K266" s="267"/>
      <c r="L266" s="280"/>
      <c r="N266" s="267"/>
      <c r="O266" s="267"/>
      <c r="P266" s="267"/>
      <c r="Q266" s="267"/>
      <c r="R266" s="267"/>
      <c r="S266" s="267"/>
      <c r="T266" s="267"/>
      <c r="U266" s="267"/>
    </row>
    <row r="267" spans="2:21">
      <c r="B267" s="271"/>
      <c r="C267" s="272"/>
      <c r="E267" s="337"/>
      <c r="F267" s="336"/>
      <c r="G267" s="270"/>
      <c r="H267" s="270"/>
      <c r="I267" s="270"/>
      <c r="J267" s="270"/>
      <c r="K267" s="267"/>
      <c r="L267" s="280"/>
      <c r="N267" s="267"/>
      <c r="O267" s="267"/>
      <c r="P267" s="267"/>
      <c r="Q267" s="267"/>
      <c r="R267" s="267"/>
      <c r="S267" s="267"/>
      <c r="T267" s="267"/>
      <c r="U267" s="267"/>
    </row>
    <row r="268" spans="2:21">
      <c r="B268" s="310" t="s">
        <v>178</v>
      </c>
      <c r="C268" s="272"/>
      <c r="D268" s="267"/>
      <c r="E268" s="267"/>
      <c r="F268" s="310" t="s">
        <v>177</v>
      </c>
      <c r="G268" s="270"/>
      <c r="H268" s="270"/>
      <c r="I268" s="270"/>
      <c r="J268" s="270"/>
      <c r="K268" s="267"/>
      <c r="L268" s="270"/>
      <c r="N268" s="267"/>
      <c r="O268" s="267"/>
      <c r="P268" s="267"/>
      <c r="Q268" s="267"/>
      <c r="R268" s="267"/>
      <c r="S268" s="267"/>
      <c r="T268" s="267"/>
      <c r="U268" s="267"/>
    </row>
    <row r="269" spans="2:21">
      <c r="C269" s="272"/>
      <c r="L269" s="280"/>
      <c r="N269" s="267"/>
      <c r="O269" s="267"/>
      <c r="P269" s="267"/>
      <c r="Q269" s="267"/>
      <c r="R269" s="267"/>
      <c r="S269" s="267"/>
      <c r="T269" s="267"/>
      <c r="U269" s="267"/>
    </row>
    <row r="270" spans="2:21">
      <c r="B270" s="271"/>
      <c r="C270" s="272"/>
      <c r="D270" s="267" t="s">
        <v>5</v>
      </c>
      <c r="E270" s="272"/>
      <c r="F270" s="272"/>
      <c r="G270" s="270"/>
      <c r="H270" s="270"/>
      <c r="I270" s="270"/>
      <c r="J270" s="270"/>
      <c r="K270" s="267"/>
      <c r="L270" s="270"/>
      <c r="M270" s="267"/>
      <c r="N270" s="267"/>
      <c r="O270" s="267"/>
      <c r="P270" s="267"/>
      <c r="Q270" s="267"/>
      <c r="R270" s="267"/>
      <c r="S270" s="267"/>
      <c r="T270" s="267"/>
      <c r="U270" s="267"/>
    </row>
    <row r="271" spans="2:21">
      <c r="B271" s="263"/>
      <c r="D271" s="267"/>
      <c r="E271" s="267"/>
      <c r="F271" s="267"/>
      <c r="G271" s="270"/>
      <c r="H271" s="270"/>
      <c r="I271" s="270"/>
      <c r="J271" s="270"/>
      <c r="K271" s="267"/>
      <c r="L271" s="270"/>
      <c r="M271" s="267"/>
      <c r="N271" s="267"/>
      <c r="O271" s="267"/>
      <c r="P271" s="267"/>
      <c r="Q271" s="267"/>
      <c r="R271" s="267"/>
      <c r="S271" s="267"/>
      <c r="T271" s="267"/>
      <c r="U271" s="267"/>
    </row>
    <row r="272" spans="2:21" ht="3.75" customHeight="1">
      <c r="B272" s="263"/>
      <c r="D272" s="267"/>
      <c r="E272" s="267"/>
      <c r="F272" s="267"/>
      <c r="G272" s="270"/>
      <c r="H272" s="270"/>
      <c r="I272" s="270"/>
      <c r="J272" s="270"/>
      <c r="K272" s="267"/>
      <c r="L272" s="270"/>
      <c r="M272" s="267"/>
      <c r="N272" s="267"/>
      <c r="O272" s="267"/>
      <c r="P272" s="267"/>
      <c r="Q272" s="267"/>
      <c r="R272" s="267"/>
      <c r="S272" s="267"/>
      <c r="T272" s="267"/>
      <c r="U272" s="267"/>
    </row>
    <row r="273" spans="2:21">
      <c r="B273" s="389" t="s">
        <v>150</v>
      </c>
      <c r="C273" s="272"/>
      <c r="D273" s="267" t="s">
        <v>479</v>
      </c>
      <c r="E273" s="267"/>
      <c r="F273" s="267"/>
      <c r="G273" s="270"/>
      <c r="H273" s="270"/>
      <c r="I273" s="270"/>
      <c r="J273" s="270"/>
      <c r="K273" s="267"/>
      <c r="L273" s="270"/>
      <c r="M273" s="267"/>
      <c r="N273" s="267"/>
      <c r="O273" s="267"/>
      <c r="P273" s="267"/>
      <c r="Q273" s="267"/>
      <c r="R273" s="267"/>
      <c r="S273" s="267"/>
      <c r="T273" s="267"/>
      <c r="U273" s="267"/>
    </row>
    <row r="274" spans="2:21">
      <c r="B274" s="389"/>
      <c r="C274" s="336"/>
      <c r="D274" s="267" t="s">
        <v>371</v>
      </c>
      <c r="E274" s="267"/>
      <c r="F274" s="267"/>
      <c r="G274" s="267"/>
      <c r="H274" s="267"/>
      <c r="I274" s="267"/>
      <c r="J274" s="267"/>
      <c r="K274" s="267"/>
      <c r="L274" s="267"/>
      <c r="M274" s="267"/>
      <c r="N274" s="267"/>
      <c r="O274" s="267"/>
      <c r="P274" s="267"/>
      <c r="Q274" s="267"/>
      <c r="R274" s="267"/>
      <c r="S274" s="267"/>
      <c r="T274" s="267"/>
      <c r="U274" s="267"/>
    </row>
    <row r="275" spans="2:21">
      <c r="D275" s="263" t="s">
        <v>372</v>
      </c>
      <c r="E275" s="293"/>
      <c r="F275" s="293"/>
      <c r="G275" s="267"/>
      <c r="H275" s="267"/>
      <c r="I275" s="267"/>
      <c r="J275" s="267"/>
      <c r="K275" s="267"/>
      <c r="L275" s="267"/>
      <c r="M275" s="267"/>
      <c r="N275" s="267"/>
      <c r="O275" s="267"/>
      <c r="P275" s="267"/>
      <c r="Q275" s="267"/>
      <c r="R275" s="267"/>
      <c r="S275" s="267"/>
      <c r="T275" s="267"/>
      <c r="U275" s="267"/>
    </row>
    <row r="276" spans="2:21">
      <c r="D276" s="267" t="s">
        <v>480</v>
      </c>
      <c r="E276" s="267"/>
      <c r="F276" s="267"/>
      <c r="G276" s="267"/>
      <c r="H276" s="267"/>
      <c r="I276" s="267"/>
      <c r="J276" s="267"/>
      <c r="K276" s="267"/>
      <c r="L276" s="267"/>
      <c r="M276" s="267"/>
      <c r="N276" s="267"/>
      <c r="O276" s="267"/>
      <c r="P276" s="267"/>
      <c r="Q276" s="267"/>
      <c r="R276" s="267"/>
      <c r="S276" s="267"/>
      <c r="T276" s="267"/>
      <c r="U276" s="267"/>
    </row>
    <row r="277" spans="2:21">
      <c r="B277" s="271"/>
      <c r="C277" s="272"/>
      <c r="D277" s="267" t="s">
        <v>481</v>
      </c>
      <c r="E277" s="267"/>
      <c r="F277" s="267"/>
      <c r="G277" s="267"/>
      <c r="H277" s="267"/>
      <c r="I277" s="267"/>
      <c r="J277" s="267"/>
      <c r="K277" s="267"/>
      <c r="L277" s="267"/>
      <c r="M277" s="267"/>
      <c r="N277" s="267"/>
      <c r="O277" s="267"/>
      <c r="P277" s="267"/>
      <c r="Q277" s="267"/>
      <c r="R277" s="267"/>
      <c r="S277" s="267"/>
      <c r="T277" s="267"/>
      <c r="U277" s="267"/>
    </row>
    <row r="278" spans="2:21">
      <c r="B278" s="271"/>
      <c r="C278" s="272"/>
      <c r="D278" s="267" t="s">
        <v>373</v>
      </c>
      <c r="E278" s="267"/>
      <c r="F278" s="267"/>
      <c r="G278" s="267"/>
      <c r="H278" s="267"/>
      <c r="I278" s="267"/>
      <c r="J278" s="267"/>
      <c r="K278" s="267"/>
      <c r="L278" s="267"/>
      <c r="M278" s="267"/>
      <c r="N278" s="267"/>
      <c r="O278" s="267"/>
      <c r="P278" s="267"/>
      <c r="Q278" s="267"/>
      <c r="R278" s="267"/>
      <c r="S278" s="267"/>
      <c r="T278" s="267"/>
      <c r="U278" s="267"/>
    </row>
    <row r="279" spans="2:21">
      <c r="B279" s="271"/>
      <c r="C279" s="272"/>
      <c r="D279" s="267" t="s">
        <v>374</v>
      </c>
      <c r="E279" s="267"/>
      <c r="F279" s="267"/>
      <c r="G279" s="267"/>
      <c r="H279" s="267"/>
      <c r="I279" s="267"/>
      <c r="J279" s="267"/>
      <c r="K279" s="267"/>
      <c r="L279" s="267"/>
      <c r="M279" s="267"/>
      <c r="N279" s="267"/>
      <c r="O279" s="267"/>
      <c r="P279" s="267"/>
      <c r="Q279" s="267"/>
      <c r="R279" s="267"/>
      <c r="S279" s="267"/>
      <c r="T279" s="267"/>
      <c r="U279" s="267"/>
    </row>
    <row r="280" spans="2:21" ht="45" customHeight="1">
      <c r="B280" s="271"/>
      <c r="C280" s="272"/>
      <c r="D280" s="1151" t="s">
        <v>577</v>
      </c>
      <c r="E280" s="1151"/>
      <c r="F280" s="1151"/>
      <c r="G280" s="1151"/>
      <c r="H280" s="1151"/>
      <c r="I280" s="1151"/>
      <c r="J280" s="1151"/>
      <c r="K280" s="1151"/>
      <c r="L280" s="1151"/>
      <c r="M280" s="267"/>
      <c r="N280" s="267"/>
      <c r="O280" s="267"/>
      <c r="P280" s="267"/>
      <c r="Q280" s="267"/>
      <c r="R280" s="267"/>
      <c r="S280" s="267"/>
      <c r="T280" s="267"/>
      <c r="U280" s="267"/>
    </row>
    <row r="281" spans="2:21">
      <c r="B281" s="271"/>
      <c r="C281" s="272"/>
      <c r="D281" s="267" t="s">
        <v>489</v>
      </c>
      <c r="E281" s="267"/>
      <c r="F281" s="267"/>
      <c r="G281" s="267"/>
      <c r="H281" s="267"/>
      <c r="I281" s="267"/>
      <c r="J281" s="267"/>
      <c r="K281" s="267"/>
      <c r="L281" s="267"/>
      <c r="M281" s="267"/>
      <c r="N281" s="267"/>
      <c r="O281" s="267"/>
      <c r="P281" s="267"/>
      <c r="Q281" s="267"/>
      <c r="R281" s="267"/>
      <c r="S281" s="267"/>
      <c r="T281" s="267"/>
      <c r="U281" s="267"/>
    </row>
    <row r="282" spans="2:21">
      <c r="B282" s="271"/>
      <c r="C282" s="272"/>
      <c r="D282" s="2"/>
      <c r="E282" s="267"/>
      <c r="F282" s="267"/>
      <c r="G282" s="267"/>
      <c r="H282" s="267"/>
      <c r="I282" s="267"/>
      <c r="J282" s="267"/>
      <c r="K282" s="267"/>
      <c r="L282" s="267"/>
      <c r="M282" s="267"/>
      <c r="N282" s="267"/>
      <c r="O282" s="267"/>
      <c r="P282" s="267"/>
      <c r="Q282" s="267"/>
      <c r="R282" s="267"/>
      <c r="S282" s="267"/>
      <c r="T282" s="267"/>
      <c r="U282" s="267"/>
    </row>
    <row r="283" spans="2:21" ht="15" customHeight="1">
      <c r="B283" s="271" t="s">
        <v>151</v>
      </c>
      <c r="C283" s="272"/>
      <c r="D283" s="1165" t="s">
        <v>596</v>
      </c>
      <c r="E283" s="1166"/>
      <c r="F283" s="1166"/>
      <c r="G283" s="1166"/>
      <c r="H283" s="1166"/>
      <c r="I283" s="1166"/>
      <c r="J283" s="1166"/>
      <c r="K283" s="1166"/>
      <c r="L283" s="267"/>
      <c r="M283" s="267"/>
      <c r="N283" s="267"/>
      <c r="O283" s="267"/>
      <c r="P283" s="267"/>
      <c r="Q283" s="267"/>
      <c r="R283" s="267"/>
      <c r="S283" s="267"/>
      <c r="T283" s="267"/>
      <c r="U283" s="267"/>
    </row>
    <row r="284" spans="2:21">
      <c r="B284" s="271"/>
      <c r="C284" s="272"/>
      <c r="D284" s="1166"/>
      <c r="E284" s="1166"/>
      <c r="F284" s="1166"/>
      <c r="G284" s="1166"/>
      <c r="H284" s="1166"/>
      <c r="I284" s="1166"/>
      <c r="J284" s="1166"/>
      <c r="K284" s="1166"/>
      <c r="L284" s="267"/>
      <c r="M284" s="267"/>
      <c r="N284" s="267"/>
      <c r="O284" s="267"/>
      <c r="P284" s="267"/>
      <c r="Q284" s="267"/>
      <c r="R284" s="267"/>
      <c r="S284" s="267"/>
      <c r="T284" s="267"/>
      <c r="U284" s="267"/>
    </row>
    <row r="285" spans="2:21">
      <c r="E285" s="267"/>
      <c r="F285" s="267"/>
      <c r="G285" s="267"/>
      <c r="H285" s="267"/>
      <c r="I285" s="267"/>
      <c r="J285" s="267"/>
      <c r="K285" s="267"/>
      <c r="L285" s="267"/>
      <c r="M285" s="267"/>
      <c r="N285" s="267"/>
      <c r="O285" s="267"/>
      <c r="P285" s="267"/>
      <c r="Q285" s="267"/>
      <c r="R285" s="267"/>
      <c r="S285" s="267"/>
      <c r="T285" s="267"/>
      <c r="U285" s="267"/>
    </row>
    <row r="286" spans="2:21">
      <c r="B286" s="271" t="s">
        <v>152</v>
      </c>
      <c r="C286" s="272"/>
      <c r="D286" s="2" t="s">
        <v>873</v>
      </c>
      <c r="E286" s="267"/>
      <c r="F286" s="267"/>
      <c r="G286" s="267"/>
      <c r="H286" s="267"/>
      <c r="I286" s="267"/>
      <c r="J286" s="267"/>
      <c r="K286" s="267"/>
      <c r="L286" s="267"/>
      <c r="M286" s="267"/>
      <c r="N286" s="267"/>
      <c r="O286" s="267"/>
      <c r="P286" s="267"/>
      <c r="Q286" s="267"/>
      <c r="R286" s="267"/>
      <c r="S286" s="267"/>
      <c r="T286" s="267"/>
      <c r="U286" s="267"/>
    </row>
    <row r="287" spans="2:21">
      <c r="B287" s="271"/>
      <c r="C287" s="272"/>
      <c r="D287" s="2"/>
      <c r="E287" s="267"/>
      <c r="F287" s="267"/>
      <c r="G287" s="267"/>
      <c r="H287" s="267"/>
      <c r="I287" s="267"/>
      <c r="J287" s="267"/>
      <c r="K287" s="267"/>
      <c r="L287" s="267"/>
      <c r="M287" s="267"/>
      <c r="N287" s="267"/>
      <c r="O287" s="267"/>
      <c r="P287" s="267"/>
      <c r="Q287" s="267"/>
      <c r="R287" s="267"/>
      <c r="S287" s="267"/>
      <c r="T287" s="267"/>
      <c r="U287" s="267"/>
    </row>
    <row r="288" spans="2:21">
      <c r="B288" s="271" t="s">
        <v>153</v>
      </c>
      <c r="C288" s="272"/>
      <c r="D288" s="1151" t="s">
        <v>579</v>
      </c>
      <c r="E288" s="1151"/>
      <c r="F288" s="1151"/>
      <c r="G288" s="1151"/>
      <c r="H288" s="1151"/>
      <c r="I288" s="1151"/>
      <c r="J288" s="1151"/>
      <c r="K288" s="1151"/>
      <c r="L288" s="1151"/>
      <c r="M288" s="267"/>
      <c r="N288" s="267"/>
      <c r="O288" s="267"/>
      <c r="P288" s="267"/>
      <c r="Q288" s="267"/>
      <c r="R288" s="267"/>
      <c r="S288" s="267"/>
      <c r="T288" s="267"/>
      <c r="U288" s="267"/>
    </row>
    <row r="289" spans="2:21">
      <c r="B289" s="271"/>
      <c r="C289" s="272"/>
      <c r="D289" s="1151"/>
      <c r="E289" s="1151"/>
      <c r="F289" s="1151"/>
      <c r="G289" s="1151"/>
      <c r="H289" s="1151"/>
      <c r="I289" s="1151"/>
      <c r="J289" s="1151"/>
      <c r="K289" s="1151"/>
      <c r="L289" s="1151"/>
      <c r="M289" s="267"/>
      <c r="N289" s="267"/>
      <c r="O289" s="267"/>
      <c r="P289" s="267"/>
      <c r="Q289" s="267"/>
      <c r="R289" s="267"/>
      <c r="S289" s="267"/>
      <c r="T289" s="267"/>
      <c r="U289" s="267"/>
    </row>
    <row r="290" spans="2:21">
      <c r="B290" s="271"/>
      <c r="C290" s="272"/>
      <c r="D290" s="267" t="s">
        <v>580</v>
      </c>
      <c r="E290" s="267"/>
      <c r="F290" s="267"/>
      <c r="G290" s="267"/>
      <c r="H290" s="267"/>
      <c r="I290" s="267"/>
      <c r="J290" s="267"/>
      <c r="K290" s="267"/>
      <c r="L290" s="267"/>
      <c r="M290" s="267"/>
      <c r="N290" s="267"/>
      <c r="O290" s="267"/>
      <c r="P290" s="267"/>
      <c r="Q290" s="267"/>
      <c r="R290" s="267"/>
      <c r="S290" s="267"/>
      <c r="T290" s="267"/>
      <c r="U290" s="267"/>
    </row>
    <row r="291" spans="2:21">
      <c r="B291" s="271"/>
      <c r="C291" s="272"/>
      <c r="D291" s="267" t="s">
        <v>581</v>
      </c>
      <c r="E291" s="267"/>
      <c r="F291" s="267"/>
      <c r="G291" s="267"/>
      <c r="H291" s="267"/>
      <c r="I291" s="267"/>
      <c r="J291" s="267"/>
      <c r="K291" s="267"/>
      <c r="L291" s="267"/>
      <c r="M291" s="267"/>
      <c r="N291" s="267"/>
      <c r="O291" s="267"/>
      <c r="P291" s="267"/>
      <c r="Q291" s="267"/>
      <c r="R291" s="267"/>
      <c r="S291" s="267"/>
      <c r="T291" s="267"/>
      <c r="U291" s="267"/>
    </row>
    <row r="292" spans="2:21" ht="30" customHeight="1">
      <c r="B292" s="271"/>
      <c r="C292" s="272"/>
      <c r="D292" s="1151" t="s">
        <v>578</v>
      </c>
      <c r="E292" s="1151"/>
      <c r="F292" s="1151"/>
      <c r="G292" s="1151"/>
      <c r="H292" s="1151"/>
      <c r="I292" s="1151"/>
      <c r="J292" s="1151"/>
      <c r="K292" s="1151"/>
      <c r="L292" s="1151"/>
      <c r="M292" s="267"/>
      <c r="N292" s="267"/>
      <c r="O292" s="267"/>
      <c r="P292" s="267"/>
      <c r="Q292" s="267"/>
      <c r="R292" s="267"/>
      <c r="S292" s="267"/>
      <c r="T292" s="267"/>
      <c r="U292" s="267"/>
    </row>
    <row r="293" spans="2:21" ht="21.75" customHeight="1">
      <c r="B293" s="271" t="s">
        <v>154</v>
      </c>
      <c r="C293" s="267"/>
      <c r="D293" s="267" t="str">
        <f>"Cash Working Capital assigned to transmission is one-eighth of O&amp;M allocated to transmission, as shown on line "&amp;B149&amp;". It excludes:"</f>
        <v>Cash Working Capital assigned to transmission is one-eighth of O&amp;M allocated to transmission, as shown on line 78. It excludes:</v>
      </c>
      <c r="E293" s="4"/>
      <c r="F293" s="4"/>
      <c r="G293" s="4"/>
      <c r="H293" s="4"/>
      <c r="I293" s="4"/>
      <c r="J293" s="4"/>
      <c r="K293" s="4"/>
      <c r="L293" s="4"/>
      <c r="M293" s="267"/>
      <c r="N293" s="267"/>
      <c r="O293" s="267"/>
      <c r="P293" s="267"/>
      <c r="Q293" s="267"/>
      <c r="R293" s="267"/>
      <c r="S293" s="267"/>
      <c r="T293" s="267"/>
      <c r="U293" s="267"/>
    </row>
    <row r="294" spans="2:21">
      <c r="B294" s="271"/>
      <c r="C294" s="267"/>
      <c r="D294" s="390" t="str">
        <f>+"1)  Load Scheduling &amp; Dispatch Charges in account 561 that are collected in the OATT Ancillary Services Revenue, as shown on line "&amp;B146&amp;"."</f>
        <v>1)  Load Scheduling &amp; Dispatch Charges in account 561 that are collected in the OATT Ancillary Services Revenue, as shown on line 75.</v>
      </c>
      <c r="E294" s="70"/>
      <c r="F294" s="70"/>
      <c r="G294" s="70"/>
      <c r="H294" s="70"/>
      <c r="I294" s="70"/>
      <c r="J294" s="70"/>
      <c r="K294" s="70"/>
      <c r="L294" s="70"/>
      <c r="M294" s="267"/>
      <c r="N294" s="267"/>
      <c r="O294" s="267"/>
      <c r="P294" s="267"/>
      <c r="Q294" s="267"/>
      <c r="R294" s="267"/>
      <c r="S294" s="267"/>
      <c r="T294" s="267"/>
      <c r="U294" s="267"/>
    </row>
    <row r="295" spans="2:21">
      <c r="B295" s="271"/>
      <c r="C295" s="267"/>
      <c r="D295" s="391" t="str">
        <f>+"2)  Costs of Transmission of Electricity by Others, as described in Note H."</f>
        <v>2)  Costs of Transmission of Electricity by Others, as described in Note H.</v>
      </c>
      <c r="E295" s="4"/>
      <c r="F295" s="4"/>
      <c r="G295" s="4"/>
      <c r="H295" s="4"/>
      <c r="I295" s="4"/>
      <c r="J295" s="4"/>
      <c r="K295" s="4"/>
      <c r="L295" s="4"/>
      <c r="M295" s="267"/>
      <c r="N295" s="267"/>
      <c r="O295" s="267"/>
      <c r="P295" s="267"/>
      <c r="Q295" s="267"/>
      <c r="R295" s="267"/>
      <c r="S295" s="267"/>
      <c r="T295" s="267"/>
      <c r="U295" s="267"/>
    </row>
    <row r="296" spans="2:21">
      <c r="B296" s="271"/>
      <c r="C296" s="267"/>
      <c r="D296" s="390" t="str">
        <f>+"3)  The impact of state regulatory deferrals and amortizations, as shown on line  "&amp;B148&amp;""</f>
        <v>3)  The impact of state regulatory deferrals and amortizations, as shown on line  77</v>
      </c>
      <c r="E296" s="70"/>
      <c r="F296" s="70"/>
      <c r="G296" s="70"/>
      <c r="H296" s="70"/>
      <c r="I296" s="70"/>
      <c r="J296" s="70"/>
      <c r="K296" s="70"/>
      <c r="L296" s="70"/>
      <c r="M296" s="267"/>
      <c r="N296" s="267"/>
      <c r="O296" s="267"/>
      <c r="P296" s="267"/>
      <c r="Q296" s="267"/>
      <c r="R296" s="267"/>
      <c r="S296" s="267"/>
      <c r="T296" s="267"/>
      <c r="U296" s="267"/>
    </row>
    <row r="297" spans="2:21">
      <c r="B297" s="271"/>
      <c r="C297" s="70"/>
      <c r="D297" s="391" t="str">
        <f>"4) All A&amp;G Expenses, as shown on line "&amp;B165&amp;"."</f>
        <v>4) All A&amp;G Expenses, as shown on line 93.</v>
      </c>
      <c r="E297" s="4"/>
      <c r="F297" s="4"/>
      <c r="G297" s="4"/>
      <c r="H297" s="4"/>
      <c r="I297" s="4"/>
      <c r="J297" s="4"/>
      <c r="K297" s="4"/>
      <c r="L297" s="4"/>
      <c r="M297" s="267"/>
      <c r="N297" s="267"/>
      <c r="O297" s="267"/>
      <c r="P297" s="267"/>
      <c r="Q297" s="267"/>
      <c r="R297" s="267"/>
      <c r="S297" s="267"/>
      <c r="T297" s="267"/>
      <c r="U297" s="267"/>
    </row>
    <row r="298" spans="2:21">
      <c r="B298" s="271"/>
      <c r="C298" s="272"/>
      <c r="D298" s="390"/>
      <c r="E298" s="390"/>
      <c r="F298" s="390"/>
      <c r="G298" s="390"/>
      <c r="H298" s="390"/>
      <c r="I298" s="390"/>
      <c r="J298" s="390"/>
      <c r="K298" s="390"/>
      <c r="L298" s="390"/>
      <c r="M298" s="267"/>
      <c r="N298" s="267"/>
      <c r="O298" s="267"/>
      <c r="P298" s="267"/>
      <c r="Q298" s="267"/>
      <c r="R298" s="267"/>
      <c r="S298" s="267"/>
      <c r="T298" s="267"/>
      <c r="U298" s="267"/>
    </row>
    <row r="299" spans="2:21">
      <c r="B299" s="389" t="s">
        <v>155</v>
      </c>
      <c r="C299" s="336"/>
      <c r="D299" s="392" t="str">
        <f>"Consistent with Paragraph 657 of Order 2003-A, the amount on line "&amp;B123&amp;" is equal to the balance of IPP System Upgrade Credits owed to transmission customers that"</f>
        <v>Consistent with Paragraph 657 of Order 2003-A, the amount on line 67 is equal to the balance of IPP System Upgrade Credits owed to transmission customers that</v>
      </c>
      <c r="E299" s="392"/>
      <c r="F299" s="392"/>
      <c r="G299" s="392"/>
      <c r="H299" s="392"/>
      <c r="I299" s="392"/>
      <c r="J299" s="392"/>
      <c r="K299" s="392"/>
      <c r="L299" s="392"/>
      <c r="M299" s="267"/>
      <c r="N299" s="267"/>
      <c r="O299" s="267"/>
      <c r="P299" s="267"/>
      <c r="Q299" s="267"/>
      <c r="R299" s="267"/>
      <c r="S299" s="267"/>
      <c r="T299" s="267"/>
      <c r="U299" s="267"/>
    </row>
    <row r="300" spans="2:21">
      <c r="D300" s="392" t="s">
        <v>220</v>
      </c>
      <c r="E300" s="392"/>
      <c r="F300" s="392"/>
      <c r="G300" s="392"/>
      <c r="H300" s="392"/>
      <c r="I300" s="392"/>
      <c r="J300" s="392"/>
      <c r="K300" s="392"/>
      <c r="L300" s="392"/>
      <c r="M300" s="267"/>
      <c r="N300" s="267"/>
      <c r="O300" s="267"/>
      <c r="P300" s="267"/>
      <c r="Q300" s="267"/>
      <c r="R300" s="267"/>
      <c r="S300" s="267"/>
      <c r="T300" s="267"/>
      <c r="U300" s="267"/>
    </row>
    <row r="301" spans="2:21">
      <c r="D301" s="392" t="str">
        <f>"expense is included on line "&amp;B207&amp;"."</f>
        <v>expense is included on line 127.</v>
      </c>
      <c r="E301" s="392"/>
      <c r="F301" s="392"/>
      <c r="G301" s="392"/>
      <c r="H301" s="392"/>
      <c r="I301" s="392"/>
      <c r="J301" s="392"/>
      <c r="K301" s="392"/>
      <c r="L301" s="392"/>
      <c r="M301" s="267"/>
      <c r="N301" s="267"/>
      <c r="O301" s="267"/>
      <c r="P301" s="267"/>
      <c r="Q301" s="267"/>
      <c r="R301" s="267"/>
      <c r="S301" s="267"/>
      <c r="T301" s="267"/>
      <c r="U301" s="267"/>
    </row>
    <row r="302" spans="2:21">
      <c r="D302" s="392"/>
      <c r="E302" s="392"/>
      <c r="F302" s="392"/>
      <c r="G302" s="392"/>
      <c r="H302" s="392"/>
      <c r="I302" s="392"/>
      <c r="J302" s="392"/>
      <c r="K302" s="392"/>
      <c r="L302" s="392"/>
      <c r="N302" s="267"/>
      <c r="O302" s="267"/>
      <c r="P302" s="267"/>
      <c r="Q302" s="267"/>
      <c r="R302" s="267"/>
      <c r="S302" s="267"/>
      <c r="T302" s="267"/>
      <c r="U302" s="267"/>
    </row>
    <row r="303" spans="2:21">
      <c r="B303" s="389" t="s">
        <v>156</v>
      </c>
      <c r="D303" s="1174"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03" s="1174"/>
      <c r="F303" s="1174"/>
      <c r="G303" s="1174"/>
      <c r="H303" s="1174"/>
      <c r="I303" s="1174"/>
      <c r="J303" s="1174"/>
      <c r="K303" s="1174"/>
      <c r="L303" s="392"/>
      <c r="N303" s="267"/>
      <c r="O303" s="267"/>
      <c r="P303" s="267"/>
      <c r="Q303" s="267"/>
      <c r="R303" s="267"/>
      <c r="S303" s="267"/>
      <c r="T303" s="267"/>
      <c r="U303" s="267"/>
    </row>
    <row r="304" spans="2:21">
      <c r="B304" s="389"/>
      <c r="D304" s="1174"/>
      <c r="E304" s="1174"/>
      <c r="F304" s="1174"/>
      <c r="G304" s="1174"/>
      <c r="H304" s="1174"/>
      <c r="I304" s="1174"/>
      <c r="J304" s="1174"/>
      <c r="K304" s="1174"/>
      <c r="L304" s="392"/>
      <c r="N304" s="267"/>
      <c r="O304" s="267"/>
      <c r="P304" s="267"/>
      <c r="Q304" s="267"/>
      <c r="R304" s="267"/>
      <c r="S304" s="267"/>
      <c r="T304" s="267"/>
      <c r="U304" s="267"/>
    </row>
    <row r="305" spans="2:21">
      <c r="B305" s="389"/>
      <c r="D305" s="1174"/>
      <c r="E305" s="1174"/>
      <c r="F305" s="1174"/>
      <c r="G305" s="1174"/>
      <c r="H305" s="1174"/>
      <c r="I305" s="1174"/>
      <c r="J305" s="1174"/>
      <c r="K305" s="1174"/>
      <c r="L305" s="392"/>
      <c r="N305" s="267"/>
      <c r="O305" s="267"/>
      <c r="P305" s="267"/>
      <c r="Q305" s="267"/>
      <c r="R305" s="267"/>
      <c r="S305" s="267"/>
      <c r="T305" s="267"/>
      <c r="U305" s="267"/>
    </row>
    <row r="306" spans="2:21">
      <c r="B306" s="389"/>
      <c r="D306" s="390"/>
      <c r="E306" s="392"/>
      <c r="F306" s="392"/>
      <c r="G306" s="392"/>
      <c r="H306" s="392"/>
      <c r="I306" s="392"/>
      <c r="J306" s="392"/>
      <c r="K306" s="392"/>
      <c r="L306" s="392"/>
      <c r="N306" s="267"/>
      <c r="O306" s="267"/>
      <c r="P306" s="267"/>
      <c r="Q306" s="267"/>
      <c r="R306" s="267"/>
      <c r="S306" s="267"/>
      <c r="T306" s="267"/>
      <c r="U306" s="267"/>
    </row>
    <row r="307" spans="2:21">
      <c r="B307" s="389" t="s">
        <v>157</v>
      </c>
      <c r="D307" s="1153" t="str">
        <f>"Removes cost of transmission service provided by others to determine the basis of cash working capital on line "&amp;B149&amp;". To the extent such service is incurred to provide the PJM service at issue, e.g. lease payments to affiliates, such cost is added back on line "&amp;B168&amp;" to determine the total O&amp;M collected in the formula.  The amounts on line "&amp;B168&amp;"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07" s="1153"/>
      <c r="F307" s="1153"/>
      <c r="G307" s="1153"/>
      <c r="H307" s="1153"/>
      <c r="I307" s="1153"/>
      <c r="J307" s="1153"/>
      <c r="K307" s="1153"/>
      <c r="L307" s="392"/>
      <c r="N307" s="267"/>
      <c r="O307" s="267"/>
      <c r="P307" s="267"/>
      <c r="Q307" s="267"/>
      <c r="R307" s="267"/>
      <c r="S307" s="267"/>
      <c r="T307" s="267"/>
      <c r="U307" s="267"/>
    </row>
    <row r="308" spans="2:21">
      <c r="B308" s="389"/>
      <c r="D308" s="1153"/>
      <c r="E308" s="1153"/>
      <c r="F308" s="1153"/>
      <c r="G308" s="1153"/>
      <c r="H308" s="1153"/>
      <c r="I308" s="1153"/>
      <c r="J308" s="1153"/>
      <c r="K308" s="1153"/>
      <c r="L308" s="392"/>
      <c r="N308" s="267"/>
      <c r="O308" s="267"/>
      <c r="P308" s="267"/>
      <c r="Q308" s="267"/>
      <c r="R308" s="267"/>
      <c r="S308" s="267"/>
      <c r="T308" s="267"/>
      <c r="U308" s="267"/>
    </row>
    <row r="309" spans="2:21">
      <c r="B309" s="389"/>
      <c r="D309" s="1154"/>
      <c r="E309" s="1154"/>
      <c r="F309" s="1154"/>
      <c r="G309" s="1154"/>
      <c r="H309" s="1154"/>
      <c r="I309" s="1154"/>
      <c r="J309" s="1154"/>
      <c r="K309" s="1154"/>
      <c r="L309" s="392"/>
      <c r="N309" s="267"/>
      <c r="O309" s="267"/>
      <c r="P309" s="267"/>
      <c r="Q309" s="267"/>
      <c r="R309" s="267"/>
      <c r="S309" s="267"/>
      <c r="T309" s="267"/>
      <c r="U309" s="267"/>
    </row>
    <row r="310" spans="2:21">
      <c r="B310" s="389"/>
      <c r="D310" s="1169" t="str">
        <f>"The addbacks  on line "&amp;B168&amp;"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10" s="1169"/>
      <c r="F310" s="1169"/>
      <c r="G310" s="1169"/>
      <c r="H310" s="1169"/>
      <c r="I310" s="1169"/>
      <c r="J310" s="1169"/>
      <c r="K310" s="393"/>
      <c r="L310" s="392"/>
      <c r="N310" s="267"/>
      <c r="O310" s="267"/>
      <c r="P310" s="267"/>
      <c r="Q310" s="267"/>
      <c r="R310" s="267"/>
      <c r="S310" s="267"/>
      <c r="T310" s="267"/>
      <c r="U310" s="267"/>
    </row>
    <row r="311" spans="2:21">
      <c r="B311" s="389"/>
      <c r="D311" s="1169"/>
      <c r="E311" s="1169"/>
      <c r="F311" s="1169"/>
      <c r="G311" s="1169"/>
      <c r="H311" s="1169"/>
      <c r="I311" s="1169"/>
      <c r="J311" s="1169"/>
      <c r="K311" s="393"/>
      <c r="L311" s="392"/>
      <c r="N311" s="267"/>
      <c r="O311" s="267"/>
      <c r="P311" s="267"/>
      <c r="Q311" s="267"/>
      <c r="R311" s="267"/>
      <c r="S311" s="267"/>
      <c r="T311" s="267"/>
      <c r="U311" s="267"/>
    </row>
    <row r="312" spans="2:21">
      <c r="B312" s="389"/>
      <c r="D312" s="392" t="str">
        <f>"The company records referenced on line "&amp;B168&amp;" is the "&amp;F9&amp;" general ledger."</f>
        <v>The company records referenced on line 95 is the KENTUCKY POWER COMPANY general ledger.</v>
      </c>
      <c r="E312" s="394"/>
      <c r="F312" s="394"/>
      <c r="G312" s="394"/>
      <c r="H312" s="394"/>
      <c r="I312" s="394"/>
      <c r="J312" s="394"/>
      <c r="K312" s="394"/>
      <c r="L312" s="392"/>
      <c r="N312" s="267"/>
      <c r="O312" s="267"/>
      <c r="P312" s="267"/>
      <c r="Q312" s="267"/>
      <c r="R312" s="267"/>
      <c r="S312" s="267"/>
      <c r="T312" s="267"/>
      <c r="U312" s="267"/>
    </row>
    <row r="313" spans="2:21">
      <c r="B313" s="389"/>
      <c r="D313" s="392"/>
      <c r="E313" s="394"/>
      <c r="F313" s="394"/>
      <c r="G313" s="394"/>
      <c r="H313" s="394"/>
      <c r="I313" s="394"/>
      <c r="J313" s="394"/>
      <c r="K313" s="394"/>
      <c r="L313" s="392"/>
      <c r="N313" s="267"/>
      <c r="O313" s="267"/>
      <c r="P313" s="267"/>
      <c r="Q313" s="267"/>
      <c r="R313" s="267"/>
      <c r="S313" s="267"/>
      <c r="T313" s="267"/>
      <c r="U313" s="267"/>
    </row>
    <row r="314" spans="2:21">
      <c r="B314" s="389" t="s">
        <v>158</v>
      </c>
      <c r="D314" s="263" t="s">
        <v>582</v>
      </c>
      <c r="E314" s="70"/>
      <c r="F314" s="70"/>
      <c r="G314" s="70"/>
      <c r="H314" s="70"/>
      <c r="I314" s="70"/>
      <c r="J314" s="70"/>
      <c r="K314" s="70"/>
      <c r="L314" s="395"/>
      <c r="N314" s="267"/>
      <c r="O314" s="267"/>
      <c r="P314" s="267"/>
      <c r="Q314" s="267"/>
      <c r="R314" s="267"/>
      <c r="S314" s="267"/>
      <c r="T314" s="267"/>
      <c r="U314" s="267"/>
    </row>
    <row r="315" spans="2:21">
      <c r="B315" s="389"/>
      <c r="D315" s="395"/>
      <c r="E315" s="395"/>
      <c r="F315" s="395"/>
      <c r="G315" s="395"/>
      <c r="H315" s="395"/>
      <c r="I315" s="395"/>
      <c r="J315" s="395"/>
      <c r="K315" s="395"/>
      <c r="L315" s="395"/>
      <c r="N315" s="267"/>
      <c r="O315" s="267"/>
      <c r="P315" s="267"/>
      <c r="Q315" s="267"/>
      <c r="R315" s="267"/>
      <c r="S315" s="267"/>
      <c r="T315" s="267"/>
      <c r="U315" s="267"/>
    </row>
    <row r="316" spans="2:21">
      <c r="B316" s="389" t="s">
        <v>159</v>
      </c>
      <c r="D316" s="1172" t="s">
        <v>49</v>
      </c>
      <c r="E316" s="1166"/>
      <c r="F316" s="1166"/>
      <c r="G316" s="1166"/>
      <c r="H316" s="1166"/>
      <c r="I316" s="1166"/>
      <c r="J316" s="1166"/>
      <c r="K316" s="392"/>
      <c r="L316" s="392"/>
      <c r="N316" s="267"/>
      <c r="O316" s="267"/>
      <c r="P316" s="267"/>
      <c r="Q316" s="267"/>
      <c r="R316" s="267"/>
      <c r="S316" s="267"/>
      <c r="T316" s="267"/>
      <c r="U316" s="267"/>
    </row>
    <row r="317" spans="2:21">
      <c r="B317" s="389"/>
      <c r="D317" s="1173"/>
      <c r="E317" s="1173"/>
      <c r="F317" s="1173"/>
      <c r="G317" s="1173"/>
      <c r="H317" s="1173"/>
      <c r="I317" s="1173"/>
      <c r="J317" s="1173"/>
      <c r="K317" s="395"/>
      <c r="L317" s="395"/>
      <c r="N317" s="267"/>
      <c r="O317" s="267"/>
      <c r="P317" s="267"/>
      <c r="Q317" s="267"/>
      <c r="R317" s="267"/>
      <c r="S317" s="267"/>
      <c r="T317" s="267"/>
      <c r="U317" s="267"/>
    </row>
    <row r="318" spans="2:21">
      <c r="B318" s="389"/>
      <c r="D318" s="1166"/>
      <c r="E318" s="1166"/>
      <c r="F318" s="1166"/>
      <c r="G318" s="1166"/>
      <c r="H318" s="1166"/>
      <c r="I318" s="1166"/>
      <c r="J318" s="1166"/>
      <c r="K318" s="392"/>
      <c r="L318" s="392"/>
      <c r="N318" s="267"/>
      <c r="O318" s="267"/>
      <c r="P318" s="267"/>
      <c r="Q318" s="267"/>
      <c r="R318" s="267"/>
      <c r="S318" s="267"/>
      <c r="T318" s="267"/>
      <c r="U318" s="267"/>
    </row>
    <row r="319" spans="2:21">
      <c r="B319" s="389"/>
      <c r="D319" s="392"/>
      <c r="E319" s="392"/>
      <c r="F319" s="392"/>
      <c r="G319" s="392"/>
      <c r="H319" s="392"/>
      <c r="I319" s="392"/>
      <c r="J319" s="392"/>
      <c r="K319" s="392"/>
      <c r="L319" s="392"/>
      <c r="N319" s="267"/>
      <c r="O319" s="267"/>
      <c r="P319" s="267"/>
      <c r="Q319" s="267"/>
      <c r="R319" s="267"/>
      <c r="S319" s="267"/>
      <c r="T319" s="267"/>
      <c r="U319" s="267"/>
    </row>
    <row r="320" spans="2:21">
      <c r="B320" s="860" t="s">
        <v>160</v>
      </c>
      <c r="C320" s="861"/>
      <c r="D320" s="1167" t="s">
        <v>868</v>
      </c>
      <c r="E320" s="1168"/>
      <c r="F320" s="1168"/>
      <c r="G320" s="1168"/>
      <c r="H320" s="1168"/>
      <c r="I320" s="1168"/>
      <c r="J320" s="1168"/>
      <c r="K320" s="1168"/>
      <c r="L320" s="395"/>
      <c r="N320" s="267"/>
      <c r="O320" s="267"/>
      <c r="P320" s="267"/>
      <c r="Q320" s="267"/>
      <c r="R320" s="267"/>
      <c r="S320" s="267"/>
      <c r="T320" s="267"/>
      <c r="U320" s="267"/>
    </row>
    <row r="321" spans="2:21">
      <c r="B321" s="834"/>
      <c r="C321" s="861"/>
      <c r="D321" s="1168"/>
      <c r="E321" s="1168"/>
      <c r="F321" s="1168"/>
      <c r="G321" s="1168"/>
      <c r="H321" s="1168"/>
      <c r="I321" s="1168"/>
      <c r="J321" s="1168"/>
      <c r="K321" s="1168"/>
      <c r="L321" s="392"/>
      <c r="N321" s="267"/>
      <c r="O321" s="267"/>
      <c r="P321" s="267"/>
      <c r="Q321" s="267"/>
      <c r="R321" s="267"/>
      <c r="S321" s="267"/>
      <c r="T321" s="267"/>
      <c r="U321" s="267"/>
    </row>
    <row r="322" spans="2:21">
      <c r="B322" s="389"/>
      <c r="D322" s="392"/>
      <c r="E322" s="392"/>
      <c r="F322" s="392"/>
      <c r="G322" s="392"/>
      <c r="H322" s="392"/>
      <c r="I322" s="392"/>
      <c r="J322" s="392"/>
      <c r="K322" s="392"/>
      <c r="L322" s="392"/>
      <c r="N322" s="267"/>
      <c r="O322" s="267"/>
      <c r="P322" s="267"/>
      <c r="Q322" s="267"/>
      <c r="R322" s="267"/>
      <c r="S322" s="267"/>
      <c r="T322" s="267"/>
      <c r="U322" s="267"/>
    </row>
    <row r="323" spans="2:21">
      <c r="B323" s="271" t="s">
        <v>161</v>
      </c>
      <c r="C323" s="272"/>
      <c r="D323" s="1151" t="s">
        <v>583</v>
      </c>
      <c r="E323" s="1151"/>
      <c r="F323" s="1151"/>
      <c r="G323" s="1151"/>
      <c r="H323" s="1151"/>
      <c r="I323" s="1151"/>
      <c r="J323" s="1151"/>
      <c r="K323" s="1151"/>
      <c r="L323" s="1151"/>
      <c r="N323" s="267"/>
      <c r="O323" s="267"/>
      <c r="P323" s="267"/>
      <c r="Q323" s="267"/>
      <c r="R323" s="267"/>
      <c r="S323" s="267"/>
      <c r="T323" s="267"/>
      <c r="U323" s="267"/>
    </row>
    <row r="324" spans="2:21">
      <c r="B324" s="271"/>
      <c r="C324" s="272"/>
      <c r="D324" s="1151"/>
      <c r="E324" s="1151"/>
      <c r="F324" s="1151"/>
      <c r="G324" s="1151"/>
      <c r="H324" s="1151"/>
      <c r="I324" s="1151"/>
      <c r="J324" s="1151"/>
      <c r="K324" s="1151"/>
      <c r="L324" s="1151"/>
      <c r="N324" s="267"/>
      <c r="O324" s="267"/>
      <c r="P324" s="267"/>
      <c r="Q324" s="267"/>
      <c r="R324" s="267"/>
      <c r="S324" s="267"/>
      <c r="T324" s="267"/>
      <c r="U324" s="267"/>
    </row>
    <row r="325" spans="2:21">
      <c r="B325" s="271"/>
      <c r="C325" s="272"/>
      <c r="D325" s="1151"/>
      <c r="E325" s="1151"/>
      <c r="F325" s="1151"/>
      <c r="G325" s="1151"/>
      <c r="H325" s="1151"/>
      <c r="I325" s="1151"/>
      <c r="J325" s="1151"/>
      <c r="K325" s="1151"/>
      <c r="L325" s="1151"/>
      <c r="N325" s="267"/>
      <c r="O325" s="267"/>
      <c r="P325" s="267"/>
      <c r="Q325" s="267"/>
      <c r="R325" s="267"/>
      <c r="S325" s="267"/>
      <c r="T325" s="267"/>
      <c r="U325" s="267"/>
    </row>
    <row r="326" spans="2:21">
      <c r="B326" s="271"/>
      <c r="C326" s="272"/>
      <c r="D326" s="1151"/>
      <c r="E326" s="1151"/>
      <c r="F326" s="1151"/>
      <c r="G326" s="1151"/>
      <c r="H326" s="1151"/>
      <c r="I326" s="1151"/>
      <c r="J326" s="1151"/>
      <c r="K326" s="1151"/>
      <c r="L326" s="1151"/>
      <c r="N326" s="267"/>
      <c r="O326" s="267"/>
      <c r="P326" s="267"/>
      <c r="Q326" s="267"/>
      <c r="R326" s="267"/>
      <c r="S326" s="267"/>
      <c r="T326" s="267"/>
      <c r="U326" s="267"/>
    </row>
    <row r="327" spans="2:21">
      <c r="B327" s="271"/>
      <c r="C327" s="272"/>
      <c r="D327" s="392"/>
      <c r="E327" s="390"/>
      <c r="F327" s="390"/>
      <c r="G327" s="390"/>
      <c r="H327" s="390"/>
      <c r="I327" s="390"/>
      <c r="J327" s="390"/>
      <c r="K327" s="390"/>
      <c r="L327" s="390"/>
      <c r="N327" s="267"/>
      <c r="O327" s="267"/>
      <c r="P327" s="267"/>
      <c r="Q327" s="267"/>
      <c r="R327" s="267"/>
      <c r="S327" s="267"/>
      <c r="T327" s="267"/>
      <c r="U327" s="267"/>
    </row>
    <row r="328" spans="2:21" ht="15" customHeight="1">
      <c r="B328" s="271" t="s">
        <v>162</v>
      </c>
      <c r="C328" s="272"/>
      <c r="D328" s="1170" t="s">
        <v>865</v>
      </c>
      <c r="E328" s="1171"/>
      <c r="F328" s="1171"/>
      <c r="G328" s="1171"/>
      <c r="H328" s="1171"/>
      <c r="I328" s="1171"/>
      <c r="J328" s="1171"/>
      <c r="K328" s="1171"/>
      <c r="L328" s="1165"/>
      <c r="N328" s="267"/>
      <c r="O328" s="267"/>
      <c r="P328" s="267"/>
      <c r="Q328" s="267"/>
      <c r="R328" s="267"/>
      <c r="S328" s="267"/>
      <c r="T328" s="267"/>
      <c r="U328" s="267"/>
    </row>
    <row r="329" spans="2:21">
      <c r="B329" s="271"/>
      <c r="C329" s="272"/>
      <c r="D329" s="1171"/>
      <c r="E329" s="1171"/>
      <c r="F329" s="1171"/>
      <c r="G329" s="1171"/>
      <c r="H329" s="1171"/>
      <c r="I329" s="1171"/>
      <c r="J329" s="1171"/>
      <c r="K329" s="1171"/>
      <c r="L329" s="1165"/>
      <c r="N329" s="267"/>
      <c r="O329" s="267"/>
      <c r="P329" s="267"/>
      <c r="Q329" s="267"/>
      <c r="R329" s="267"/>
      <c r="S329" s="267"/>
      <c r="T329" s="267"/>
      <c r="U329" s="267"/>
    </row>
    <row r="330" spans="2:21">
      <c r="B330" s="271"/>
      <c r="C330" s="272"/>
      <c r="D330" s="1165"/>
      <c r="E330" s="1165"/>
      <c r="F330" s="1165"/>
      <c r="G330" s="1165"/>
      <c r="H330" s="1165"/>
      <c r="I330" s="1165"/>
      <c r="J330" s="1165"/>
      <c r="K330" s="1165"/>
      <c r="L330" s="1165"/>
      <c r="N330" s="267"/>
      <c r="O330" s="267"/>
      <c r="P330" s="267"/>
      <c r="Q330" s="267"/>
      <c r="R330" s="267"/>
      <c r="S330" s="267"/>
      <c r="T330" s="267"/>
      <c r="U330" s="267"/>
    </row>
    <row r="331" spans="2:21">
      <c r="B331" s="271"/>
      <c r="C331" s="272"/>
      <c r="D331" s="346"/>
      <c r="E331" s="267"/>
      <c r="F331" s="267"/>
      <c r="G331" s="267"/>
      <c r="H331" s="267"/>
      <c r="I331" s="267"/>
      <c r="J331" s="267"/>
      <c r="K331" s="267"/>
      <c r="L331" s="267"/>
      <c r="N331" s="267"/>
      <c r="O331" s="267"/>
      <c r="P331" s="267"/>
      <c r="Q331" s="267"/>
      <c r="R331" s="267"/>
      <c r="S331" s="267"/>
      <c r="T331" s="267"/>
      <c r="U331" s="267"/>
    </row>
    <row r="332" spans="2:21">
      <c r="B332" s="336" t="s">
        <v>247</v>
      </c>
      <c r="C332" s="272"/>
      <c r="D332" s="267" t="s">
        <v>357</v>
      </c>
      <c r="E332" s="2"/>
      <c r="F332" s="2"/>
      <c r="G332" s="2"/>
      <c r="H332" s="2"/>
      <c r="I332" s="2"/>
      <c r="J332" s="2"/>
      <c r="N332" s="267"/>
      <c r="O332" s="267"/>
      <c r="P332" s="267"/>
      <c r="Q332" s="267"/>
      <c r="R332" s="267"/>
      <c r="S332" s="267"/>
      <c r="T332" s="267"/>
      <c r="U332" s="267"/>
    </row>
    <row r="333" spans="2:21">
      <c r="B333" s="336"/>
      <c r="C333" s="272"/>
      <c r="D333" s="2"/>
      <c r="E333" s="2"/>
      <c r="F333" s="2"/>
      <c r="G333" s="2"/>
      <c r="H333" s="2"/>
      <c r="I333" s="2"/>
      <c r="J333" s="2"/>
      <c r="N333" s="267"/>
      <c r="O333" s="267"/>
      <c r="P333" s="267"/>
      <c r="Q333" s="267"/>
      <c r="R333" s="267"/>
      <c r="S333" s="267"/>
      <c r="T333" s="267"/>
      <c r="U333" s="267"/>
    </row>
    <row r="334" spans="2:21">
      <c r="B334" s="271" t="s">
        <v>306</v>
      </c>
      <c r="C334" s="272"/>
      <c r="D334" s="267" t="s">
        <v>346</v>
      </c>
      <c r="N334" s="267"/>
      <c r="O334" s="267"/>
      <c r="P334" s="267"/>
      <c r="Q334" s="267"/>
      <c r="R334" s="267"/>
      <c r="S334" s="267"/>
      <c r="T334" s="267"/>
      <c r="U334" s="267"/>
    </row>
    <row r="335" spans="2:21">
      <c r="B335" s="336"/>
      <c r="C335" s="272"/>
      <c r="D335" s="267" t="s">
        <v>235</v>
      </c>
      <c r="N335" s="267"/>
      <c r="O335" s="267"/>
      <c r="P335" s="267"/>
      <c r="Q335" s="267"/>
      <c r="R335" s="267"/>
      <c r="S335" s="267"/>
      <c r="T335" s="267"/>
      <c r="U335" s="267"/>
    </row>
    <row r="336" spans="2:21">
      <c r="B336" s="336"/>
      <c r="C336" s="272"/>
      <c r="D336" s="267" t="s">
        <v>236</v>
      </c>
      <c r="N336" s="267"/>
      <c r="O336" s="267"/>
      <c r="P336" s="267"/>
      <c r="Q336" s="267"/>
      <c r="R336" s="267"/>
      <c r="S336" s="267"/>
      <c r="T336" s="267"/>
      <c r="U336" s="267"/>
    </row>
    <row r="337" spans="2:21">
      <c r="B337" s="336"/>
      <c r="C337" s="272"/>
      <c r="D337" s="267" t="s">
        <v>237</v>
      </c>
      <c r="N337" s="267"/>
      <c r="O337" s="267"/>
      <c r="P337" s="267"/>
      <c r="Q337" s="267"/>
      <c r="R337" s="267"/>
      <c r="S337" s="267"/>
      <c r="T337" s="267"/>
      <c r="U337" s="267"/>
    </row>
    <row r="338" spans="2:21">
      <c r="B338" s="271"/>
      <c r="C338" s="272"/>
      <c r="D338" s="267" t="str">
        <f>"(ln "&amp;B194&amp;") multiplied by (1/1-T) .  If the applicable tax rates are zero enter 0."</f>
        <v>(ln 118) multiplied by (1/1-T) .  If the applicable tax rates are zero enter 0.</v>
      </c>
      <c r="N338" s="267"/>
      <c r="O338" s="267"/>
      <c r="P338" s="267"/>
      <c r="Q338" s="267"/>
      <c r="R338" s="267"/>
      <c r="S338" s="267"/>
      <c r="T338" s="267"/>
      <c r="U338" s="267"/>
    </row>
    <row r="339" spans="2:21">
      <c r="B339" s="396"/>
      <c r="C339" s="267"/>
      <c r="D339" s="267" t="s">
        <v>347</v>
      </c>
      <c r="E339" s="267" t="s">
        <v>348</v>
      </c>
      <c r="F339" s="647">
        <v>0.21</v>
      </c>
      <c r="G339" s="267"/>
      <c r="N339" s="267"/>
      <c r="O339" s="267"/>
      <c r="P339" s="267"/>
      <c r="Q339" s="267"/>
      <c r="R339" s="267"/>
      <c r="S339" s="267"/>
      <c r="T339" s="267"/>
      <c r="U339" s="267"/>
    </row>
    <row r="340" spans="2:21">
      <c r="B340" s="396"/>
      <c r="C340" s="267"/>
      <c r="D340" s="267"/>
      <c r="E340" s="267" t="s">
        <v>349</v>
      </c>
      <c r="F340" s="293">
        <f>+'WS G  State Tax Rate'!F32</f>
        <v>5.0099999999999999E-2</v>
      </c>
      <c r="G340" s="267" t="s">
        <v>507</v>
      </c>
      <c r="N340" s="267"/>
      <c r="O340" s="267"/>
      <c r="P340" s="267"/>
      <c r="Q340" s="267"/>
      <c r="R340" s="267"/>
      <c r="S340" s="267"/>
      <c r="T340" s="267"/>
      <c r="U340" s="267"/>
    </row>
    <row r="341" spans="2:21">
      <c r="B341" s="396"/>
      <c r="C341" s="267"/>
      <c r="D341" s="267"/>
      <c r="E341" s="267" t="s">
        <v>350</v>
      </c>
      <c r="F341" s="647">
        <v>0</v>
      </c>
      <c r="G341" s="267" t="s">
        <v>351</v>
      </c>
      <c r="N341" s="267"/>
      <c r="O341" s="267"/>
      <c r="P341" s="267"/>
      <c r="Q341" s="267"/>
      <c r="R341" s="267"/>
      <c r="S341" s="267"/>
      <c r="T341" s="267"/>
      <c r="U341" s="267"/>
    </row>
    <row r="342" spans="2:21">
      <c r="B342" s="336"/>
      <c r="C342" s="272"/>
      <c r="D342" s="267" t="s">
        <v>594</v>
      </c>
      <c r="M342" s="267"/>
      <c r="N342" s="267"/>
      <c r="O342" s="267"/>
      <c r="P342" s="267"/>
      <c r="Q342" s="267"/>
      <c r="R342" s="267"/>
      <c r="S342" s="267"/>
      <c r="T342" s="267"/>
      <c r="U342" s="267"/>
    </row>
    <row r="343" spans="2:21">
      <c r="B343" s="336"/>
      <c r="C343" s="272"/>
      <c r="D343" s="267" t="s">
        <v>595</v>
      </c>
      <c r="M343" s="267"/>
      <c r="N343" s="267"/>
      <c r="O343" s="267"/>
      <c r="P343" s="267"/>
      <c r="Q343" s="267"/>
      <c r="R343" s="267"/>
      <c r="S343" s="267"/>
      <c r="T343" s="267"/>
      <c r="U343" s="267"/>
    </row>
    <row r="344" spans="2:21">
      <c r="B344" s="271" t="s">
        <v>352</v>
      </c>
      <c r="C344" s="272"/>
      <c r="D344" s="267" t="s">
        <v>226</v>
      </c>
      <c r="N344" s="267"/>
      <c r="O344" s="267"/>
      <c r="P344" s="267"/>
      <c r="Q344" s="267"/>
      <c r="R344" s="267"/>
      <c r="S344" s="267"/>
      <c r="T344" s="267"/>
      <c r="U344" s="267"/>
    </row>
    <row r="345" spans="2:21">
      <c r="B345" s="263"/>
      <c r="D345" s="267"/>
      <c r="N345" s="267"/>
      <c r="O345" s="267"/>
      <c r="P345" s="267"/>
      <c r="Q345" s="267"/>
      <c r="R345" s="267"/>
      <c r="S345" s="267"/>
      <c r="T345" s="267"/>
      <c r="U345" s="267"/>
    </row>
    <row r="346" spans="2:21">
      <c r="B346" s="271" t="s">
        <v>353</v>
      </c>
      <c r="C346" s="272"/>
      <c r="D346" s="267" t="s">
        <v>22</v>
      </c>
      <c r="N346" s="267"/>
      <c r="O346" s="267"/>
      <c r="P346" s="267"/>
      <c r="Q346" s="267"/>
      <c r="R346" s="267"/>
      <c r="S346" s="267"/>
      <c r="T346" s="267"/>
      <c r="U346" s="267"/>
    </row>
    <row r="347" spans="2:21">
      <c r="B347" s="271"/>
      <c r="C347" s="272"/>
      <c r="D347" s="267"/>
      <c r="E347" s="267"/>
      <c r="F347" s="267"/>
      <c r="G347" s="267"/>
      <c r="H347" s="267"/>
      <c r="I347" s="267"/>
      <c r="J347" s="267"/>
      <c r="K347" s="267"/>
      <c r="L347" s="267"/>
      <c r="M347" s="267"/>
      <c r="N347" s="267"/>
      <c r="O347" s="267"/>
      <c r="P347" s="267"/>
      <c r="Q347" s="267"/>
      <c r="R347" s="267"/>
      <c r="S347" s="267"/>
      <c r="T347" s="267"/>
      <c r="U347" s="267"/>
    </row>
    <row r="348" spans="2:21">
      <c r="B348" s="271" t="s">
        <v>354</v>
      </c>
      <c r="C348" s="272"/>
      <c r="D348" s="267" t="s">
        <v>417</v>
      </c>
      <c r="E348" s="267"/>
      <c r="F348" s="267"/>
      <c r="G348" s="267"/>
      <c r="H348" s="267"/>
      <c r="I348" s="267"/>
      <c r="J348" s="267"/>
      <c r="K348" s="267"/>
      <c r="L348" s="267"/>
      <c r="M348" s="267"/>
      <c r="N348" s="267"/>
      <c r="O348" s="267"/>
      <c r="P348" s="267"/>
      <c r="Q348" s="267"/>
      <c r="R348" s="267"/>
      <c r="S348" s="267"/>
      <c r="T348" s="267"/>
      <c r="U348" s="267"/>
    </row>
    <row r="349" spans="2:21">
      <c r="B349" s="271"/>
      <c r="C349" s="272"/>
      <c r="D349" s="267"/>
      <c r="E349" s="267"/>
      <c r="F349" s="267"/>
      <c r="G349" s="267"/>
      <c r="H349" s="267"/>
      <c r="I349" s="267"/>
      <c r="J349" s="267"/>
      <c r="K349" s="267"/>
      <c r="L349" s="267"/>
      <c r="M349" s="267"/>
      <c r="N349" s="267"/>
      <c r="O349" s="267"/>
      <c r="P349" s="267"/>
      <c r="Q349" s="267"/>
      <c r="R349" s="267"/>
      <c r="S349" s="267"/>
      <c r="T349" s="267"/>
      <c r="U349" s="267"/>
    </row>
    <row r="350" spans="2:21">
      <c r="B350" s="389" t="s">
        <v>355</v>
      </c>
      <c r="C350" s="336"/>
      <c r="D350" s="267" t="str">
        <f>"Long Term Debt cost rate = Long-Term Interest (ln "&amp;B245&amp;") /  Long-Term Debt (ln "&amp;B255&amp;").  Preferred Stock cost rate = preferred dividends (ln "&amp;B246&amp;") / preferred outstanding (ln "&amp;B256&amp;")."</f>
        <v>Long Term Debt cost rate = Long-Term Interest (ln 145) /  Long-Term Debt (ln 154).  Preferred Stock cost rate = preferred dividends (ln 146) / preferred outstanding (ln 155).</v>
      </c>
      <c r="M350" s="267"/>
      <c r="N350" s="267"/>
      <c r="O350" s="267"/>
      <c r="P350" s="267"/>
      <c r="Q350" s="267"/>
      <c r="R350" s="267"/>
      <c r="S350" s="267"/>
      <c r="T350" s="267"/>
      <c r="U350" s="267"/>
    </row>
    <row r="351" spans="2:21">
      <c r="D351" s="267" t="str">
        <f>"Common Stock cost rate (ROE) = "&amp;J257*100&amp;"%, the rate accepted by FERC in Docket No. ER08-1329.  It includes an additional 50 basis points for PJM RTO Membership."</f>
        <v>Common Stock cost rate (ROE) = 10.35%, the rate accepted by FERC in Docket No. ER08-1329.  It includes an additional 50 basis points for PJM RTO Membership.</v>
      </c>
      <c r="M351" s="267"/>
      <c r="N351" s="267"/>
      <c r="O351" s="267"/>
      <c r="P351" s="267"/>
      <c r="Q351" s="267"/>
      <c r="R351" s="267"/>
      <c r="S351" s="267"/>
      <c r="T351" s="267"/>
      <c r="U351" s="267"/>
    </row>
    <row r="352" spans="2:21" ht="15" customHeight="1">
      <c r="D352" s="1152" t="s">
        <v>584</v>
      </c>
      <c r="E352" s="1152"/>
      <c r="F352" s="1152"/>
      <c r="G352" s="1152"/>
      <c r="H352" s="1152"/>
      <c r="I352" s="1152"/>
      <c r="J352" s="1152"/>
      <c r="K352" s="1152"/>
      <c r="L352" s="1152"/>
      <c r="M352" s="267"/>
      <c r="N352" s="267"/>
      <c r="O352" s="267"/>
      <c r="P352" s="267"/>
      <c r="Q352" s="267"/>
      <c r="R352" s="267"/>
      <c r="S352" s="267"/>
      <c r="T352" s="267"/>
      <c r="U352" s="267"/>
    </row>
    <row r="353" spans="2:21">
      <c r="D353" s="1152"/>
      <c r="E353" s="1152"/>
      <c r="F353" s="1152"/>
      <c r="G353" s="1152"/>
      <c r="H353" s="1152"/>
      <c r="I353" s="1152"/>
      <c r="J353" s="1152"/>
      <c r="K353" s="1152"/>
      <c r="L353" s="1152"/>
      <c r="M353" s="267"/>
      <c r="N353" s="267"/>
      <c r="O353" s="267"/>
      <c r="P353" s="267"/>
      <c r="Q353" s="267"/>
      <c r="R353" s="267"/>
      <c r="S353" s="267"/>
      <c r="T353" s="267"/>
      <c r="U353" s="267"/>
    </row>
    <row r="354" spans="2:21" ht="14.25" customHeight="1">
      <c r="D354" s="1152"/>
      <c r="E354" s="1152"/>
      <c r="F354" s="1152"/>
      <c r="G354" s="1152"/>
      <c r="H354" s="1152"/>
      <c r="I354" s="1152"/>
      <c r="J354" s="1152"/>
      <c r="K354" s="1152"/>
      <c r="L354" s="1152"/>
      <c r="M354" s="267"/>
      <c r="N354" s="267"/>
      <c r="O354" s="267"/>
      <c r="P354" s="267"/>
      <c r="Q354" s="267"/>
      <c r="R354" s="267"/>
      <c r="S354" s="267"/>
      <c r="T354" s="267"/>
      <c r="U354" s="267"/>
    </row>
    <row r="355" spans="2:21" ht="15" hidden="1" customHeight="1">
      <c r="D355" s="1152"/>
      <c r="E355" s="1152"/>
      <c r="F355" s="1152"/>
      <c r="G355" s="1152"/>
      <c r="H355" s="1152"/>
      <c r="I355" s="1152"/>
      <c r="J355" s="1152"/>
      <c r="K355" s="1152"/>
      <c r="L355" s="1152"/>
      <c r="M355" s="267"/>
      <c r="N355" s="267"/>
      <c r="O355" s="267"/>
      <c r="P355" s="267"/>
      <c r="Q355" s="267"/>
      <c r="R355" s="267"/>
      <c r="S355" s="267"/>
      <c r="T355" s="267"/>
      <c r="U355" s="267"/>
    </row>
    <row r="356" spans="2:21" ht="15" hidden="1" customHeight="1">
      <c r="D356" s="1152"/>
      <c r="E356" s="1152"/>
      <c r="F356" s="1152"/>
      <c r="G356" s="1152"/>
      <c r="H356" s="1152"/>
      <c r="I356" s="1152"/>
      <c r="J356" s="1152"/>
      <c r="K356" s="1152"/>
      <c r="L356" s="1152"/>
      <c r="M356" s="267"/>
      <c r="N356" s="267"/>
      <c r="O356" s="267"/>
      <c r="P356" s="267"/>
      <c r="Q356" s="267"/>
      <c r="R356" s="267"/>
      <c r="S356" s="267"/>
      <c r="T356" s="267"/>
      <c r="U356" s="267"/>
    </row>
    <row r="357" spans="2:21" ht="15" hidden="1" customHeight="1">
      <c r="D357" s="1152"/>
      <c r="E357" s="1152"/>
      <c r="F357" s="1152"/>
      <c r="G357" s="1152"/>
      <c r="H357" s="1152"/>
      <c r="I357" s="1152"/>
      <c r="J357" s="1152"/>
      <c r="K357" s="1152"/>
      <c r="L357" s="1152"/>
      <c r="M357" s="267"/>
      <c r="N357" s="267"/>
      <c r="O357" s="267"/>
      <c r="P357" s="267"/>
      <c r="Q357" s="267"/>
      <c r="R357" s="267"/>
      <c r="S357" s="267"/>
      <c r="T357" s="267"/>
      <c r="U357" s="267"/>
    </row>
    <row r="358" spans="2:21">
      <c r="B358" s="271" t="s">
        <v>428</v>
      </c>
      <c r="C358" s="272"/>
      <c r="D358" s="392" t="s">
        <v>35</v>
      </c>
      <c r="E358" s="392"/>
      <c r="F358" s="392"/>
      <c r="G358" s="392"/>
      <c r="H358" s="392"/>
      <c r="I358" s="392"/>
      <c r="J358" s="392"/>
      <c r="M358" s="267"/>
      <c r="N358" s="267"/>
      <c r="O358" s="267"/>
      <c r="P358" s="267"/>
      <c r="Q358" s="267"/>
      <c r="R358" s="267"/>
      <c r="S358" s="267"/>
      <c r="T358" s="267"/>
      <c r="U358" s="267"/>
    </row>
    <row r="359" spans="2:21">
      <c r="B359" s="271"/>
      <c r="C359" s="272"/>
      <c r="D359" s="392" t="str">
        <f>"This total balance of $265,249,280 at 12/31/12 is not included in the balance in line "&amp;B255&amp;" above."</f>
        <v>This total balance of $265,249,280 at 12/31/12 is not included in the balance in line 154 above.</v>
      </c>
      <c r="E359" s="392"/>
      <c r="F359" s="392"/>
      <c r="G359" s="392"/>
      <c r="H359" s="392"/>
      <c r="I359" s="392"/>
      <c r="J359" s="392"/>
      <c r="M359" s="267"/>
      <c r="N359" s="267"/>
      <c r="O359" s="267"/>
      <c r="P359" s="267"/>
      <c r="Q359" s="267"/>
      <c r="R359" s="267"/>
      <c r="S359" s="267"/>
      <c r="T359" s="267"/>
      <c r="U359" s="267"/>
    </row>
    <row r="360" spans="2:21">
      <c r="B360" s="271"/>
      <c r="C360" s="272"/>
      <c r="D360" s="1150" t="s">
        <v>585</v>
      </c>
      <c r="E360" s="1150"/>
      <c r="F360" s="1150"/>
      <c r="G360" s="1150"/>
      <c r="H360" s="1150"/>
      <c r="I360" s="1150"/>
      <c r="J360" s="1150"/>
      <c r="K360" s="1150"/>
      <c r="L360" s="1150"/>
      <c r="M360" s="267"/>
      <c r="N360" s="267"/>
      <c r="O360" s="267"/>
      <c r="P360" s="267"/>
      <c r="Q360" s="267"/>
      <c r="R360" s="267"/>
      <c r="S360" s="267"/>
      <c r="T360" s="267"/>
      <c r="U360" s="267"/>
    </row>
    <row r="361" spans="2:21">
      <c r="B361" s="271"/>
      <c r="C361" s="272"/>
      <c r="D361" s="1150"/>
      <c r="E361" s="1150"/>
      <c r="F361" s="1150"/>
      <c r="G361" s="1150"/>
      <c r="H361" s="1150"/>
      <c r="I361" s="1150"/>
      <c r="J361" s="1150"/>
      <c r="K361" s="1150"/>
      <c r="L361" s="1150"/>
      <c r="M361" s="267"/>
      <c r="N361" s="267"/>
      <c r="O361" s="267"/>
      <c r="P361" s="267"/>
      <c r="Q361" s="267"/>
      <c r="R361" s="267"/>
      <c r="S361" s="267"/>
      <c r="T361" s="267"/>
      <c r="U361" s="267"/>
    </row>
    <row r="362" spans="2:21">
      <c r="B362" s="271"/>
      <c r="C362" s="272"/>
      <c r="D362" s="1150"/>
      <c r="E362" s="1150"/>
      <c r="F362" s="1150"/>
      <c r="G362" s="1150"/>
      <c r="H362" s="1150"/>
      <c r="I362" s="1150"/>
      <c r="J362" s="1150"/>
      <c r="K362" s="1150"/>
      <c r="L362" s="1150"/>
      <c r="M362" s="267"/>
      <c r="N362" s="267"/>
      <c r="O362" s="267"/>
      <c r="P362" s="267"/>
      <c r="Q362" s="267"/>
      <c r="R362" s="267"/>
      <c r="S362" s="267"/>
      <c r="T362" s="267"/>
      <c r="U362" s="267"/>
    </row>
    <row r="363" spans="2:21">
      <c r="B363" s="271" t="s">
        <v>496</v>
      </c>
      <c r="C363" s="397"/>
      <c r="D363" s="1150" t="s">
        <v>761</v>
      </c>
      <c r="E363" s="1150"/>
      <c r="F363" s="1150"/>
      <c r="G363" s="1150"/>
      <c r="H363" s="1150"/>
      <c r="I363" s="1150"/>
      <c r="J363" s="1150"/>
      <c r="K363" s="1150"/>
      <c r="L363" s="1150"/>
      <c r="M363" s="267"/>
      <c r="N363" s="267"/>
      <c r="O363" s="267"/>
      <c r="P363" s="267"/>
      <c r="Q363" s="267"/>
      <c r="R363" s="267"/>
      <c r="S363" s="267"/>
      <c r="T363" s="267"/>
      <c r="U363" s="267"/>
    </row>
    <row r="364" spans="2:21" ht="64.5" customHeight="1">
      <c r="B364" s="271"/>
      <c r="C364" s="272"/>
      <c r="D364" s="1150"/>
      <c r="E364" s="1150"/>
      <c r="F364" s="1150"/>
      <c r="G364" s="1150"/>
      <c r="H364" s="1150"/>
      <c r="I364" s="1150"/>
      <c r="J364" s="1150"/>
      <c r="K364" s="1150"/>
      <c r="L364" s="1150"/>
      <c r="M364" s="267"/>
      <c r="N364" s="267"/>
      <c r="O364" s="267"/>
      <c r="P364" s="267"/>
      <c r="Q364" s="267"/>
      <c r="R364" s="267"/>
      <c r="S364" s="267"/>
      <c r="T364" s="267"/>
      <c r="U364" s="267"/>
    </row>
    <row r="365" spans="2:21">
      <c r="B365" s="271" t="s">
        <v>587</v>
      </c>
      <c r="C365" s="272"/>
      <c r="D365" s="1150" t="s">
        <v>586</v>
      </c>
      <c r="E365" s="1150"/>
      <c r="F365" s="1150"/>
      <c r="G365" s="1150"/>
      <c r="H365" s="1150"/>
      <c r="I365" s="1150"/>
      <c r="J365" s="1150"/>
      <c r="K365" s="1150"/>
      <c r="L365" s="1150"/>
      <c r="M365" s="267"/>
      <c r="N365" s="267"/>
      <c r="O365" s="267"/>
      <c r="P365" s="267"/>
      <c r="Q365" s="267"/>
      <c r="R365" s="267"/>
      <c r="S365" s="267"/>
      <c r="T365" s="267"/>
      <c r="U365" s="267"/>
    </row>
    <row r="366" spans="2:21">
      <c r="B366" s="271"/>
      <c r="C366" s="272"/>
      <c r="D366" s="1150"/>
      <c r="E366" s="1150"/>
      <c r="F366" s="1150"/>
      <c r="G366" s="1150"/>
      <c r="H366" s="1150"/>
      <c r="I366" s="1150"/>
      <c r="J366" s="1150"/>
      <c r="K366" s="1150"/>
      <c r="L366" s="1150"/>
      <c r="M366" s="267"/>
      <c r="N366" s="267"/>
      <c r="O366" s="267"/>
      <c r="P366" s="267"/>
      <c r="Q366" s="267"/>
      <c r="R366" s="267"/>
      <c r="S366" s="267"/>
      <c r="T366" s="267"/>
      <c r="U366" s="267"/>
    </row>
    <row r="367" spans="2:21">
      <c r="B367" s="271" t="s">
        <v>589</v>
      </c>
      <c r="C367" s="272"/>
      <c r="D367" s="1175" t="s">
        <v>590</v>
      </c>
      <c r="E367" s="1175"/>
      <c r="F367" s="1175"/>
      <c r="G367" s="1175"/>
      <c r="H367" s="1175"/>
      <c r="I367" s="1175"/>
      <c r="J367" s="1175"/>
      <c r="K367" s="1175"/>
      <c r="L367" s="1175"/>
      <c r="M367" s="267"/>
      <c r="N367" s="267"/>
      <c r="O367" s="267"/>
      <c r="P367" s="267"/>
      <c r="Q367" s="267"/>
      <c r="R367" s="267"/>
      <c r="S367" s="267"/>
      <c r="T367" s="267"/>
      <c r="U367" s="267"/>
    </row>
    <row r="368" spans="2:21">
      <c r="B368" s="271" t="s">
        <v>588</v>
      </c>
      <c r="C368" s="272"/>
      <c r="D368" s="1150" t="s">
        <v>591</v>
      </c>
      <c r="E368" s="1150"/>
      <c r="F368" s="1150"/>
      <c r="G368" s="1150"/>
      <c r="H368" s="1150"/>
      <c r="I368" s="1150"/>
      <c r="J368" s="1150"/>
      <c r="K368" s="1150"/>
      <c r="L368" s="1150"/>
      <c r="M368" s="267"/>
      <c r="N368" s="267"/>
      <c r="O368" s="267"/>
      <c r="P368" s="267"/>
      <c r="Q368" s="267"/>
      <c r="R368" s="267"/>
      <c r="S368" s="267"/>
      <c r="T368" s="267"/>
      <c r="U368" s="267"/>
    </row>
    <row r="369" spans="2:21">
      <c r="B369" s="271"/>
      <c r="C369" s="272"/>
      <c r="D369" s="1150"/>
      <c r="E369" s="1150"/>
      <c r="F369" s="1150"/>
      <c r="G369" s="1150"/>
      <c r="H369" s="1150"/>
      <c r="I369" s="1150"/>
      <c r="J369" s="1150"/>
      <c r="K369" s="1150"/>
      <c r="L369" s="1150"/>
      <c r="M369" s="267"/>
      <c r="N369" s="267"/>
      <c r="O369" s="267"/>
      <c r="P369" s="267"/>
      <c r="Q369" s="267"/>
      <c r="R369" s="267"/>
      <c r="S369" s="267"/>
      <c r="T369" s="267"/>
      <c r="U369" s="267"/>
    </row>
    <row r="370" spans="2:21">
      <c r="B370"/>
      <c r="C370"/>
      <c r="D370" s="1150"/>
      <c r="E370" s="1150"/>
      <c r="F370" s="1150"/>
      <c r="G370" s="1150"/>
      <c r="H370" s="1150"/>
      <c r="I370" s="1150"/>
      <c r="J370" s="1150"/>
      <c r="K370" s="1150"/>
      <c r="L370" s="1150"/>
      <c r="M370" s="267"/>
      <c r="N370" s="267"/>
      <c r="O370" s="267"/>
      <c r="P370" s="267"/>
      <c r="Q370" s="267"/>
      <c r="R370" s="267"/>
      <c r="S370" s="267"/>
      <c r="T370" s="267"/>
      <c r="U370" s="267"/>
    </row>
    <row r="371" spans="2:21" ht="18" customHeight="1">
      <c r="B371" s="30" t="s">
        <v>633</v>
      </c>
      <c r="C371" s="868"/>
      <c r="D371" s="2" t="s">
        <v>872</v>
      </c>
      <c r="E371" s="4"/>
      <c r="F371" s="4"/>
      <c r="G371" s="4"/>
      <c r="H371"/>
      <c r="M371" s="267"/>
      <c r="N371" s="267"/>
      <c r="O371" s="267"/>
      <c r="P371" s="267"/>
      <c r="Q371" s="267"/>
      <c r="R371" s="267"/>
      <c r="S371" s="267"/>
      <c r="T371" s="267"/>
      <c r="U371" s="267"/>
    </row>
    <row r="372" spans="2:21">
      <c r="B372"/>
      <c r="C372"/>
      <c r="D372"/>
      <c r="E372"/>
      <c r="F372"/>
      <c r="G372"/>
      <c r="H372"/>
      <c r="M372" s="267"/>
      <c r="N372" s="267"/>
      <c r="O372" s="267"/>
      <c r="P372" s="267"/>
      <c r="Q372" s="267"/>
      <c r="R372" s="267"/>
      <c r="S372" s="267"/>
      <c r="T372" s="267"/>
      <c r="U372" s="267"/>
    </row>
    <row r="373" spans="2:21">
      <c r="B373" s="30" t="s">
        <v>935</v>
      </c>
      <c r="C373"/>
      <c r="D373" s="1164" t="s">
        <v>936</v>
      </c>
      <c r="E373" s="1164"/>
      <c r="F373" s="1164"/>
      <c r="G373" s="1164"/>
      <c r="H373" s="1164"/>
      <c r="I373" s="1164"/>
      <c r="J373" s="1164"/>
      <c r="K373" s="1164"/>
      <c r="L373" s="1164"/>
      <c r="M373" s="267"/>
      <c r="N373" s="267"/>
      <c r="O373" s="267"/>
      <c r="P373" s="267"/>
      <c r="Q373" s="267"/>
      <c r="R373" s="267"/>
      <c r="S373" s="267"/>
      <c r="T373" s="267"/>
      <c r="U373" s="267"/>
    </row>
    <row r="374" spans="2:21">
      <c r="B374"/>
      <c r="C374"/>
      <c r="D374" s="1164"/>
      <c r="E374" s="1164"/>
      <c r="F374" s="1164"/>
      <c r="G374" s="1164"/>
      <c r="H374" s="1164"/>
      <c r="I374" s="1164"/>
      <c r="J374" s="1164"/>
      <c r="K374" s="1164"/>
      <c r="L374" s="1164"/>
      <c r="M374" s="267"/>
      <c r="N374" s="267"/>
      <c r="O374" s="267"/>
      <c r="P374" s="267"/>
      <c r="Q374" s="267"/>
      <c r="R374" s="267"/>
      <c r="S374" s="267"/>
      <c r="T374" s="267"/>
      <c r="U374" s="267"/>
    </row>
    <row r="375" spans="2:21">
      <c r="B375"/>
      <c r="C375"/>
      <c r="D375"/>
      <c r="E375"/>
      <c r="F375"/>
      <c r="G375"/>
      <c r="H375"/>
      <c r="M375" s="267"/>
      <c r="N375" s="267"/>
      <c r="O375" s="267"/>
      <c r="P375" s="267"/>
      <c r="Q375" s="267"/>
      <c r="R375" s="267"/>
      <c r="S375" s="267"/>
      <c r="T375" s="267"/>
      <c r="U375" s="267"/>
    </row>
  </sheetData>
  <mergeCells count="26">
    <mergeCell ref="D373:L374"/>
    <mergeCell ref="D283:K284"/>
    <mergeCell ref="D320:K321"/>
    <mergeCell ref="D310:J311"/>
    <mergeCell ref="D328:L330"/>
    <mergeCell ref="D316:J318"/>
    <mergeCell ref="D303:K305"/>
    <mergeCell ref="D363:L364"/>
    <mergeCell ref="D365:L366"/>
    <mergeCell ref="D367:L367"/>
    <mergeCell ref="E177:E178"/>
    <mergeCell ref="B24:I25"/>
    <mergeCell ref="I60:J60"/>
    <mergeCell ref="I63:J63"/>
    <mergeCell ref="I134:J134"/>
    <mergeCell ref="I137:J137"/>
    <mergeCell ref="D42:L42"/>
    <mergeCell ref="H253:I253"/>
    <mergeCell ref="D368:L370"/>
    <mergeCell ref="D280:L280"/>
    <mergeCell ref="D292:L292"/>
    <mergeCell ref="D288:L289"/>
    <mergeCell ref="D323:L326"/>
    <mergeCell ref="D352:L357"/>
    <mergeCell ref="D360:L362"/>
    <mergeCell ref="D307:K309"/>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4" man="1"/>
    <brk id="126" max="14" man="1"/>
    <brk id="214" max="14" man="1"/>
    <brk id="260"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8"/>
  <sheetViews>
    <sheetView view="pageBreakPreview" zoomScaleNormal="100" zoomScaleSheetLayoutView="100" workbookViewId="0">
      <selection activeCell="C13" sqref="C13"/>
    </sheetView>
  </sheetViews>
  <sheetFormatPr defaultColWidth="8.81640625" defaultRowHeight="12.5"/>
  <cols>
    <col min="1" max="1" width="9.26953125" style="1" bestFit="1" customWidth="1"/>
    <col min="2" max="2" width="65.1796875" bestFit="1" customWidth="1"/>
    <col min="3" max="3" width="12.7265625" bestFit="1" customWidth="1"/>
    <col min="4" max="4" width="1.54296875" customWidth="1"/>
    <col min="5" max="5" width="15" bestFit="1" customWidth="1"/>
  </cols>
  <sheetData>
    <row r="1" spans="1:15" ht="15.5">
      <c r="A1" s="694" t="s">
        <v>116</v>
      </c>
    </row>
    <row r="2" spans="1:15" ht="15.5">
      <c r="A2" s="694" t="s">
        <v>116</v>
      </c>
    </row>
    <row r="3" spans="1:15" ht="15.5">
      <c r="A3" s="1176" t="str">
        <f>+'WS C  - Working Capital'!A3:L3</f>
        <v>AEP East Companies</v>
      </c>
      <c r="B3" s="1176"/>
      <c r="C3" s="1176"/>
      <c r="D3" s="1176"/>
      <c r="E3" s="1176"/>
      <c r="F3" s="30"/>
      <c r="G3" s="30"/>
      <c r="H3" s="30"/>
      <c r="I3" s="30"/>
      <c r="J3" s="30"/>
      <c r="K3" s="30"/>
      <c r="L3" s="30"/>
      <c r="M3" s="30"/>
      <c r="N3" s="30"/>
      <c r="O3" s="30"/>
    </row>
    <row r="4" spans="1:15" ht="15.5">
      <c r="A4" s="1177" t="str">
        <f>"Cost of Service Formula Rate Using Actual/Projected FF1 Balances"</f>
        <v>Cost of Service Formula Rate Using Actual/Projected FF1 Balances</v>
      </c>
      <c r="B4" s="1177"/>
      <c r="C4" s="1177"/>
      <c r="D4" s="1177"/>
      <c r="E4" s="1177"/>
      <c r="F4" s="75"/>
      <c r="G4" s="75"/>
      <c r="H4" s="75"/>
      <c r="I4" s="75"/>
      <c r="J4" s="75"/>
      <c r="K4" s="75"/>
      <c r="L4" s="75"/>
      <c r="M4" s="76"/>
      <c r="N4" s="76"/>
      <c r="O4" s="76"/>
    </row>
    <row r="5" spans="1:15" ht="15.5">
      <c r="A5" s="1177" t="s">
        <v>229</v>
      </c>
      <c r="B5" s="1177"/>
      <c r="C5" s="1177"/>
      <c r="D5" s="1177"/>
      <c r="E5" s="1177"/>
      <c r="F5" s="75"/>
      <c r="G5" s="75"/>
      <c r="H5" s="75"/>
      <c r="I5" s="75"/>
      <c r="J5" s="75"/>
      <c r="K5" s="75"/>
      <c r="L5" s="75"/>
      <c r="M5" s="75"/>
      <c r="N5" s="75"/>
      <c r="O5" s="75"/>
    </row>
    <row r="6" spans="1:15" ht="15.5">
      <c r="A6" s="1188" t="str">
        <f>TCOS!F9</f>
        <v>KENTUCKY POWER COMPANY</v>
      </c>
      <c r="B6" s="1188"/>
      <c r="C6" s="1188"/>
      <c r="D6" s="1188"/>
      <c r="E6" s="1188"/>
      <c r="F6" s="3"/>
      <c r="G6" s="3"/>
      <c r="H6" s="3"/>
      <c r="I6" s="3"/>
      <c r="J6" s="3"/>
      <c r="K6" s="3"/>
      <c r="L6" s="3"/>
      <c r="M6" s="3"/>
      <c r="N6" s="3"/>
      <c r="O6" s="3"/>
    </row>
    <row r="8" spans="1:15" ht="13">
      <c r="A8" s="139" t="s">
        <v>171</v>
      </c>
      <c r="B8" s="140" t="s">
        <v>164</v>
      </c>
      <c r="C8" s="140" t="s">
        <v>165</v>
      </c>
    </row>
    <row r="9" spans="1:15" ht="13">
      <c r="A9" s="139" t="s">
        <v>107</v>
      </c>
      <c r="B9" s="139" t="s">
        <v>169</v>
      </c>
      <c r="C9" s="139">
        <f>+TCOS!L4</f>
        <v>2024</v>
      </c>
    </row>
    <row r="10" spans="1:15" ht="13">
      <c r="B10" s="207"/>
      <c r="C10" s="140"/>
    </row>
    <row r="11" spans="1:15">
      <c r="A11" s="1">
        <v>1</v>
      </c>
      <c r="B11" s="870" t="str">
        <f>"Net Funds from IPP Customers 12/31/"&amp;TCOS!L4-1&amp;" ("&amp;TCOS!L4&amp;" FORM 1, P269)"</f>
        <v>Net Funds from IPP Customers 12/31/2023 (2024 FORM 1, P269)</v>
      </c>
      <c r="C11" s="652">
        <v>0</v>
      </c>
    </row>
    <row r="12" spans="1:15">
      <c r="B12" s="4"/>
      <c r="C12" s="110"/>
    </row>
    <row r="13" spans="1:15">
      <c r="A13" s="1">
        <v>2</v>
      </c>
      <c r="B13" s="870" t="s">
        <v>72</v>
      </c>
      <c r="C13" s="652">
        <v>0</v>
      </c>
    </row>
    <row r="14" spans="1:15">
      <c r="B14" s="870"/>
      <c r="C14" s="110"/>
    </row>
    <row r="15" spans="1:15">
      <c r="A15" s="1">
        <f>+A13+1</f>
        <v>3</v>
      </c>
      <c r="B15" s="870" t="s">
        <v>73</v>
      </c>
      <c r="C15" s="652">
        <v>0</v>
      </c>
    </row>
    <row r="16" spans="1:15">
      <c r="B16" s="870"/>
      <c r="C16" s="110"/>
    </row>
    <row r="17" spans="1:4">
      <c r="A17" s="1">
        <f>+A15+1</f>
        <v>4</v>
      </c>
      <c r="B17" s="871" t="s">
        <v>230</v>
      </c>
      <c r="C17" s="110"/>
    </row>
    <row r="18" spans="1:4">
      <c r="A18" s="1">
        <f>+A17+1</f>
        <v>5</v>
      </c>
      <c r="B18" s="870" t="s">
        <v>74</v>
      </c>
      <c r="C18" s="652">
        <v>0</v>
      </c>
    </row>
    <row r="19" spans="1:4">
      <c r="A19" s="1">
        <f>+A18+1</f>
        <v>6</v>
      </c>
      <c r="B19" s="79" t="s">
        <v>116</v>
      </c>
      <c r="C19" s="657">
        <v>0</v>
      </c>
    </row>
    <row r="20" spans="1:4">
      <c r="B20" s="4"/>
      <c r="C20" s="658"/>
    </row>
    <row r="21" spans="1:4">
      <c r="A21" s="1">
        <f>+A19+1</f>
        <v>7</v>
      </c>
      <c r="B21" s="870" t="str">
        <f>"Net Funds from IPP Customers 12/31/"&amp;TCOS!L4&amp;" ("&amp;TCOS!L4&amp;" FORM 1, P269)"</f>
        <v>Net Funds from IPP Customers 12/31/2024 (2024 FORM 1, P269)</v>
      </c>
      <c r="C21" s="110">
        <f>+C11+C13+C15+C18+C19</f>
        <v>0</v>
      </c>
      <c r="D21" s="398"/>
    </row>
    <row r="22" spans="1:4">
      <c r="B22" s="4"/>
      <c r="C22" s="110"/>
    </row>
    <row r="23" spans="1:4">
      <c r="A23" s="1">
        <f>+A21+1</f>
        <v>8</v>
      </c>
      <c r="B23" s="870" t="str">
        <f>"Average Balance for Year as Indicated in Column B ((ln "&amp;A11&amp;" + ln "&amp;A21&amp;")/2)"</f>
        <v>Average Balance for Year as Indicated in Column B ((ln 1 + ln 7)/2)</v>
      </c>
      <c r="C23" s="399">
        <f>AVERAGE(C21,C11)</f>
        <v>0</v>
      </c>
    </row>
    <row r="24" spans="1:4">
      <c r="B24" s="4"/>
    </row>
    <row r="25" spans="1:4">
      <c r="B25" s="70"/>
      <c r="C25" s="400"/>
    </row>
    <row r="26" spans="1:4" ht="15.5">
      <c r="A26" s="263" t="s">
        <v>501</v>
      </c>
      <c r="B26" s="1172" t="str">
        <f>"On this worksheet Company Records refers to  "&amp;A6&amp;"'s general ledger."</f>
        <v>On this worksheet Company Records refers to  KENTUCKY POWER COMPANY's general ledger.</v>
      </c>
    </row>
    <row r="27" spans="1:4">
      <c r="B27" s="1166"/>
    </row>
    <row r="28" spans="1:4">
      <c r="B28" s="4"/>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49"/>
  <sheetViews>
    <sheetView view="pageBreakPreview" zoomScaleNormal="100" zoomScaleSheetLayoutView="100" workbookViewId="0">
      <selection activeCell="I13" sqref="I13"/>
    </sheetView>
  </sheetViews>
  <sheetFormatPr defaultColWidth="9.1796875" defaultRowHeight="15.5"/>
  <cols>
    <col min="1" max="1" width="9.453125" style="401" customWidth="1"/>
    <col min="2" max="2" width="6.7265625" style="401" customWidth="1"/>
    <col min="3" max="8" width="14.54296875" style="401" customWidth="1"/>
    <col min="9" max="9" width="14.81640625" style="401" bestFit="1" customWidth="1"/>
    <col min="10" max="11" width="16.54296875" style="401" bestFit="1" customWidth="1"/>
    <col min="12" max="13" width="22.1796875" style="401" bestFit="1" customWidth="1"/>
    <col min="14" max="14" width="8.453125" style="401" customWidth="1"/>
    <col min="15" max="38" width="12.7265625" style="401" customWidth="1"/>
    <col min="39" max="16384" width="9.1796875" style="401"/>
  </cols>
  <sheetData>
    <row r="1" spans="1:22">
      <c r="A1" s="694" t="s">
        <v>116</v>
      </c>
    </row>
    <row r="2" spans="1:22">
      <c r="A2" s="694" t="s">
        <v>116</v>
      </c>
    </row>
    <row r="3" spans="1:22">
      <c r="A3" s="1176" t="str">
        <f>+'WS C  - Working Capital'!A3:L3</f>
        <v>AEP East Companies</v>
      </c>
      <c r="B3" s="1176"/>
      <c r="C3" s="1176"/>
      <c r="D3" s="1176"/>
      <c r="E3" s="1176"/>
      <c r="F3" s="1176"/>
      <c r="G3" s="1176"/>
      <c r="H3" s="1176"/>
      <c r="I3" s="1176"/>
      <c r="J3" s="1176"/>
      <c r="K3" s="1176"/>
      <c r="L3" s="30"/>
      <c r="M3" s="30"/>
      <c r="N3" s="30"/>
      <c r="O3" s="30"/>
    </row>
    <row r="4" spans="1:22">
      <c r="A4" s="1177" t="str">
        <f>"Cost of Service Formula Rate Using Actual/Projected FF1 Balances"</f>
        <v>Cost of Service Formula Rate Using Actual/Projected FF1 Balances</v>
      </c>
      <c r="B4" s="1177"/>
      <c r="C4" s="1177"/>
      <c r="D4" s="1177"/>
      <c r="E4" s="1177"/>
      <c r="F4" s="1177"/>
      <c r="G4" s="1177"/>
      <c r="H4" s="1177"/>
      <c r="I4" s="1177"/>
      <c r="J4" s="1177"/>
      <c r="K4" s="1177"/>
      <c r="L4" s="76"/>
      <c r="M4" s="76"/>
      <c r="N4" s="76"/>
      <c r="O4" s="76"/>
    </row>
    <row r="5" spans="1:22">
      <c r="A5" s="1177" t="s">
        <v>239</v>
      </c>
      <c r="B5" s="1177"/>
      <c r="C5" s="1177"/>
      <c r="D5" s="1177"/>
      <c r="E5" s="1177"/>
      <c r="F5" s="1177"/>
      <c r="G5" s="1177"/>
      <c r="H5" s="1177"/>
      <c r="I5" s="1177"/>
      <c r="J5" s="1177"/>
      <c r="K5" s="1177"/>
      <c r="L5" s="75"/>
      <c r="M5" s="75"/>
      <c r="N5" s="75"/>
      <c r="O5" s="75"/>
    </row>
    <row r="6" spans="1:22">
      <c r="A6" s="1188" t="str">
        <f>TCOS!F9</f>
        <v>KENTUCKY POWER COMPANY</v>
      </c>
      <c r="B6" s="1188"/>
      <c r="C6" s="1188"/>
      <c r="D6" s="1188"/>
      <c r="E6" s="1188"/>
      <c r="F6" s="1188"/>
      <c r="G6" s="1188"/>
      <c r="H6" s="1188"/>
      <c r="I6" s="1188"/>
      <c r="J6" s="1188"/>
      <c r="K6" s="1188"/>
      <c r="L6" s="3"/>
      <c r="M6" s="3"/>
      <c r="N6" s="3"/>
      <c r="O6" s="3"/>
    </row>
    <row r="8" spans="1:22" ht="18">
      <c r="A8" s="1210"/>
      <c r="B8" s="1210"/>
      <c r="C8" s="1210"/>
      <c r="D8" s="1210"/>
      <c r="E8" s="1210"/>
      <c r="F8" s="1210"/>
      <c r="G8" s="1210"/>
      <c r="H8" s="1210"/>
      <c r="I8" s="1210"/>
      <c r="J8" s="1210"/>
      <c r="K8" s="1210"/>
      <c r="L8" s="402"/>
      <c r="M8" s="403"/>
    </row>
    <row r="9" spans="1:22" ht="18">
      <c r="A9" s="131"/>
      <c r="B9" s="131"/>
      <c r="C9" s="131"/>
      <c r="D9" s="131"/>
      <c r="E9" s="131"/>
      <c r="F9" s="131"/>
      <c r="G9" s="131"/>
      <c r="H9" s="131"/>
      <c r="I9" s="131"/>
      <c r="J9" s="131"/>
      <c r="K9" s="131"/>
      <c r="L9" s="402"/>
      <c r="M9" s="403"/>
    </row>
    <row r="10" spans="1:22">
      <c r="A10" s="404" t="s">
        <v>171</v>
      </c>
      <c r="B10" s="402"/>
      <c r="C10" s="29"/>
      <c r="D10" s="29"/>
      <c r="E10" s="29"/>
      <c r="F10" s="29"/>
      <c r="G10" s="405"/>
      <c r="H10" s="405"/>
      <c r="I10" s="404" t="s">
        <v>184</v>
      </c>
      <c r="J10" s="404" t="s">
        <v>28</v>
      </c>
      <c r="K10" s="406"/>
      <c r="N10" s="407"/>
      <c r="P10" s="407"/>
      <c r="R10" s="407"/>
      <c r="S10" s="407"/>
      <c r="T10" s="407"/>
      <c r="U10" s="2"/>
      <c r="V10" s="2"/>
    </row>
    <row r="11" spans="1:22">
      <c r="A11" s="404" t="s">
        <v>107</v>
      </c>
      <c r="B11" s="1211" t="s">
        <v>169</v>
      </c>
      <c r="C11" s="1211"/>
      <c r="D11" s="1211"/>
      <c r="E11" s="1211"/>
      <c r="F11" s="1211"/>
      <c r="G11" s="1211"/>
      <c r="H11" s="1211"/>
      <c r="I11" s="404" t="s">
        <v>185</v>
      </c>
      <c r="J11" s="404" t="s">
        <v>117</v>
      </c>
      <c r="K11" s="404" t="s">
        <v>117</v>
      </c>
      <c r="N11" s="407"/>
      <c r="O11" s="407"/>
      <c r="P11" s="407"/>
      <c r="Q11" s="407"/>
      <c r="R11" s="407"/>
      <c r="S11" s="407"/>
      <c r="T11" s="408"/>
      <c r="U11" s="2"/>
      <c r="V11" s="2"/>
    </row>
    <row r="12" spans="1:22">
      <c r="A12" s="405"/>
      <c r="B12" s="409"/>
      <c r="C12" s="402"/>
      <c r="D12" s="405"/>
      <c r="E12" s="405"/>
      <c r="F12" s="405"/>
      <c r="G12" s="405"/>
      <c r="H12" s="405"/>
      <c r="I12" s="405"/>
      <c r="J12" s="405"/>
      <c r="K12" s="410"/>
      <c r="N12" s="407"/>
      <c r="O12" s="407"/>
      <c r="P12" s="407"/>
      <c r="Q12" s="407"/>
      <c r="R12" s="407"/>
      <c r="S12" s="407"/>
      <c r="T12" s="408"/>
      <c r="U12" s="2"/>
      <c r="V12" s="2"/>
    </row>
    <row r="13" spans="1:22" s="415" customFormat="1" ht="13">
      <c r="A13" s="411">
        <v>1</v>
      </c>
      <c r="B13" s="412" t="s">
        <v>484</v>
      </c>
      <c r="C13" s="4"/>
      <c r="D13" s="413"/>
      <c r="E13" s="413"/>
      <c r="F13" s="413"/>
      <c r="G13" s="413"/>
      <c r="H13" s="413"/>
      <c r="I13" s="659">
        <v>1503839.99999999</v>
      </c>
      <c r="J13" s="414">
        <f>+I13-K12</f>
        <v>1503839.99999999</v>
      </c>
      <c r="K13" s="659">
        <v>0</v>
      </c>
      <c r="N13" s="4"/>
      <c r="O13" s="4"/>
      <c r="P13" s="4"/>
      <c r="Q13" s="4"/>
      <c r="R13" s="4"/>
      <c r="S13" s="4"/>
      <c r="T13" s="79"/>
      <c r="U13" s="4"/>
      <c r="V13" s="4"/>
    </row>
    <row r="14" spans="1:22" s="415" customFormat="1" ht="13">
      <c r="A14" s="416"/>
      <c r="B14" s="417"/>
      <c r="C14" s="418"/>
      <c r="D14" s="419"/>
      <c r="E14" s="419"/>
      <c r="F14" s="419"/>
      <c r="G14" s="419"/>
      <c r="H14" s="413"/>
      <c r="I14" s="420"/>
      <c r="J14" s="413"/>
      <c r="K14" s="420"/>
      <c r="N14" s="4"/>
      <c r="O14" s="4"/>
      <c r="P14" s="4"/>
      <c r="Q14" s="4"/>
      <c r="R14" s="4"/>
      <c r="S14" s="4"/>
      <c r="T14" s="79"/>
      <c r="U14" s="4"/>
      <c r="V14" s="4"/>
    </row>
    <row r="15" spans="1:22" s="415" customFormat="1" ht="13">
      <c r="A15" s="411">
        <f>+A13+1</f>
        <v>2</v>
      </c>
      <c r="B15" s="412" t="s">
        <v>485</v>
      </c>
      <c r="C15" s="4"/>
      <c r="D15" s="413"/>
      <c r="E15" s="413"/>
      <c r="F15" s="413"/>
      <c r="G15" s="413"/>
      <c r="H15" s="413"/>
      <c r="I15" s="659">
        <v>-434341.83526907995</v>
      </c>
      <c r="J15" s="414">
        <f>+I15-K15</f>
        <v>-431925.5592062003</v>
      </c>
      <c r="K15" s="659">
        <v>-2416.2760628796264</v>
      </c>
      <c r="N15" s="4"/>
      <c r="O15" s="4"/>
      <c r="P15" s="4"/>
      <c r="Q15" s="4"/>
      <c r="R15" s="4"/>
      <c r="S15" s="4"/>
      <c r="T15" s="4"/>
      <c r="U15" s="4"/>
      <c r="V15" s="4"/>
    </row>
    <row r="16" spans="1:22" s="415" customFormat="1" ht="13">
      <c r="A16" s="416"/>
      <c r="B16" s="417"/>
      <c r="C16" s="418"/>
      <c r="D16" s="419"/>
      <c r="E16" s="419"/>
      <c r="F16" s="419"/>
      <c r="G16" s="419"/>
      <c r="H16" s="413"/>
      <c r="I16" s="413"/>
      <c r="J16" s="413"/>
      <c r="K16" s="413"/>
      <c r="N16" s="4"/>
      <c r="O16" s="4"/>
      <c r="P16" s="4"/>
      <c r="Q16" s="4"/>
      <c r="R16" s="4"/>
      <c r="S16" s="4"/>
      <c r="T16" s="4"/>
      <c r="U16" s="4"/>
      <c r="V16" s="4"/>
    </row>
    <row r="17" spans="1:22" s="415" customFormat="1" ht="13">
      <c r="A17" s="411">
        <f>+A15+1</f>
        <v>3</v>
      </c>
      <c r="B17" s="412" t="s">
        <v>486</v>
      </c>
      <c r="C17" s="4"/>
      <c r="D17" s="413"/>
      <c r="E17" s="413"/>
      <c r="F17" s="413"/>
      <c r="G17" s="413"/>
      <c r="H17" s="413"/>
      <c r="I17" s="659">
        <v>6915693.67392</v>
      </c>
      <c r="J17" s="414">
        <f>+I17-K17</f>
        <v>6328782.5559548857</v>
      </c>
      <c r="K17" s="659">
        <v>586911.11796511465</v>
      </c>
      <c r="N17" s="4"/>
      <c r="O17" s="4"/>
      <c r="P17" s="4"/>
      <c r="Q17" s="4"/>
      <c r="R17" s="4"/>
      <c r="S17" s="4"/>
      <c r="T17" s="4"/>
      <c r="U17" s="4"/>
      <c r="V17" s="4"/>
    </row>
    <row r="18" spans="1:22" s="415" customFormat="1" ht="13">
      <c r="A18" s="416"/>
      <c r="B18" s="413"/>
      <c r="C18" s="4"/>
      <c r="D18" s="413"/>
      <c r="E18" s="413"/>
      <c r="F18" s="413"/>
      <c r="G18" s="421"/>
      <c r="H18" s="413"/>
      <c r="I18" s="413"/>
      <c r="J18" s="413"/>
      <c r="K18" s="413"/>
      <c r="N18" s="4"/>
      <c r="O18" s="4"/>
      <c r="P18" s="4"/>
      <c r="Q18" s="4"/>
      <c r="R18" s="4"/>
      <c r="S18" s="4"/>
      <c r="T18" s="4"/>
      <c r="U18" s="4"/>
      <c r="V18" s="4"/>
    </row>
    <row r="19" spans="1:22" s="415" customFormat="1" ht="13">
      <c r="A19" s="411">
        <f>+A17+1</f>
        <v>4</v>
      </c>
      <c r="B19" s="412" t="s">
        <v>764</v>
      </c>
      <c r="C19" s="4"/>
      <c r="D19" s="413"/>
      <c r="E19" s="413"/>
      <c r="F19" s="413"/>
      <c r="G19" s="421"/>
      <c r="H19" s="413"/>
      <c r="I19" s="659">
        <v>0</v>
      </c>
      <c r="J19" s="414">
        <f>+I19-K19</f>
        <v>0</v>
      </c>
      <c r="K19" s="659">
        <v>0</v>
      </c>
      <c r="N19" s="423"/>
      <c r="O19" s="4"/>
      <c r="P19" s="4"/>
      <c r="Q19" s="4"/>
      <c r="R19" s="4"/>
      <c r="S19" s="4"/>
      <c r="T19" s="4"/>
      <c r="U19" s="4"/>
      <c r="V19" s="4"/>
    </row>
    <row r="20" spans="1:22" s="415" customFormat="1" ht="13">
      <c r="A20" s="416"/>
      <c r="B20" s="412"/>
      <c r="C20" s="4"/>
      <c r="D20" s="413"/>
      <c r="E20" s="413"/>
      <c r="F20" s="413"/>
      <c r="G20" s="421"/>
      <c r="H20" s="413"/>
      <c r="I20" s="4"/>
      <c r="J20" s="4"/>
      <c r="K20" s="4"/>
      <c r="L20" s="4"/>
      <c r="N20" s="423"/>
      <c r="O20" s="4"/>
      <c r="P20" s="4"/>
      <c r="Q20" s="4"/>
      <c r="R20" s="4"/>
      <c r="S20" s="4"/>
      <c r="T20" s="4"/>
      <c r="U20" s="4"/>
      <c r="V20" s="4"/>
    </row>
    <row r="21" spans="1:22" s="415" customFormat="1" ht="13">
      <c r="A21" s="411">
        <f>+A19+1</f>
        <v>5</v>
      </c>
      <c r="B21" s="412" t="s">
        <v>765</v>
      </c>
      <c r="C21" s="4"/>
      <c r="D21" s="413"/>
      <c r="E21" s="413"/>
      <c r="F21" s="413"/>
      <c r="G21" s="421"/>
      <c r="H21" s="413"/>
      <c r="I21" s="659">
        <v>33589247.320247903</v>
      </c>
      <c r="J21" s="414">
        <f>+I21-K21</f>
        <v>33589247.320247903</v>
      </c>
      <c r="K21" s="659">
        <v>0</v>
      </c>
      <c r="N21" s="423"/>
      <c r="O21" s="4"/>
      <c r="P21" s="4"/>
      <c r="Q21" s="4"/>
      <c r="R21" s="4"/>
      <c r="S21" s="4"/>
      <c r="T21" s="4"/>
      <c r="U21" s="4"/>
      <c r="V21" s="4"/>
    </row>
    <row r="22" spans="1:22" s="415" customFormat="1" ht="13">
      <c r="A22" s="411"/>
      <c r="B22" s="412"/>
      <c r="C22" s="4"/>
      <c r="D22" s="413"/>
      <c r="E22" s="413"/>
      <c r="F22" s="413"/>
      <c r="G22" s="421"/>
      <c r="H22" s="413"/>
      <c r="I22" s="693"/>
      <c r="J22" s="414"/>
      <c r="K22" s="693"/>
      <c r="N22" s="423"/>
      <c r="O22" s="4"/>
      <c r="P22" s="4"/>
      <c r="Q22" s="4"/>
      <c r="R22" s="4"/>
      <c r="S22" s="4"/>
      <c r="T22" s="4"/>
      <c r="U22" s="4"/>
      <c r="V22" s="4"/>
    </row>
    <row r="23" spans="1:22" s="415" customFormat="1" ht="13">
      <c r="A23" s="411" t="s">
        <v>623</v>
      </c>
      <c r="B23" s="412" t="s">
        <v>626</v>
      </c>
      <c r="C23" s="4"/>
      <c r="D23" s="413"/>
      <c r="E23" s="413"/>
      <c r="F23" s="413"/>
      <c r="G23" s="421"/>
      <c r="H23" s="413"/>
      <c r="I23" s="659"/>
      <c r="J23" s="414">
        <v>0</v>
      </c>
      <c r="K23" s="659"/>
      <c r="N23" s="423"/>
      <c r="O23" s="4"/>
      <c r="P23" s="4"/>
      <c r="Q23" s="4"/>
      <c r="R23" s="4"/>
      <c r="S23" s="4"/>
      <c r="T23" s="4"/>
      <c r="U23" s="4"/>
      <c r="V23" s="4"/>
    </row>
    <row r="24" spans="1:22" s="415" customFormat="1" ht="13">
      <c r="A24" s="411"/>
      <c r="B24" s="412"/>
      <c r="C24" s="4"/>
      <c r="D24" s="413"/>
      <c r="E24" s="413"/>
      <c r="F24" s="413"/>
      <c r="G24" s="421"/>
      <c r="H24" s="413"/>
      <c r="I24" s="693"/>
      <c r="J24" s="414"/>
      <c r="K24" s="693"/>
      <c r="N24" s="423"/>
      <c r="O24" s="4"/>
      <c r="P24" s="4"/>
      <c r="Q24" s="4"/>
      <c r="R24" s="4"/>
      <c r="S24" s="4"/>
      <c r="T24" s="4"/>
      <c r="U24" s="4"/>
      <c r="V24" s="4"/>
    </row>
    <row r="25" spans="1:22" s="415" customFormat="1" ht="13">
      <c r="A25" s="411" t="s">
        <v>624</v>
      </c>
      <c r="B25" s="412" t="s">
        <v>625</v>
      </c>
      <c r="C25" s="4"/>
      <c r="D25" s="413"/>
      <c r="E25" s="413"/>
      <c r="F25" s="413"/>
      <c r="G25" s="421"/>
      <c r="H25" s="413"/>
      <c r="I25" s="659"/>
      <c r="J25" s="414">
        <v>0</v>
      </c>
      <c r="K25" s="659"/>
      <c r="N25" s="423"/>
      <c r="O25" s="4"/>
      <c r="P25" s="4"/>
      <c r="Q25" s="4"/>
      <c r="R25" s="4"/>
      <c r="S25" s="4"/>
      <c r="T25" s="4"/>
      <c r="U25" s="4"/>
      <c r="V25" s="4"/>
    </row>
    <row r="26" spans="1:22" s="415" customFormat="1" ht="13">
      <c r="A26" s="411"/>
      <c r="B26" s="412"/>
      <c r="C26" s="4"/>
      <c r="D26" s="413"/>
      <c r="E26" s="413"/>
      <c r="F26" s="413"/>
      <c r="G26" s="421"/>
      <c r="H26" s="413"/>
      <c r="I26" s="4"/>
      <c r="J26" s="4"/>
      <c r="N26" s="4"/>
      <c r="O26" s="4"/>
      <c r="P26" s="4"/>
      <c r="Q26" s="4"/>
      <c r="R26" s="4"/>
      <c r="S26" s="4"/>
      <c r="T26" s="4"/>
      <c r="U26" s="4"/>
      <c r="V26" s="4"/>
    </row>
    <row r="27" spans="1:22" s="415" customFormat="1" ht="13">
      <c r="A27" s="411">
        <f>+A21+1</f>
        <v>6</v>
      </c>
      <c r="B27" s="412" t="s">
        <v>75</v>
      </c>
      <c r="C27" s="4"/>
      <c r="D27" s="413"/>
      <c r="E27" s="413"/>
      <c r="F27" s="413"/>
      <c r="G27" s="421"/>
      <c r="H27" s="413"/>
      <c r="I27" s="424">
        <f>+I21+I19+I17+I15+I13+I23+I25</f>
        <v>41574439.158898816</v>
      </c>
      <c r="J27" s="424">
        <f>+J21+J19+J17+J15+J13+J23+J25</f>
        <v>40989944.316996582</v>
      </c>
      <c r="K27" s="424">
        <f>+K21+K19+K17+K15+K13+K23+K25</f>
        <v>584494.84190223506</v>
      </c>
      <c r="N27" s="4"/>
      <c r="O27" s="4"/>
      <c r="P27" s="4"/>
      <c r="Q27" s="4"/>
      <c r="R27" s="4"/>
      <c r="S27" s="4"/>
      <c r="T27" s="4"/>
      <c r="U27" s="4"/>
      <c r="V27" s="4"/>
    </row>
    <row r="28" spans="1:22" s="415" customFormat="1" ht="13">
      <c r="A28" s="411"/>
      <c r="B28" s="412"/>
      <c r="C28" s="4"/>
      <c r="D28" s="413"/>
      <c r="E28" s="413"/>
      <c r="F28" s="413"/>
      <c r="G28" s="421"/>
      <c r="H28" s="413"/>
      <c r="I28" s="4"/>
      <c r="J28" s="4"/>
      <c r="K28" s="4"/>
      <c r="N28" s="4"/>
      <c r="O28" s="4"/>
      <c r="P28" s="4"/>
      <c r="Q28" s="4"/>
      <c r="R28" s="4"/>
      <c r="S28" s="4"/>
      <c r="T28" s="4"/>
      <c r="U28" s="4"/>
      <c r="V28" s="4"/>
    </row>
    <row r="29" spans="1:22" s="415" customFormat="1" ht="13">
      <c r="A29" s="411">
        <f>+A27+1</f>
        <v>7</v>
      </c>
      <c r="B29" s="1209" t="s">
        <v>487</v>
      </c>
      <c r="C29" s="1166"/>
      <c r="D29" s="1166"/>
      <c r="E29" s="1166"/>
      <c r="F29" s="1166"/>
      <c r="G29" s="1166"/>
      <c r="H29" s="413"/>
      <c r="I29" s="659"/>
      <c r="J29" s="414">
        <f>+I29-K29</f>
        <v>0</v>
      </c>
      <c r="K29" s="659"/>
      <c r="N29" s="4"/>
      <c r="O29" s="4"/>
      <c r="P29" s="4"/>
      <c r="Q29" s="4"/>
      <c r="R29" s="4"/>
      <c r="S29" s="4"/>
      <c r="T29" s="4"/>
      <c r="U29" s="4"/>
      <c r="V29" s="4"/>
    </row>
    <row r="30" spans="1:22" s="415" customFormat="1" ht="12.5">
      <c r="A30" s="79"/>
      <c r="B30" s="1166"/>
      <c r="C30" s="1166"/>
      <c r="D30" s="1166"/>
      <c r="E30" s="1166"/>
      <c r="F30" s="1166"/>
      <c r="G30" s="1166"/>
      <c r="H30" s="413"/>
      <c r="I30" s="414"/>
      <c r="J30" s="413"/>
      <c r="K30" s="414"/>
      <c r="N30" s="4"/>
      <c r="O30" s="4"/>
      <c r="P30" s="4"/>
      <c r="Q30" s="4"/>
      <c r="R30" s="4"/>
      <c r="S30" s="4"/>
      <c r="T30" s="4"/>
      <c r="U30" s="4"/>
      <c r="V30" s="4"/>
    </row>
    <row r="31" spans="1:22" s="415" customFormat="1" ht="13">
      <c r="A31" s="411">
        <f>+A29+1</f>
        <v>8</v>
      </c>
      <c r="B31" s="417" t="s">
        <v>217</v>
      </c>
      <c r="C31" s="418"/>
      <c r="D31" s="419"/>
      <c r="E31" s="419"/>
      <c r="F31" s="419"/>
      <c r="G31" s="422"/>
      <c r="H31" s="413"/>
      <c r="I31" s="425">
        <f>SUM(I27:I29)</f>
        <v>41574439.158898816</v>
      </c>
      <c r="J31" s="425">
        <f>SUM(J27:J29)</f>
        <v>40989944.316996582</v>
      </c>
      <c r="K31" s="425">
        <f>SUM(K27:K29)</f>
        <v>584494.84190223506</v>
      </c>
      <c r="N31" s="4"/>
      <c r="O31" s="4"/>
      <c r="P31" s="4"/>
      <c r="Q31" s="4"/>
      <c r="R31" s="4"/>
      <c r="S31" s="4"/>
      <c r="T31" s="4"/>
      <c r="U31" s="4"/>
      <c r="V31" s="4"/>
    </row>
    <row r="32" spans="1:22" s="415" customFormat="1" ht="13">
      <c r="A32" s="411"/>
      <c r="B32" s="417"/>
      <c r="C32" s="418"/>
      <c r="D32" s="419"/>
      <c r="E32" s="419"/>
      <c r="F32" s="419"/>
      <c r="G32" s="422"/>
      <c r="H32" s="413"/>
      <c r="I32" s="414"/>
      <c r="J32" s="414"/>
      <c r="K32" s="414"/>
      <c r="N32" s="4"/>
      <c r="O32" s="4"/>
      <c r="P32" s="4"/>
      <c r="Q32" s="4"/>
      <c r="R32" s="4"/>
      <c r="S32" s="4"/>
      <c r="T32" s="4"/>
      <c r="U32" s="4"/>
      <c r="V32" s="4"/>
    </row>
    <row r="33" spans="1:22" s="415" customFormat="1" ht="13">
      <c r="A33" s="411"/>
      <c r="B33" s="417"/>
      <c r="C33" s="418"/>
      <c r="D33" s="419"/>
      <c r="E33" s="419"/>
      <c r="F33" s="419"/>
      <c r="G33" s="422"/>
      <c r="H33" s="413"/>
      <c r="I33" s="414"/>
      <c r="J33" s="414"/>
      <c r="K33" s="414"/>
      <c r="N33" s="4"/>
      <c r="O33" s="4"/>
      <c r="P33" s="4"/>
      <c r="Q33" s="4"/>
      <c r="R33" s="4"/>
      <c r="S33" s="4"/>
      <c r="T33" s="4"/>
      <c r="U33" s="4"/>
      <c r="V33" s="4"/>
    </row>
    <row r="34" spans="1:22" s="415" customFormat="1" ht="12.5">
      <c r="A34" s="873"/>
      <c r="N34" s="4"/>
      <c r="O34" s="4"/>
      <c r="P34" s="4"/>
      <c r="Q34" s="4"/>
      <c r="R34" s="4"/>
      <c r="S34" s="4"/>
      <c r="T34" s="4"/>
      <c r="U34" s="4"/>
      <c r="V34" s="4"/>
    </row>
    <row r="35" spans="1:22">
      <c r="A35" s="874"/>
      <c r="B35" s="4"/>
      <c r="C35" s="412"/>
      <c r="D35" s="413"/>
      <c r="E35" s="413"/>
      <c r="F35" s="413"/>
      <c r="G35" s="421"/>
      <c r="H35" s="413"/>
      <c r="I35" s="413"/>
      <c r="J35" s="413"/>
      <c r="K35" s="413"/>
      <c r="L35" s="405"/>
      <c r="M35" s="426"/>
      <c r="N35" s="2"/>
      <c r="O35" s="29"/>
      <c r="P35" s="29"/>
      <c r="Q35" s="29"/>
      <c r="R35" s="29"/>
      <c r="S35" s="2"/>
      <c r="T35" s="2"/>
      <c r="U35" s="2"/>
      <c r="V35" s="2"/>
    </row>
    <row r="36" spans="1:22" ht="15" customHeight="1">
      <c r="A36" s="79" t="s">
        <v>501</v>
      </c>
      <c r="B36" s="1208"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KENTUCKY POWER COMPANY's general ledger. The functional amounts identified as transmission revenue also come from the general ledger. </v>
      </c>
      <c r="C36" s="1208"/>
      <c r="D36" s="1208"/>
      <c r="E36" s="1208"/>
      <c r="F36" s="1208"/>
      <c r="G36" s="1208"/>
      <c r="H36" s="1208"/>
      <c r="I36" s="1208"/>
      <c r="J36" s="1208"/>
      <c r="K36" s="4"/>
      <c r="L36" s="29"/>
      <c r="M36" s="29"/>
      <c r="N36" s="2"/>
      <c r="O36" s="29"/>
      <c r="P36" s="29"/>
      <c r="Q36" s="29"/>
      <c r="R36" s="29"/>
      <c r="S36" s="2"/>
      <c r="T36" s="407"/>
      <c r="U36" s="2"/>
      <c r="V36" s="2"/>
    </row>
    <row r="37" spans="1:22">
      <c r="A37" s="79"/>
      <c r="B37" s="1208"/>
      <c r="C37" s="1208"/>
      <c r="D37" s="1208"/>
      <c r="E37" s="1208"/>
      <c r="F37" s="1208"/>
      <c r="G37" s="1208"/>
      <c r="H37" s="1208"/>
      <c r="I37" s="1208"/>
      <c r="J37" s="1208"/>
      <c r="K37" s="4"/>
      <c r="L37" s="2"/>
      <c r="M37" s="428"/>
      <c r="N37" s="428"/>
      <c r="O37" s="428"/>
      <c r="P37" s="428"/>
      <c r="Q37" s="428"/>
      <c r="R37" s="2"/>
      <c r="S37" s="2"/>
      <c r="T37" s="2"/>
      <c r="U37" s="2"/>
      <c r="V37" s="2"/>
    </row>
    <row r="38" spans="1:22">
      <c r="A38" s="79" t="s">
        <v>621</v>
      </c>
      <c r="B38" s="872" t="s">
        <v>622</v>
      </c>
      <c r="C38" s="427"/>
      <c r="D38" s="427"/>
      <c r="E38" s="427"/>
      <c r="F38" s="427"/>
      <c r="G38" s="427"/>
      <c r="H38" s="427"/>
      <c r="I38" s="427"/>
      <c r="J38" s="427"/>
      <c r="K38" s="140"/>
      <c r="L38" s="2"/>
      <c r="M38" s="428"/>
      <c r="N38" s="428"/>
      <c r="O38" s="428"/>
      <c r="P38" s="428"/>
      <c r="Q38" s="428"/>
      <c r="R38" s="2"/>
      <c r="S38" s="2"/>
      <c r="T38" s="2"/>
      <c r="U38" s="2"/>
      <c r="V38" s="2"/>
    </row>
    <row r="39" spans="1:22">
      <c r="A39" s="411">
        <f>+A31+1</f>
        <v>9</v>
      </c>
      <c r="B39" s="412" t="s">
        <v>536</v>
      </c>
      <c r="C39" s="4"/>
      <c r="D39" s="413"/>
      <c r="E39" s="413"/>
      <c r="F39" s="413"/>
      <c r="G39" s="421"/>
      <c r="H39" s="413"/>
      <c r="I39" s="414"/>
      <c r="J39" s="414"/>
      <c r="K39" s="659">
        <v>0</v>
      </c>
      <c r="L39" s="2"/>
      <c r="M39" s="428"/>
      <c r="N39" s="428"/>
      <c r="O39" s="428"/>
      <c r="P39" s="428"/>
      <c r="Q39" s="428"/>
      <c r="R39" s="2"/>
      <c r="S39" s="2"/>
      <c r="T39" s="2"/>
      <c r="U39" s="2"/>
      <c r="V39" s="2"/>
    </row>
    <row r="40" spans="1:22">
      <c r="A40" s="2"/>
      <c r="B40" s="2"/>
      <c r="E40" s="428"/>
      <c r="F40" s="428"/>
      <c r="G40" s="428"/>
      <c r="H40" s="428"/>
      <c r="I40" s="429"/>
      <c r="J40" s="428"/>
      <c r="K40" s="428"/>
      <c r="L40" s="2"/>
      <c r="M40" s="428"/>
      <c r="N40" s="428"/>
      <c r="O40" s="428"/>
      <c r="P40" s="428"/>
      <c r="Q40" s="428"/>
      <c r="R40" s="2"/>
      <c r="S40" s="2"/>
      <c r="T40" s="2"/>
      <c r="U40" s="2"/>
      <c r="V40" s="2"/>
    </row>
    <row r="41" spans="1:22">
      <c r="A41" s="29"/>
      <c r="B41" s="29"/>
      <c r="C41" s="29"/>
      <c r="D41" s="29"/>
      <c r="E41" s="29"/>
      <c r="F41" s="29"/>
      <c r="G41" s="29"/>
      <c r="H41" s="29"/>
      <c r="I41" s="29"/>
      <c r="J41" s="29"/>
      <c r="K41" s="29"/>
      <c r="L41" s="29"/>
      <c r="M41" s="29"/>
      <c r="N41" s="29"/>
      <c r="O41" s="29"/>
      <c r="P41" s="29"/>
      <c r="Q41" s="29"/>
      <c r="R41" s="29"/>
      <c r="S41" s="29"/>
      <c r="T41" s="29"/>
      <c r="U41" s="29"/>
      <c r="V41" s="29"/>
    </row>
    <row r="42" spans="1:22">
      <c r="A42" s="29"/>
      <c r="B42" s="29"/>
      <c r="C42" s="29"/>
      <c r="D42" s="29"/>
      <c r="E42" s="29"/>
      <c r="F42" s="29"/>
      <c r="G42" s="29"/>
      <c r="H42" s="29"/>
      <c r="I42" s="29"/>
      <c r="J42" s="29"/>
      <c r="K42" s="29"/>
      <c r="L42" s="29"/>
      <c r="M42" s="29"/>
      <c r="N42" s="29"/>
      <c r="O42" s="29"/>
      <c r="P42" s="29"/>
      <c r="Q42" s="29"/>
      <c r="R42" s="29"/>
      <c r="S42" s="29"/>
      <c r="T42" s="29"/>
      <c r="U42" s="29"/>
      <c r="V42" s="29"/>
    </row>
    <row r="43" spans="1:22">
      <c r="A43" s="29"/>
      <c r="B43" s="29"/>
      <c r="C43" s="29"/>
      <c r="D43" s="29"/>
      <c r="E43" s="29"/>
      <c r="F43" s="29"/>
      <c r="G43" s="29"/>
      <c r="H43" s="29"/>
      <c r="I43" s="29"/>
      <c r="J43" s="29"/>
      <c r="K43" s="29"/>
      <c r="L43" s="29"/>
      <c r="M43" s="29"/>
      <c r="N43" s="29"/>
      <c r="O43" s="29"/>
      <c r="P43" s="29"/>
      <c r="Q43" s="29"/>
      <c r="R43" s="29"/>
      <c r="S43" s="29"/>
      <c r="T43" s="29"/>
      <c r="U43" s="29"/>
      <c r="V43" s="29"/>
    </row>
    <row r="44" spans="1:22">
      <c r="A44" s="29"/>
      <c r="B44" s="29"/>
      <c r="C44" s="29"/>
      <c r="D44" s="29"/>
      <c r="E44" s="29"/>
      <c r="F44" s="29"/>
      <c r="G44" s="29"/>
      <c r="H44" s="29"/>
      <c r="I44" s="29"/>
      <c r="J44" s="29"/>
      <c r="K44" s="29"/>
      <c r="L44" s="29"/>
      <c r="M44" s="29"/>
      <c r="N44" s="29"/>
      <c r="O44" s="29"/>
      <c r="P44" s="29"/>
      <c r="Q44" s="29"/>
      <c r="R44" s="29"/>
      <c r="S44" s="29"/>
      <c r="T44" s="29"/>
      <c r="U44" s="29"/>
      <c r="V44" s="29"/>
    </row>
    <row r="45" spans="1:22">
      <c r="A45" s="29"/>
      <c r="B45" s="29"/>
      <c r="C45" s="29"/>
      <c r="D45" s="29"/>
      <c r="E45" s="29"/>
      <c r="F45" s="29"/>
      <c r="G45" s="29"/>
      <c r="H45" s="29"/>
      <c r="I45" s="29"/>
      <c r="J45" s="29"/>
      <c r="K45" s="29"/>
      <c r="L45" s="29"/>
      <c r="M45" s="29"/>
      <c r="N45" s="29"/>
      <c r="O45" s="29"/>
      <c r="P45" s="29"/>
      <c r="Q45" s="29"/>
      <c r="R45" s="29"/>
      <c r="S45" s="29"/>
      <c r="T45" s="29"/>
      <c r="U45" s="29"/>
      <c r="V45" s="29"/>
    </row>
    <row r="46" spans="1:22">
      <c r="A46" s="29"/>
      <c r="B46" s="29"/>
      <c r="C46" s="29"/>
      <c r="D46" s="29"/>
      <c r="E46" s="29"/>
      <c r="F46" s="29"/>
      <c r="G46" s="29"/>
      <c r="H46" s="29"/>
      <c r="I46" s="29"/>
      <c r="J46" s="29"/>
      <c r="K46" s="29"/>
      <c r="L46" s="29"/>
      <c r="M46" s="29"/>
      <c r="N46" s="29"/>
      <c r="O46" s="29"/>
      <c r="P46" s="29"/>
      <c r="Q46" s="29"/>
      <c r="R46" s="29"/>
      <c r="S46" s="29"/>
      <c r="T46" s="29"/>
      <c r="U46" s="29"/>
      <c r="V46" s="29"/>
    </row>
    <row r="47" spans="1:22">
      <c r="A47" s="29"/>
      <c r="B47" s="29"/>
      <c r="C47" s="29"/>
      <c r="D47" s="29"/>
      <c r="E47" s="29"/>
      <c r="F47" s="29"/>
      <c r="G47" s="29"/>
      <c r="H47" s="29"/>
      <c r="I47" s="29"/>
      <c r="J47" s="29"/>
      <c r="K47" s="29"/>
      <c r="L47" s="29"/>
      <c r="M47" s="29"/>
      <c r="N47" s="29"/>
      <c r="O47" s="29"/>
      <c r="P47" s="29"/>
      <c r="Q47" s="29"/>
      <c r="R47" s="29"/>
      <c r="S47" s="29"/>
      <c r="T47" s="29"/>
      <c r="U47" s="29"/>
      <c r="V47" s="29"/>
    </row>
    <row r="48" spans="1:22">
      <c r="A48" s="29"/>
      <c r="B48" s="29"/>
      <c r="C48" s="29"/>
      <c r="D48" s="29"/>
      <c r="E48" s="29"/>
      <c r="F48" s="29"/>
      <c r="G48" s="29"/>
      <c r="H48" s="29"/>
      <c r="I48" s="29"/>
      <c r="J48" s="29"/>
      <c r="K48" s="29"/>
      <c r="L48" s="29"/>
      <c r="M48" s="29"/>
      <c r="N48" s="29"/>
      <c r="O48" s="29"/>
      <c r="P48" s="29"/>
      <c r="Q48" s="29"/>
      <c r="R48" s="29"/>
      <c r="S48" s="29"/>
      <c r="T48" s="29"/>
      <c r="U48" s="29"/>
      <c r="V48" s="29"/>
    </row>
    <row r="49" spans="1:22">
      <c r="A49" s="29"/>
      <c r="B49" s="29"/>
      <c r="C49" s="29"/>
      <c r="D49" s="29"/>
      <c r="E49" s="29"/>
      <c r="F49" s="29"/>
      <c r="G49" s="29"/>
      <c r="H49" s="29"/>
      <c r="I49" s="29"/>
      <c r="J49" s="29"/>
      <c r="K49" s="29"/>
      <c r="L49" s="29"/>
      <c r="M49" s="29"/>
      <c r="N49" s="29"/>
      <c r="O49" s="29"/>
      <c r="P49" s="29"/>
      <c r="Q49" s="29"/>
      <c r="R49" s="29"/>
      <c r="S49" s="29"/>
      <c r="T49" s="29"/>
      <c r="U49" s="29"/>
      <c r="V49" s="2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5"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72"/>
  <sheetViews>
    <sheetView view="pageBreakPreview" topLeftCell="A46" zoomScale="85" zoomScaleNormal="85" zoomScaleSheetLayoutView="85" workbookViewId="0">
      <selection activeCell="F70" sqref="F70"/>
    </sheetView>
  </sheetViews>
  <sheetFormatPr defaultColWidth="9.1796875" defaultRowHeight="15.5"/>
  <cols>
    <col min="1" max="1" width="10.453125" style="47" customWidth="1"/>
    <col min="2" max="2" width="15.1796875" style="19" customWidth="1"/>
    <col min="3" max="3" width="62.26953125" style="6" customWidth="1"/>
    <col min="4" max="4" width="15.7265625" style="6" customWidth="1"/>
    <col min="5" max="5" width="22" style="6" customWidth="1"/>
    <col min="6" max="6" width="17.26953125" style="6" customWidth="1"/>
    <col min="7" max="7" width="47.7265625" style="6" customWidth="1"/>
    <col min="8" max="8" width="13.81640625" style="6" customWidth="1"/>
    <col min="9" max="9" width="9.1796875" style="6"/>
    <col min="10" max="10" width="12.453125" style="6" bestFit="1" customWidth="1"/>
    <col min="11" max="11" width="13.26953125" style="6" customWidth="1"/>
    <col min="12" max="16384" width="9.1796875" style="6"/>
  </cols>
  <sheetData>
    <row r="1" spans="1:11">
      <c r="A1" s="694" t="s">
        <v>116</v>
      </c>
    </row>
    <row r="2" spans="1:11">
      <c r="A2" s="694" t="s">
        <v>116</v>
      </c>
    </row>
    <row r="3" spans="1:11">
      <c r="A3" s="1176" t="s">
        <v>389</v>
      </c>
      <c r="B3" s="1176"/>
      <c r="C3" s="1176"/>
      <c r="D3" s="1176"/>
      <c r="E3" s="1176"/>
      <c r="F3" s="1176"/>
      <c r="G3" s="1176"/>
      <c r="H3" s="30"/>
    </row>
    <row r="4" spans="1:11" ht="17.25" customHeight="1">
      <c r="A4" s="1177" t="str">
        <f>"Cost of Service Formula Rate Using Actual/Projected FF1 Balances"</f>
        <v>Cost of Service Formula Rate Using Actual/Projected FF1 Balances</v>
      </c>
      <c r="B4" s="1177"/>
      <c r="C4" s="1177"/>
      <c r="D4" s="1177"/>
      <c r="E4" s="1177"/>
      <c r="F4" s="1177"/>
      <c r="G4" s="1177"/>
      <c r="H4" s="75"/>
      <c r="I4" s="75"/>
      <c r="J4" s="75"/>
      <c r="K4" s="75"/>
    </row>
    <row r="5" spans="1:11" ht="18" customHeight="1">
      <c r="A5" s="1177" t="s">
        <v>490</v>
      </c>
      <c r="B5" s="1177"/>
      <c r="C5" s="1177"/>
      <c r="D5" s="1177"/>
      <c r="E5" s="1177"/>
      <c r="F5" s="1177"/>
      <c r="G5" s="1177"/>
    </row>
    <row r="6" spans="1:11" ht="19.5" customHeight="1">
      <c r="A6" s="1188" t="str">
        <f>TCOS!F9</f>
        <v>KENTUCKY POWER COMPANY</v>
      </c>
      <c r="B6" s="1188"/>
      <c r="C6" s="1188"/>
      <c r="D6" s="1188"/>
      <c r="E6" s="1188"/>
      <c r="F6" s="1188"/>
      <c r="G6" s="1188"/>
    </row>
    <row r="7" spans="1:11" ht="12.75" customHeight="1">
      <c r="A7" s="1176"/>
      <c r="B7" s="1176"/>
      <c r="C7" s="1176"/>
      <c r="D7" s="1176"/>
      <c r="E7" s="1176"/>
      <c r="F7" s="1176"/>
      <c r="G7" s="37"/>
    </row>
    <row r="8" spans="1:11" ht="18">
      <c r="A8" s="1210"/>
      <c r="B8" s="1210"/>
      <c r="C8" s="1210"/>
      <c r="D8" s="1210"/>
      <c r="E8" s="1210"/>
      <c r="F8" s="1210"/>
      <c r="G8" s="1210"/>
    </row>
    <row r="9" spans="1:11" ht="18">
      <c r="A9" s="131"/>
      <c r="B9" s="131"/>
      <c r="C9" s="131"/>
      <c r="D9" s="131"/>
      <c r="E9" s="131"/>
      <c r="F9" s="131"/>
      <c r="G9" s="131"/>
    </row>
    <row r="10" spans="1:11">
      <c r="B10" s="27" t="s">
        <v>164</v>
      </c>
      <c r="C10" s="27" t="s">
        <v>165</v>
      </c>
      <c r="D10" s="27" t="s">
        <v>166</v>
      </c>
      <c r="E10" s="27" t="s">
        <v>167</v>
      </c>
      <c r="F10" s="27" t="s">
        <v>85</v>
      </c>
      <c r="G10" s="27" t="s">
        <v>86</v>
      </c>
    </row>
    <row r="11" spans="1:11">
      <c r="B11" s="39"/>
      <c r="C11" s="37"/>
      <c r="D11" s="163"/>
      <c r="E11" s="164"/>
      <c r="F11" s="165" t="s">
        <v>88</v>
      </c>
      <c r="G11" s="27"/>
    </row>
    <row r="12" spans="1:11">
      <c r="A12" s="42" t="s">
        <v>171</v>
      </c>
      <c r="B12" s="39"/>
      <c r="C12" s="48"/>
      <c r="D12" s="42">
        <f>+TCOS!L4</f>
        <v>2024</v>
      </c>
      <c r="E12" s="165" t="s">
        <v>88</v>
      </c>
      <c r="F12" s="42" t="s">
        <v>117</v>
      </c>
      <c r="G12" s="27"/>
    </row>
    <row r="13" spans="1:11">
      <c r="A13" s="42" t="s">
        <v>107</v>
      </c>
      <c r="B13" s="42" t="s">
        <v>37</v>
      </c>
      <c r="C13" s="42" t="s">
        <v>169</v>
      </c>
      <c r="D13" s="42" t="s">
        <v>38</v>
      </c>
      <c r="E13" s="42" t="s">
        <v>90</v>
      </c>
      <c r="F13" s="42" t="s">
        <v>39</v>
      </c>
      <c r="G13" s="42" t="s">
        <v>40</v>
      </c>
    </row>
    <row r="14" spans="1:11">
      <c r="B14" s="42"/>
      <c r="C14" s="42"/>
      <c r="D14" s="42"/>
      <c r="E14" s="42"/>
      <c r="F14" s="42"/>
      <c r="G14" s="42"/>
    </row>
    <row r="15" spans="1:11">
      <c r="B15" s="42"/>
      <c r="C15" s="42"/>
      <c r="D15" s="42"/>
      <c r="E15" s="42"/>
      <c r="F15" s="42"/>
      <c r="G15" s="42"/>
    </row>
    <row r="16" spans="1:11">
      <c r="B16" s="42"/>
      <c r="D16" s="42"/>
      <c r="E16" s="42"/>
      <c r="F16" s="42"/>
      <c r="G16" s="42"/>
    </row>
    <row r="17" spans="1:7">
      <c r="B17" s="42"/>
      <c r="C17" s="42" t="s">
        <v>498</v>
      </c>
      <c r="D17" s="35"/>
      <c r="E17" s="35"/>
      <c r="F17" s="35"/>
      <c r="G17" s="71"/>
    </row>
    <row r="18" spans="1:7">
      <c r="A18" s="47">
        <v>1</v>
      </c>
      <c r="B18" s="982">
        <v>5660009</v>
      </c>
      <c r="C18" s="661" t="s">
        <v>1031</v>
      </c>
      <c r="D18" s="1053">
        <v>0</v>
      </c>
      <c r="E18" s="53"/>
      <c r="F18" s="53"/>
      <c r="G18" s="688"/>
    </row>
    <row r="19" spans="1:7">
      <c r="A19" s="47">
        <v>2</v>
      </c>
      <c r="B19" s="660" t="s">
        <v>116</v>
      </c>
      <c r="C19" s="661" t="s">
        <v>116</v>
      </c>
      <c r="D19" s="983"/>
      <c r="E19" s="53"/>
      <c r="F19" s="53"/>
      <c r="G19" s="34"/>
    </row>
    <row r="20" spans="1:7">
      <c r="A20" s="47">
        <v>3</v>
      </c>
      <c r="B20" s="660"/>
      <c r="C20" s="661"/>
      <c r="D20" s="662"/>
      <c r="E20" s="53"/>
      <c r="F20" s="53"/>
      <c r="G20" s="34"/>
    </row>
    <row r="21" spans="1:7">
      <c r="A21" s="47">
        <v>4</v>
      </c>
      <c r="B21" s="42"/>
      <c r="C21" s="193" t="s">
        <v>120</v>
      </c>
      <c r="D21" s="244">
        <f>SUM(D18:D19)</f>
        <v>0</v>
      </c>
      <c r="E21" s="53"/>
      <c r="F21" s="53"/>
      <c r="G21" s="42"/>
    </row>
    <row r="22" spans="1:7">
      <c r="B22" s="42"/>
      <c r="C22" s="193"/>
      <c r="D22" s="206"/>
      <c r="E22" s="35"/>
      <c r="F22" s="35"/>
      <c r="G22" s="42"/>
    </row>
    <row r="23" spans="1:7">
      <c r="A23" s="6"/>
      <c r="B23" s="42"/>
      <c r="C23" s="42" t="s">
        <v>50</v>
      </c>
      <c r="D23" s="50"/>
      <c r="E23" s="35"/>
      <c r="F23" s="35"/>
      <c r="G23" s="42"/>
    </row>
    <row r="24" spans="1:7">
      <c r="A24" s="41">
        <f>+A21+1</f>
        <v>5</v>
      </c>
      <c r="B24" s="17"/>
      <c r="C24" s="202"/>
      <c r="D24" s="875"/>
      <c r="E24" s="35"/>
      <c r="F24" s="35"/>
      <c r="G24" s="42"/>
    </row>
    <row r="25" spans="1:7">
      <c r="A25" s="241">
        <f>+A24+1</f>
        <v>6</v>
      </c>
      <c r="B25" s="968" t="s">
        <v>51</v>
      </c>
      <c r="C25" s="968" t="s">
        <v>52</v>
      </c>
      <c r="D25" s="964">
        <v>0</v>
      </c>
      <c r="E25" s="35"/>
      <c r="F25" s="35"/>
      <c r="G25" s="42"/>
    </row>
    <row r="26" spans="1:7">
      <c r="A26" s="41">
        <f>+A25+1</f>
        <v>7</v>
      </c>
      <c r="B26" s="968" t="s">
        <v>53</v>
      </c>
      <c r="C26" s="968" t="s">
        <v>54</v>
      </c>
      <c r="D26" s="964">
        <v>325968.90136079839</v>
      </c>
      <c r="E26" s="35"/>
      <c r="F26" s="35"/>
      <c r="G26" s="42"/>
    </row>
    <row r="27" spans="1:7">
      <c r="A27" s="241">
        <f t="shared" ref="A27:A32" si="0">+A26+1</f>
        <v>8</v>
      </c>
      <c r="B27" s="968" t="s">
        <v>55</v>
      </c>
      <c r="C27" s="968" t="s">
        <v>56</v>
      </c>
      <c r="D27" s="964">
        <v>0</v>
      </c>
      <c r="E27" s="35"/>
      <c r="F27" s="35"/>
      <c r="G27" s="42"/>
    </row>
    <row r="28" spans="1:7">
      <c r="A28" s="41">
        <f t="shared" si="0"/>
        <v>9</v>
      </c>
      <c r="B28" s="968" t="s">
        <v>57</v>
      </c>
      <c r="C28" s="968" t="s">
        <v>58</v>
      </c>
      <c r="D28" s="964">
        <v>1400744.43728405</v>
      </c>
      <c r="E28" s="35"/>
      <c r="F28" s="35"/>
      <c r="G28" s="42"/>
    </row>
    <row r="29" spans="1:7">
      <c r="A29" s="241">
        <f t="shared" si="0"/>
        <v>10</v>
      </c>
      <c r="B29" s="968" t="s">
        <v>59</v>
      </c>
      <c r="C29" s="968" t="s">
        <v>60</v>
      </c>
      <c r="D29" s="964">
        <v>83200.258688393966</v>
      </c>
      <c r="E29" s="35"/>
      <c r="F29" s="35"/>
      <c r="G29" s="42"/>
    </row>
    <row r="30" spans="1:7">
      <c r="A30" s="41">
        <f t="shared" si="0"/>
        <v>11</v>
      </c>
      <c r="B30" s="968" t="s">
        <v>61</v>
      </c>
      <c r="C30" s="968" t="s">
        <v>62</v>
      </c>
      <c r="D30" s="964">
        <v>0</v>
      </c>
      <c r="E30" s="35"/>
      <c r="F30" s="35"/>
      <c r="G30" s="42"/>
    </row>
    <row r="31" spans="1:7">
      <c r="A31" s="241">
        <f t="shared" si="0"/>
        <v>12</v>
      </c>
      <c r="B31" s="968" t="s">
        <v>63</v>
      </c>
      <c r="C31" s="968" t="s">
        <v>64</v>
      </c>
      <c r="D31" s="964">
        <v>0</v>
      </c>
      <c r="E31" s="35"/>
      <c r="F31" s="35"/>
      <c r="G31" s="42"/>
    </row>
    <row r="32" spans="1:7">
      <c r="A32" s="41">
        <f t="shared" si="0"/>
        <v>13</v>
      </c>
      <c r="B32" s="968" t="s">
        <v>65</v>
      </c>
      <c r="C32" s="968" t="s">
        <v>66</v>
      </c>
      <c r="D32" s="964">
        <v>367280.1166116675</v>
      </c>
      <c r="E32" s="35"/>
      <c r="F32" s="35"/>
      <c r="G32" s="42"/>
    </row>
    <row r="33" spans="1:19">
      <c r="A33" s="47">
        <f>+A32+1</f>
        <v>14</v>
      </c>
      <c r="B33" s="220"/>
      <c r="C33" s="27" t="s">
        <v>67</v>
      </c>
      <c r="D33" s="221">
        <f>SUM(D24:D32)</f>
        <v>2177193.7139449101</v>
      </c>
      <c r="E33" s="35"/>
      <c r="F33" s="35"/>
      <c r="G33" s="42"/>
    </row>
    <row r="34" spans="1:19">
      <c r="A34" s="190"/>
      <c r="B34" s="52"/>
      <c r="C34" s="42"/>
      <c r="D34" s="42"/>
      <c r="E34" s="42"/>
      <c r="F34" s="42"/>
      <c r="G34" s="42"/>
    </row>
    <row r="35" spans="1:19">
      <c r="A35" s="190"/>
      <c r="B35" s="41"/>
      <c r="C35" s="78" t="s">
        <v>214</v>
      </c>
      <c r="D35" s="37"/>
      <c r="E35" s="37"/>
      <c r="F35" s="37"/>
      <c r="G35" s="37"/>
    </row>
    <row r="36" spans="1:19">
      <c r="A36" s="47">
        <f>+A33+1</f>
        <v>15</v>
      </c>
      <c r="B36" s="660" t="s">
        <v>1026</v>
      </c>
      <c r="C36" s="661" t="s">
        <v>884</v>
      </c>
      <c r="D36" s="662">
        <v>1559.4785621868232</v>
      </c>
      <c r="E36" s="1081">
        <v>1198.1666675756253</v>
      </c>
      <c r="F36" s="1081">
        <v>361.31189461119789</v>
      </c>
      <c r="G36" s="34" t="s">
        <v>116</v>
      </c>
    </row>
    <row r="37" spans="1:19">
      <c r="A37" s="47">
        <f>+A36+1</f>
        <v>16</v>
      </c>
      <c r="B37" s="660" t="s">
        <v>1074</v>
      </c>
      <c r="C37" s="661" t="s">
        <v>1075</v>
      </c>
      <c r="D37" s="662">
        <v>3.1846453909225088</v>
      </c>
      <c r="E37" s="1081">
        <v>2.2794660993117541</v>
      </c>
      <c r="F37" s="1081">
        <v>0.9051792916107545</v>
      </c>
      <c r="G37" s="34" t="s">
        <v>116</v>
      </c>
    </row>
    <row r="38" spans="1:19">
      <c r="A38" s="47">
        <f>+A37+1</f>
        <v>17</v>
      </c>
      <c r="B38" s="660" t="s">
        <v>1028</v>
      </c>
      <c r="C38" s="661" t="s">
        <v>1027</v>
      </c>
      <c r="D38" s="662">
        <v>922708.56430746091</v>
      </c>
      <c r="E38" s="1081">
        <v>651702.58868865808</v>
      </c>
      <c r="F38" s="1081">
        <v>271005.97561880277</v>
      </c>
      <c r="G38" s="34" t="s">
        <v>116</v>
      </c>
    </row>
    <row r="39" spans="1:19">
      <c r="A39" s="47">
        <f>+A38+1</f>
        <v>18</v>
      </c>
      <c r="B39" s="660" t="s">
        <v>1029</v>
      </c>
      <c r="C39" s="661" t="s">
        <v>1030</v>
      </c>
      <c r="D39" s="662">
        <v>6193.3027846819214</v>
      </c>
      <c r="E39" s="1081">
        <v>418.78747605442277</v>
      </c>
      <c r="F39" s="1081">
        <v>5774.5153086274986</v>
      </c>
      <c r="G39" s="34" t="s">
        <v>116</v>
      </c>
    </row>
    <row r="40" spans="1:19" ht="12.75" customHeight="1">
      <c r="A40" s="47">
        <f>+A39+1</f>
        <v>19</v>
      </c>
      <c r="B40" s="660" t="s">
        <v>1076</v>
      </c>
      <c r="C40" s="661" t="s">
        <v>1077</v>
      </c>
      <c r="D40" s="662">
        <v>649033.63120802923</v>
      </c>
      <c r="E40" s="1081">
        <v>649033.63120802923</v>
      </c>
      <c r="F40" s="1081">
        <v>0</v>
      </c>
      <c r="G40" s="37"/>
    </row>
    <row r="41" spans="1:19" ht="15.75" customHeight="1">
      <c r="A41" s="47">
        <f>+A40+1</f>
        <v>20</v>
      </c>
      <c r="B41" s="39"/>
      <c r="C41" s="876" t="s">
        <v>627</v>
      </c>
      <c r="D41" s="49">
        <f>SUM(D36:D40)</f>
        <v>1579498.1615077499</v>
      </c>
      <c r="E41" s="49">
        <f t="shared" ref="E41:F41" si="1">SUM(E36:E40)</f>
        <v>1302355.4535064166</v>
      </c>
      <c r="F41" s="49">
        <f t="shared" si="1"/>
        <v>277142.70800133311</v>
      </c>
      <c r="G41" s="21"/>
    </row>
    <row r="42" spans="1:19" ht="12.75" customHeight="1">
      <c r="B42" s="39"/>
      <c r="C42" s="40"/>
      <c r="D42" s="51"/>
      <c r="E42" s="23"/>
      <c r="F42" s="23"/>
      <c r="G42" s="37"/>
    </row>
    <row r="43" spans="1:19">
      <c r="B43" s="41"/>
      <c r="C43" s="78" t="s">
        <v>213</v>
      </c>
      <c r="D43" s="23"/>
      <c r="E43" s="23"/>
      <c r="F43" s="23"/>
      <c r="G43" s="37"/>
    </row>
    <row r="44" spans="1:19">
      <c r="A44" s="47">
        <f>+A41+1</f>
        <v>21</v>
      </c>
      <c r="B44" s="660" t="s">
        <v>919</v>
      </c>
      <c r="C44" s="661" t="s">
        <v>885</v>
      </c>
      <c r="D44" s="662">
        <v>1758.546342125225</v>
      </c>
      <c r="E44" s="1081">
        <v>1511.3335653523523</v>
      </c>
      <c r="F44" s="1081">
        <v>247.21277677287276</v>
      </c>
      <c r="G44"/>
      <c r="M44" s="20"/>
      <c r="N44" s="20"/>
      <c r="O44" s="22"/>
      <c r="P44" s="22"/>
      <c r="Q44" s="22"/>
      <c r="R44" s="22"/>
      <c r="S44" s="22"/>
    </row>
    <row r="45" spans="1:19">
      <c r="A45" s="47">
        <f>+A44+1</f>
        <v>22</v>
      </c>
      <c r="B45" s="660" t="s">
        <v>920</v>
      </c>
      <c r="C45" s="661" t="s">
        <v>921</v>
      </c>
      <c r="D45" s="662">
        <v>73.061287418431732</v>
      </c>
      <c r="E45" s="1081">
        <v>58.31414064744969</v>
      </c>
      <c r="F45" s="1081">
        <v>14.747146770982043</v>
      </c>
      <c r="G45"/>
      <c r="M45" s="20"/>
      <c r="N45" s="20"/>
      <c r="O45" s="22"/>
      <c r="P45" s="22"/>
      <c r="Q45" s="22"/>
      <c r="R45" s="22"/>
      <c r="S45" s="22"/>
    </row>
    <row r="46" spans="1:19">
      <c r="A46" s="47">
        <f t="shared" ref="A46:A59" si="2">+A45+1</f>
        <v>23</v>
      </c>
      <c r="B46" s="660" t="s">
        <v>922</v>
      </c>
      <c r="C46" s="661" t="s">
        <v>923</v>
      </c>
      <c r="D46" s="662">
        <v>0</v>
      </c>
      <c r="E46" s="1081">
        <v>0</v>
      </c>
      <c r="F46" s="1081">
        <v>0</v>
      </c>
      <c r="G46"/>
      <c r="M46" s="20"/>
      <c r="N46" s="20"/>
      <c r="O46" s="22"/>
      <c r="P46" s="22"/>
      <c r="Q46" s="22"/>
      <c r="R46" s="22"/>
      <c r="S46" s="22"/>
    </row>
    <row r="47" spans="1:19">
      <c r="A47" s="47">
        <f t="shared" si="2"/>
        <v>24</v>
      </c>
      <c r="B47" s="660" t="s">
        <v>924</v>
      </c>
      <c r="C47" s="661" t="s">
        <v>925</v>
      </c>
      <c r="D47" s="662">
        <v>444.15633200975969</v>
      </c>
      <c r="E47" s="1081">
        <v>347.98905272092878</v>
      </c>
      <c r="F47" s="1081">
        <v>96.167279288830926</v>
      </c>
      <c r="G47"/>
      <c r="M47" s="20"/>
      <c r="N47" s="20"/>
      <c r="O47" s="22"/>
      <c r="P47" s="22"/>
      <c r="Q47" s="22"/>
      <c r="R47" s="22"/>
      <c r="S47" s="22"/>
    </row>
    <row r="48" spans="1:19">
      <c r="A48" s="47">
        <f>+A47+1</f>
        <v>25</v>
      </c>
      <c r="B48" s="660" t="s">
        <v>926</v>
      </c>
      <c r="C48" s="661" t="s">
        <v>927</v>
      </c>
      <c r="D48" s="662">
        <v>8.2901266503723701</v>
      </c>
      <c r="E48" s="1081">
        <v>6.7637390517119602</v>
      </c>
      <c r="F48" s="1081">
        <v>1.5263875986604094</v>
      </c>
      <c r="G48"/>
      <c r="M48" s="20"/>
      <c r="N48" s="20"/>
      <c r="O48" s="22"/>
      <c r="P48" s="22"/>
      <c r="Q48" s="22"/>
      <c r="R48" s="22"/>
      <c r="S48" s="22"/>
    </row>
    <row r="49" spans="1:19">
      <c r="A49" s="47">
        <f t="shared" si="2"/>
        <v>26</v>
      </c>
      <c r="B49" s="660" t="s">
        <v>928</v>
      </c>
      <c r="C49" s="661" t="s">
        <v>929</v>
      </c>
      <c r="D49" s="662">
        <v>2552.7993719699084</v>
      </c>
      <c r="E49" s="1081">
        <v>2552.7884775816451</v>
      </c>
      <c r="F49" s="1081">
        <v>1.089438826319607E-2</v>
      </c>
      <c r="G49"/>
      <c r="M49" s="20"/>
      <c r="N49" s="20"/>
      <c r="O49" s="22"/>
      <c r="P49" s="22"/>
      <c r="Q49" s="22"/>
      <c r="R49" s="22"/>
      <c r="S49" s="22"/>
    </row>
    <row r="50" spans="1:19">
      <c r="A50" s="47">
        <f t="shared" si="2"/>
        <v>27</v>
      </c>
      <c r="B50" s="660" t="s">
        <v>1066</v>
      </c>
      <c r="C50" s="661" t="s">
        <v>1067</v>
      </c>
      <c r="D50" s="662">
        <v>3.958182664979053</v>
      </c>
      <c r="E50" s="1081">
        <v>3.2932897689775329</v>
      </c>
      <c r="F50" s="1081">
        <v>0.66489289600152035</v>
      </c>
      <c r="G50"/>
      <c r="M50" s="20"/>
      <c r="N50" s="20"/>
      <c r="O50" s="22"/>
      <c r="P50" s="22"/>
      <c r="Q50" s="22"/>
      <c r="R50" s="22"/>
      <c r="S50" s="22"/>
    </row>
    <row r="51" spans="1:19">
      <c r="A51" s="47">
        <f t="shared" si="2"/>
        <v>28</v>
      </c>
      <c r="B51" s="660" t="s">
        <v>930</v>
      </c>
      <c r="C51" s="661" t="s">
        <v>931</v>
      </c>
      <c r="D51" s="662">
        <v>109.67782918895358</v>
      </c>
      <c r="E51" s="1081">
        <v>108.78851189473022</v>
      </c>
      <c r="F51" s="1081">
        <v>0.88931729422335937</v>
      </c>
      <c r="G51"/>
      <c r="M51" s="20"/>
      <c r="N51" s="20"/>
      <c r="O51" s="22"/>
      <c r="P51" s="22"/>
      <c r="Q51" s="22"/>
      <c r="R51" s="22"/>
      <c r="S51" s="22"/>
    </row>
    <row r="52" spans="1:19">
      <c r="A52" s="47">
        <f>A51+1</f>
        <v>29</v>
      </c>
      <c r="B52" s="982"/>
      <c r="C52" s="661"/>
      <c r="D52" s="662"/>
      <c r="E52" s="35"/>
      <c r="F52" s="35"/>
      <c r="G52"/>
      <c r="M52" s="20"/>
      <c r="N52" s="20"/>
      <c r="O52" s="22"/>
      <c r="P52" s="22"/>
      <c r="Q52" s="22"/>
      <c r="R52" s="22"/>
      <c r="S52" s="22"/>
    </row>
    <row r="53" spans="1:19">
      <c r="A53" s="47">
        <f>A52+1</f>
        <v>30</v>
      </c>
      <c r="B53" s="660"/>
      <c r="C53" s="661"/>
      <c r="D53" s="662"/>
      <c r="E53" s="35"/>
      <c r="F53" s="35"/>
      <c r="G53"/>
      <c r="M53" s="20"/>
      <c r="N53" s="20"/>
      <c r="O53" s="22"/>
      <c r="P53" s="22"/>
      <c r="Q53" s="22"/>
      <c r="R53" s="22"/>
      <c r="S53" s="22"/>
    </row>
    <row r="54" spans="1:19">
      <c r="A54" s="47">
        <f>A53+1</f>
        <v>31</v>
      </c>
      <c r="B54" s="660"/>
      <c r="C54" s="661"/>
      <c r="D54" s="662"/>
      <c r="E54" s="35"/>
      <c r="F54" s="35"/>
      <c r="G54"/>
      <c r="M54" s="20"/>
      <c r="N54" s="20"/>
      <c r="O54" s="22"/>
      <c r="P54" s="22"/>
      <c r="Q54" s="22"/>
      <c r="R54" s="22"/>
      <c r="S54" s="22"/>
    </row>
    <row r="55" spans="1:19">
      <c r="A55" s="47">
        <f>A54+1</f>
        <v>32</v>
      </c>
      <c r="B55" s="660"/>
      <c r="C55" s="661"/>
      <c r="D55" s="662"/>
      <c r="E55" s="35"/>
      <c r="F55" s="38"/>
      <c r="G55"/>
      <c r="M55" s="20"/>
      <c r="N55" s="20"/>
      <c r="O55" s="22"/>
      <c r="P55" s="22"/>
      <c r="Q55" s="22"/>
      <c r="R55" s="22"/>
      <c r="S55" s="22"/>
    </row>
    <row r="56" spans="1:19">
      <c r="A56" s="47">
        <f t="shared" si="2"/>
        <v>33</v>
      </c>
      <c r="B56" s="660"/>
      <c r="C56" s="661"/>
      <c r="D56" s="662"/>
      <c r="E56" s="35"/>
      <c r="F56" s="38"/>
      <c r="G56"/>
    </row>
    <row r="57" spans="1:19">
      <c r="A57" s="47">
        <f t="shared" si="2"/>
        <v>34</v>
      </c>
      <c r="B57" s="660"/>
      <c r="C57" s="661"/>
      <c r="D57" s="662"/>
      <c r="E57" s="35"/>
      <c r="F57" s="38"/>
      <c r="G57" s="37"/>
    </row>
    <row r="58" spans="1:19">
      <c r="A58" s="47">
        <f t="shared" si="2"/>
        <v>35</v>
      </c>
      <c r="B58" s="660"/>
      <c r="C58" s="661"/>
      <c r="D58" s="662"/>
      <c r="E58" s="35"/>
      <c r="F58" s="38"/>
      <c r="G58" s="37"/>
    </row>
    <row r="59" spans="1:19">
      <c r="A59" s="47">
        <f t="shared" si="2"/>
        <v>36</v>
      </c>
      <c r="B59" s="660"/>
      <c r="C59" s="661"/>
      <c r="D59" s="662"/>
      <c r="E59" s="35"/>
      <c r="F59" s="38"/>
      <c r="G59" s="37"/>
    </row>
    <row r="60" spans="1:19">
      <c r="B60" s="36"/>
      <c r="C60" s="37"/>
      <c r="D60" s="43"/>
      <c r="E60" s="44"/>
      <c r="F60" s="43"/>
      <c r="G60" s="37"/>
    </row>
    <row r="61" spans="1:19">
      <c r="A61" s="47">
        <f>A59+1</f>
        <v>37</v>
      </c>
      <c r="B61" s="39"/>
      <c r="C61" s="876" t="s">
        <v>628</v>
      </c>
      <c r="D61" s="45">
        <f>SUM(D44:D60)</f>
        <v>4950.4894720276297</v>
      </c>
      <c r="E61" s="45">
        <f>SUM(E44:E60)</f>
        <v>4589.2707770177967</v>
      </c>
      <c r="F61" s="45">
        <f>SUM(F44:F60)</f>
        <v>361.21869500983416</v>
      </c>
      <c r="G61" s="21"/>
    </row>
    <row r="62" spans="1:19" ht="12.75" customHeight="1">
      <c r="B62" s="29"/>
      <c r="C62" s="29"/>
      <c r="D62" s="29"/>
      <c r="E62" s="29"/>
      <c r="F62" s="29"/>
      <c r="G62" s="29"/>
    </row>
    <row r="63" spans="1:19">
      <c r="B63" s="27"/>
      <c r="C63" s="78" t="s">
        <v>212</v>
      </c>
      <c r="D63" s="46"/>
      <c r="E63" s="46"/>
      <c r="F63" s="46"/>
      <c r="G63" s="27"/>
    </row>
    <row r="64" spans="1:19">
      <c r="A64" s="47">
        <f>+A61+1</f>
        <v>38</v>
      </c>
      <c r="B64" s="660" t="s">
        <v>886</v>
      </c>
      <c r="C64" s="661" t="s">
        <v>887</v>
      </c>
      <c r="D64" s="662">
        <v>237157.9665306955</v>
      </c>
      <c r="E64" s="1081">
        <v>58993.167778910487</v>
      </c>
      <c r="F64" s="1081">
        <v>178164.79875178501</v>
      </c>
      <c r="G64" s="20"/>
      <c r="H64" s="20"/>
      <c r="J64" s="22"/>
      <c r="K64" s="22"/>
    </row>
    <row r="65" spans="1:11">
      <c r="A65" s="47">
        <f>+A64+1</f>
        <v>39</v>
      </c>
      <c r="B65" s="660" t="s">
        <v>888</v>
      </c>
      <c r="C65" s="661" t="s">
        <v>889</v>
      </c>
      <c r="D65" s="662">
        <v>59809.055389228932</v>
      </c>
      <c r="E65" s="1081">
        <v>36620.601924351562</v>
      </c>
      <c r="F65" s="1081">
        <v>23188.453464877373</v>
      </c>
      <c r="G65" s="20"/>
      <c r="H65" s="20"/>
      <c r="J65" s="22"/>
      <c r="K65" s="22"/>
    </row>
    <row r="66" spans="1:11">
      <c r="A66" s="47">
        <f>+A65+1</f>
        <v>40</v>
      </c>
      <c r="B66" s="660" t="s">
        <v>890</v>
      </c>
      <c r="C66" s="661" t="s">
        <v>891</v>
      </c>
      <c r="D66" s="662">
        <v>114.86397745769263</v>
      </c>
      <c r="E66" s="1081">
        <v>-33.441712062997155</v>
      </c>
      <c r="F66" s="1081">
        <v>148.30568952068978</v>
      </c>
      <c r="G66" s="20"/>
      <c r="H66" s="20"/>
      <c r="J66" s="22"/>
      <c r="K66" s="22"/>
    </row>
    <row r="67" spans="1:11">
      <c r="A67" s="47">
        <f t="shared" ref="A67:A68" si="3">+A66+1</f>
        <v>41</v>
      </c>
      <c r="B67" s="660" t="s">
        <v>892</v>
      </c>
      <c r="C67" s="661" t="s">
        <v>1078</v>
      </c>
      <c r="D67" s="662">
        <v>167188.63700961584</v>
      </c>
      <c r="E67" s="1081">
        <v>167188.63700961584</v>
      </c>
      <c r="F67" s="1081">
        <v>0</v>
      </c>
      <c r="G67" s="20"/>
      <c r="H67" s="20"/>
      <c r="J67" s="22"/>
      <c r="K67" s="22"/>
    </row>
    <row r="68" spans="1:11">
      <c r="A68" s="47">
        <f t="shared" si="3"/>
        <v>42</v>
      </c>
      <c r="B68" s="660" t="s">
        <v>893</v>
      </c>
      <c r="C68" s="661" t="s">
        <v>894</v>
      </c>
      <c r="D68" s="662">
        <v>960097.38969079696</v>
      </c>
      <c r="E68" s="1081">
        <v>866059.31973038474</v>
      </c>
      <c r="F68" s="1081">
        <v>94038.06996041222</v>
      </c>
      <c r="G68" s="20"/>
      <c r="H68" s="20"/>
      <c r="J68" s="22"/>
      <c r="K68" s="22"/>
    </row>
    <row r="69" spans="1:11">
      <c r="A69" s="47">
        <f>+A68+1</f>
        <v>43</v>
      </c>
      <c r="B69" s="660" t="s">
        <v>1079</v>
      </c>
      <c r="C69" s="661" t="s">
        <v>1080</v>
      </c>
      <c r="D69" s="662">
        <v>0</v>
      </c>
      <c r="E69" s="1081">
        <v>0</v>
      </c>
      <c r="F69" s="1081">
        <v>0</v>
      </c>
      <c r="G69" s="29"/>
    </row>
    <row r="70" spans="1:11">
      <c r="B70" s="245"/>
      <c r="C70" s="246"/>
      <c r="D70" s="246"/>
      <c r="E70" s="29"/>
      <c r="F70" s="29"/>
      <c r="G70" s="29"/>
    </row>
    <row r="71" spans="1:11">
      <c r="A71" s="47">
        <f>+A69+1</f>
        <v>44</v>
      </c>
      <c r="B71" s="29"/>
      <c r="C71" s="876" t="s">
        <v>629</v>
      </c>
      <c r="D71" s="1082">
        <f>SUM(D64:D69)</f>
        <v>1424367.912597795</v>
      </c>
      <c r="E71" s="1082">
        <f>SUM(E64:E69)</f>
        <v>1128828.2847311995</v>
      </c>
      <c r="F71" s="1082">
        <f>SUM(F64:F69)</f>
        <v>295539.62786659529</v>
      </c>
      <c r="G71" s="21"/>
    </row>
    <row r="72" spans="1:11">
      <c r="B72" s="70"/>
      <c r="C72"/>
      <c r="D72" s="243"/>
      <c r="E72"/>
      <c r="F72"/>
      <c r="G72"/>
    </row>
  </sheetData>
  <mergeCells count="6">
    <mergeCell ref="A3:G3"/>
    <mergeCell ref="A8:G8"/>
    <mergeCell ref="A7:F7"/>
    <mergeCell ref="A4:G4"/>
    <mergeCell ref="A5:G5"/>
    <mergeCell ref="A6:G6"/>
  </mergeCells>
  <phoneticPr fontId="0" type="noConversion"/>
  <pageMargins left="0.44" right="0.52" top="1" bottom="0.67" header="0.75" footer="0.4"/>
  <pageSetup scale="51"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40"/>
  <sheetViews>
    <sheetView view="pageBreakPreview" zoomScaleNormal="100" zoomScaleSheetLayoutView="100" workbookViewId="0">
      <selection activeCell="F32" sqref="F32"/>
    </sheetView>
  </sheetViews>
  <sheetFormatPr defaultRowHeight="12.5"/>
  <cols>
    <col min="2" max="2" width="32.54296875" customWidth="1"/>
    <col min="5" max="5" width="15" customWidth="1"/>
    <col min="6" max="6" width="12.81640625" bestFit="1" customWidth="1"/>
    <col min="7" max="7" width="10.81640625" customWidth="1"/>
    <col min="8" max="8" width="2.81640625" customWidth="1"/>
    <col min="9" max="9" width="16.54296875" bestFit="1" customWidth="1"/>
    <col min="10" max="10" width="2.1796875" customWidth="1"/>
    <col min="11" max="11" width="14.54296875" bestFit="1" customWidth="1"/>
    <col min="12" max="12" width="4.81640625" customWidth="1"/>
    <col min="13" max="13" width="16" bestFit="1" customWidth="1"/>
    <col min="14" max="14" width="2.1796875" customWidth="1"/>
    <col min="15" max="15" width="14.26953125" bestFit="1" customWidth="1"/>
  </cols>
  <sheetData>
    <row r="1" spans="1:15" ht="15.5">
      <c r="A1" s="694" t="s">
        <v>116</v>
      </c>
    </row>
    <row r="2" spans="1:15" ht="15.5">
      <c r="A2" s="694" t="s">
        <v>116</v>
      </c>
    </row>
    <row r="3" spans="1:15" ht="15.5">
      <c r="A3" s="1176" t="s">
        <v>389</v>
      </c>
      <c r="B3" s="1176"/>
      <c r="C3" s="1176"/>
      <c r="D3" s="1176"/>
      <c r="E3" s="1176"/>
      <c r="F3" s="1176"/>
      <c r="G3" s="1176"/>
      <c r="H3" s="1176"/>
    </row>
    <row r="4" spans="1:15" ht="15.5">
      <c r="A4" s="1177" t="str">
        <f>"Cost of Service Formula Rate Using Actual/Projected FF1 Balances"</f>
        <v>Cost of Service Formula Rate Using Actual/Projected FF1 Balances</v>
      </c>
      <c r="B4" s="1177"/>
      <c r="C4" s="1177"/>
      <c r="D4" s="1177"/>
      <c r="E4" s="1177"/>
      <c r="F4" s="1177"/>
      <c r="G4" s="1177"/>
      <c r="H4" s="1177"/>
    </row>
    <row r="5" spans="1:15" ht="15.5">
      <c r="A5" s="1177" t="s">
        <v>529</v>
      </c>
      <c r="B5" s="1177"/>
      <c r="C5" s="1177"/>
      <c r="D5" s="1177"/>
      <c r="E5" s="1177"/>
      <c r="F5" s="1177"/>
      <c r="G5" s="1177"/>
      <c r="H5" s="1177"/>
    </row>
    <row r="6" spans="1:15" ht="15.5">
      <c r="A6" s="1188" t="str">
        <f>TCOS!F9</f>
        <v>KENTUCKY POWER COMPANY</v>
      </c>
      <c r="B6" s="1188"/>
      <c r="C6" s="1188"/>
      <c r="D6" s="1188"/>
      <c r="E6" s="1188"/>
      <c r="F6" s="1188"/>
      <c r="G6" s="1188"/>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1090" t="s">
        <v>1161</v>
      </c>
      <c r="C9" s="28"/>
      <c r="D9" s="31"/>
      <c r="E9" s="1091">
        <v>0.05</v>
      </c>
      <c r="F9" s="2"/>
      <c r="G9" s="14"/>
      <c r="H9" s="14"/>
      <c r="L9" s="1"/>
    </row>
    <row r="10" spans="1:15" ht="15.5">
      <c r="A10" s="1"/>
      <c r="B10" s="2" t="s">
        <v>766</v>
      </c>
      <c r="C10" s="28"/>
      <c r="D10" s="28"/>
      <c r="E10" s="1092">
        <v>1</v>
      </c>
      <c r="F10" s="2"/>
      <c r="G10" s="14"/>
      <c r="H10" s="14"/>
      <c r="L10" s="1"/>
    </row>
    <row r="11" spans="1:15" ht="15.5">
      <c r="A11" s="1"/>
      <c r="B11" s="2" t="s">
        <v>450</v>
      </c>
      <c r="C11" s="28"/>
      <c r="D11" s="28"/>
      <c r="E11" s="252"/>
      <c r="F11" s="32">
        <f>ROUND(E9*E10,4)</f>
        <v>0.05</v>
      </c>
      <c r="G11" s="14"/>
      <c r="L11" s="1"/>
    </row>
    <row r="12" spans="1:15" ht="15.5">
      <c r="A12" s="1"/>
      <c r="B12" s="2"/>
      <c r="C12" s="28"/>
      <c r="D12" s="28"/>
      <c r="E12" s="252"/>
      <c r="F12" s="32"/>
      <c r="G12" s="14"/>
      <c r="L12" s="1"/>
    </row>
    <row r="13" spans="1:15" ht="15.5">
      <c r="A13" s="1"/>
      <c r="B13" s="1090" t="s">
        <v>1162</v>
      </c>
      <c r="C13" s="28"/>
      <c r="D13" s="31"/>
      <c r="E13" s="1091">
        <v>0.06</v>
      </c>
      <c r="F13" s="2"/>
      <c r="G13" s="14"/>
      <c r="L13" s="1"/>
    </row>
    <row r="14" spans="1:15" ht="15.5">
      <c r="A14" s="1"/>
      <c r="B14" s="2" t="s">
        <v>766</v>
      </c>
      <c r="C14" s="28"/>
      <c r="D14" s="28"/>
      <c r="E14" s="1092">
        <v>0</v>
      </c>
      <c r="F14" s="2"/>
      <c r="G14" s="14"/>
      <c r="L14" s="1"/>
    </row>
    <row r="15" spans="1:15" ht="15.5">
      <c r="A15" s="1"/>
      <c r="B15" s="2" t="s">
        <v>450</v>
      </c>
      <c r="C15" s="28"/>
      <c r="D15" s="28"/>
      <c r="E15" s="252"/>
      <c r="F15" s="32">
        <f>ROUND(E13*E14,4)</f>
        <v>0</v>
      </c>
      <c r="G15" s="14"/>
      <c r="L15" s="1"/>
    </row>
    <row r="16" spans="1:15" ht="15.5">
      <c r="A16" s="1"/>
      <c r="B16" s="2"/>
      <c r="C16" s="28"/>
      <c r="D16" s="28"/>
      <c r="E16" s="252"/>
      <c r="F16" s="32"/>
      <c r="G16" s="14"/>
      <c r="L16" s="1"/>
    </row>
    <row r="17" spans="1:12" ht="15.5">
      <c r="A17" s="1"/>
      <c r="B17" s="2" t="s">
        <v>1163</v>
      </c>
      <c r="C17" s="28"/>
      <c r="D17" s="31"/>
      <c r="E17" s="1091">
        <v>6.5000000000000002E-2</v>
      </c>
      <c r="F17" s="2"/>
      <c r="G17" s="14"/>
      <c r="L17" s="1"/>
    </row>
    <row r="18" spans="1:12" ht="15.5">
      <c r="A18" s="1"/>
      <c r="B18" s="2" t="s">
        <v>766</v>
      </c>
      <c r="C18" s="28"/>
      <c r="D18" s="28"/>
      <c r="E18" s="1092">
        <v>1E-3</v>
      </c>
      <c r="F18" s="2"/>
      <c r="G18" s="14"/>
      <c r="L18" s="1"/>
    </row>
    <row r="19" spans="1:12" ht="15.5">
      <c r="A19" s="1"/>
      <c r="B19" s="2" t="s">
        <v>450</v>
      </c>
      <c r="C19" s="28"/>
      <c r="D19" s="28"/>
      <c r="E19" s="252"/>
      <c r="F19" s="32">
        <f>ROUND(E17*E18,4)</f>
        <v>1E-4</v>
      </c>
      <c r="G19" s="14"/>
      <c r="L19" s="1"/>
    </row>
    <row r="20" spans="1:12" ht="15.5">
      <c r="A20" s="1"/>
      <c r="B20" s="2"/>
      <c r="C20" s="28"/>
      <c r="D20" s="28"/>
      <c r="E20" s="252"/>
      <c r="F20" s="32"/>
      <c r="G20" s="14"/>
      <c r="L20" s="1"/>
    </row>
    <row r="21" spans="1:12" ht="15.5">
      <c r="A21" s="1"/>
      <c r="B21" s="1090" t="s">
        <v>903</v>
      </c>
      <c r="C21" s="974"/>
      <c r="D21" s="975"/>
      <c r="E21" s="1091">
        <v>0</v>
      </c>
      <c r="F21" s="32"/>
      <c r="G21" s="14"/>
      <c r="L21" s="1"/>
    </row>
    <row r="22" spans="1:12" ht="15.5">
      <c r="A22" s="1"/>
      <c r="B22" s="1090" t="s">
        <v>904</v>
      </c>
      <c r="C22" s="974"/>
      <c r="D22" s="975"/>
      <c r="E22" s="1091">
        <v>0</v>
      </c>
      <c r="F22" s="33"/>
      <c r="G22" s="14"/>
      <c r="L22" s="1"/>
    </row>
    <row r="23" spans="1:12" ht="15.5">
      <c r="A23" s="1"/>
      <c r="B23" s="1090" t="s">
        <v>905</v>
      </c>
      <c r="C23" s="974"/>
      <c r="D23" s="974"/>
      <c r="E23" s="1092">
        <v>0</v>
      </c>
      <c r="F23" s="33"/>
      <c r="G23" s="14"/>
      <c r="L23" s="1"/>
    </row>
    <row r="24" spans="1:12" ht="15.5">
      <c r="A24" s="1"/>
      <c r="B24" s="1090" t="s">
        <v>450</v>
      </c>
      <c r="C24" s="974"/>
      <c r="D24" s="974"/>
      <c r="E24" s="976"/>
      <c r="F24" s="32">
        <f>ROUND(E22*E23*E21,4)</f>
        <v>0</v>
      </c>
      <c r="G24" s="14"/>
      <c r="L24" s="1"/>
    </row>
    <row r="25" spans="1:12" ht="15.5">
      <c r="A25" s="1"/>
      <c r="B25" s="2"/>
      <c r="C25" s="28"/>
      <c r="D25" s="28"/>
      <c r="E25" s="252"/>
      <c r="F25" s="32"/>
      <c r="G25" s="14"/>
      <c r="L25" s="1"/>
    </row>
    <row r="26" spans="1:12" ht="15.5">
      <c r="A26" s="1"/>
      <c r="B26" s="1090" t="s">
        <v>1164</v>
      </c>
      <c r="C26" s="28"/>
      <c r="D26" s="31"/>
      <c r="E26" s="1091">
        <v>9.5000000000000001E-2</v>
      </c>
      <c r="F26" s="2"/>
      <c r="G26" s="14"/>
      <c r="L26" s="1"/>
    </row>
    <row r="27" spans="1:12" ht="15.5">
      <c r="A27" s="1"/>
      <c r="B27" s="2" t="s">
        <v>766</v>
      </c>
      <c r="C27" s="28"/>
      <c r="D27" s="28"/>
      <c r="E27" s="1092">
        <v>0</v>
      </c>
      <c r="F27" s="2"/>
      <c r="G27" s="14"/>
      <c r="L27" s="1"/>
    </row>
    <row r="28" spans="1:12" ht="15.5">
      <c r="A28" s="1"/>
      <c r="B28" s="2" t="s">
        <v>450</v>
      </c>
      <c r="C28" s="28"/>
      <c r="D28" s="28"/>
      <c r="E28" s="252"/>
      <c r="F28" s="32">
        <f>ROUND(E26*E27,4)</f>
        <v>0</v>
      </c>
      <c r="G28" s="14"/>
      <c r="L28" s="1"/>
    </row>
    <row r="29" spans="1:12" ht="15.5">
      <c r="A29" s="1"/>
      <c r="B29" s="2"/>
      <c r="C29" s="28"/>
      <c r="D29" s="28"/>
      <c r="E29" s="252"/>
      <c r="F29" s="32"/>
      <c r="G29" s="14"/>
      <c r="L29" s="1"/>
    </row>
    <row r="30" spans="1:12">
      <c r="B30" s="4"/>
    </row>
    <row r="31" spans="1:12" ht="15.5">
      <c r="A31" s="1"/>
      <c r="B31" s="2"/>
      <c r="C31" s="28"/>
      <c r="D31" s="28"/>
      <c r="E31" s="28"/>
      <c r="F31" s="33"/>
      <c r="G31" s="14"/>
      <c r="L31" s="1"/>
    </row>
    <row r="32" spans="1:12" ht="16" thickBot="1">
      <c r="A32" s="1"/>
      <c r="B32" s="2" t="s">
        <v>205</v>
      </c>
      <c r="C32" s="2"/>
      <c r="D32" s="2"/>
      <c r="E32" s="2"/>
      <c r="F32" s="107">
        <f>ROUND(SUM(F11:F31),4)</f>
        <v>5.0099999999999999E-2</v>
      </c>
      <c r="G32" s="14"/>
      <c r="L32" s="1"/>
    </row>
    <row r="33" spans="1:12" ht="13" thickTop="1">
      <c r="A33" s="1"/>
      <c r="L33" s="1"/>
    </row>
    <row r="34" spans="1:12">
      <c r="A34" s="1"/>
      <c r="L34" s="1"/>
    </row>
    <row r="35" spans="1:12">
      <c r="A35" s="1"/>
      <c r="L35" s="1"/>
    </row>
    <row r="36" spans="1:12" ht="12.75" customHeight="1">
      <c r="A36" s="1"/>
      <c r="C36" s="2"/>
      <c r="D36" s="2"/>
      <c r="E36" s="2"/>
      <c r="F36" s="2"/>
      <c r="L36" s="1"/>
    </row>
    <row r="37" spans="1:12" ht="21.75" customHeight="1">
      <c r="A37" s="2"/>
      <c r="B37" s="1212" t="s">
        <v>116</v>
      </c>
      <c r="C37" s="1212"/>
      <c r="D37" s="1212"/>
      <c r="E37" s="1212"/>
      <c r="F37" s="1212"/>
      <c r="G37" s="1212"/>
      <c r="I37" s="13"/>
    </row>
    <row r="38" spans="1:12" ht="12.75" customHeight="1">
      <c r="B38" s="1212"/>
      <c r="C38" s="1212"/>
      <c r="D38" s="1212"/>
      <c r="E38" s="1212"/>
      <c r="F38" s="1212"/>
      <c r="G38" s="1212"/>
    </row>
    <row r="39" spans="1:12" ht="17.25" customHeight="1">
      <c r="B39" s="1212"/>
      <c r="C39" s="1212"/>
      <c r="D39" s="1212"/>
      <c r="E39" s="1212"/>
      <c r="F39" s="1212"/>
      <c r="G39" s="1212"/>
    </row>
    <row r="40" spans="1:12" ht="18" customHeight="1">
      <c r="A40" s="4" t="s">
        <v>501</v>
      </c>
      <c r="B40" s="4" t="s">
        <v>76</v>
      </c>
      <c r="C40" s="4"/>
      <c r="D40" s="4"/>
      <c r="E40" s="4"/>
      <c r="F40" s="4"/>
      <c r="G40" s="4"/>
    </row>
  </sheetData>
  <mergeCells count="5">
    <mergeCell ref="B37:G39"/>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C82"/>
  <sheetViews>
    <sheetView view="pageBreakPreview" topLeftCell="A22" zoomScale="60" zoomScaleNormal="55" workbookViewId="0">
      <selection activeCell="E40" sqref="E40"/>
    </sheetView>
  </sheetViews>
  <sheetFormatPr defaultColWidth="9.1796875" defaultRowHeight="15.5"/>
  <cols>
    <col min="1" max="1" width="7.26953125" style="97" customWidth="1"/>
    <col min="2" max="2" width="1.7265625" style="86" customWidth="1"/>
    <col min="3" max="3" width="62.453125" style="86" customWidth="1"/>
    <col min="4" max="4" width="19.1796875" style="86" customWidth="1"/>
    <col min="5" max="5" width="22.7265625" style="93" bestFit="1" customWidth="1"/>
    <col min="6" max="6" width="1.7265625" style="86" customWidth="1"/>
    <col min="7" max="7" width="21.81640625" style="86" customWidth="1"/>
    <col min="8" max="8" width="1.7265625" style="86" customWidth="1"/>
    <col min="9" max="9" width="21.453125" style="86" customWidth="1"/>
    <col min="10" max="10" width="1.7265625" style="86" customWidth="1"/>
    <col min="11" max="11" width="19.453125" style="86" bestFit="1" customWidth="1"/>
    <col min="12" max="12" width="3.453125" style="86" customWidth="1"/>
    <col min="13" max="13" width="22.54296875" style="86" customWidth="1"/>
    <col min="14" max="14" width="1.26953125" style="86" customWidth="1"/>
    <col min="15" max="15" width="22.1796875" style="186" customWidth="1"/>
    <col min="16" max="16384" width="9.1796875" style="86"/>
  </cols>
  <sheetData>
    <row r="1" spans="1:29">
      <c r="A1" s="694" t="s">
        <v>116</v>
      </c>
    </row>
    <row r="2" spans="1:29">
      <c r="A2" s="694" t="s">
        <v>116</v>
      </c>
    </row>
    <row r="3" spans="1:29" ht="18.75" customHeight="1">
      <c r="A3" s="1176" t="s">
        <v>389</v>
      </c>
      <c r="B3" s="1176"/>
      <c r="C3" s="1176"/>
      <c r="D3" s="1176"/>
      <c r="E3" s="1176"/>
      <c r="F3" s="1176"/>
      <c r="G3" s="1176"/>
      <c r="H3" s="1176"/>
      <c r="I3" s="1176"/>
      <c r="J3" s="1176"/>
      <c r="K3" s="1176"/>
      <c r="L3" s="1176"/>
      <c r="M3" s="1176"/>
    </row>
    <row r="4" spans="1:29" ht="18.75" customHeight="1">
      <c r="A4" s="1177" t="str">
        <f>"Cost of Service Formula Rate Using Actual/Projected FF1 Balances"</f>
        <v>Cost of Service Formula Rate Using Actual/Projected FF1 Balances</v>
      </c>
      <c r="B4" s="1177"/>
      <c r="C4" s="1177"/>
      <c r="D4" s="1177"/>
      <c r="E4" s="1177"/>
      <c r="F4" s="1177"/>
      <c r="G4" s="1177"/>
      <c r="H4" s="1177"/>
      <c r="I4" s="1177"/>
      <c r="J4" s="1177"/>
      <c r="K4" s="1177"/>
      <c r="L4" s="1177"/>
      <c r="M4" s="1177"/>
    </row>
    <row r="5" spans="1:29" ht="18.75" customHeight="1">
      <c r="A5" s="1177" t="s">
        <v>240</v>
      </c>
      <c r="B5" s="1177"/>
      <c r="C5" s="1177"/>
      <c r="D5" s="1177"/>
      <c r="E5" s="1177"/>
      <c r="F5" s="1177"/>
      <c r="G5" s="1177"/>
      <c r="H5" s="1177"/>
      <c r="I5" s="1177"/>
      <c r="J5" s="1177"/>
      <c r="K5" s="1177"/>
      <c r="L5" s="1177"/>
      <c r="M5" s="1177"/>
    </row>
    <row r="6" spans="1:29" ht="18.75" customHeight="1">
      <c r="A6" s="1184" t="str">
        <f>+TCOS!F9</f>
        <v>KENTUCKY POWER COMPANY</v>
      </c>
      <c r="B6" s="1184"/>
      <c r="C6" s="1184"/>
      <c r="D6" s="1184"/>
      <c r="E6" s="1184"/>
      <c r="F6" s="1184"/>
      <c r="G6" s="1184"/>
      <c r="H6" s="1184"/>
      <c r="I6" s="1184"/>
      <c r="J6" s="1184"/>
      <c r="K6" s="1184"/>
      <c r="L6" s="1184"/>
      <c r="M6" s="1184"/>
    </row>
    <row r="7" spans="1:29" ht="18" customHeight="1">
      <c r="A7" s="1188"/>
      <c r="B7" s="1188"/>
      <c r="C7" s="1188"/>
      <c r="D7" s="1188"/>
      <c r="E7" s="1188"/>
      <c r="F7" s="1188"/>
      <c r="G7" s="1188"/>
      <c r="H7" s="1188"/>
      <c r="I7" s="1188"/>
      <c r="J7" s="1188"/>
      <c r="K7" s="1188"/>
      <c r="L7" s="1188"/>
      <c r="M7" s="1188"/>
    </row>
    <row r="8" spans="1:29" ht="18" customHeight="1">
      <c r="A8" s="1210"/>
      <c r="B8" s="1210"/>
      <c r="C8" s="1210"/>
      <c r="D8" s="1210"/>
      <c r="E8" s="1210"/>
      <c r="F8" s="1210"/>
      <c r="G8" s="1210"/>
      <c r="H8" s="1210"/>
      <c r="I8" s="1210"/>
      <c r="J8" s="1210"/>
      <c r="K8" s="1210"/>
      <c r="L8" s="1210"/>
      <c r="M8" s="1210"/>
    </row>
    <row r="9" spans="1:29" ht="18" customHeight="1">
      <c r="A9" s="131"/>
      <c r="B9" s="131"/>
      <c r="C9" s="131"/>
      <c r="D9" s="131"/>
      <c r="E9" s="131"/>
      <c r="F9" s="131"/>
      <c r="G9" s="131"/>
      <c r="H9" s="131"/>
      <c r="I9" s="131"/>
      <c r="J9" s="131"/>
      <c r="K9" s="131"/>
      <c r="L9" s="131"/>
      <c r="M9" s="131"/>
    </row>
    <row r="10" spans="1:29" ht="19.5" customHeight="1">
      <c r="A10" s="88"/>
      <c r="B10" s="87"/>
      <c r="C10" s="27" t="s">
        <v>164</v>
      </c>
      <c r="E10" s="27" t="s">
        <v>165</v>
      </c>
      <c r="G10" s="27" t="s">
        <v>166</v>
      </c>
      <c r="I10" s="27" t="s">
        <v>167</v>
      </c>
      <c r="K10" s="27" t="s">
        <v>85</v>
      </c>
      <c r="M10" s="27" t="s">
        <v>86</v>
      </c>
    </row>
    <row r="11" spans="1:29" ht="18">
      <c r="A11" s="166"/>
      <c r="B11" s="167"/>
      <c r="C11" s="167"/>
      <c r="D11" s="167"/>
      <c r="E11"/>
      <c r="F11"/>
      <c r="G11"/>
      <c r="H11"/>
      <c r="I11"/>
      <c r="J11"/>
      <c r="K11"/>
      <c r="L11"/>
      <c r="M11"/>
      <c r="Q11" s="30"/>
      <c r="R11" s="30"/>
      <c r="S11" s="30"/>
      <c r="T11" s="30"/>
      <c r="U11" s="30"/>
      <c r="V11" s="30"/>
      <c r="W11" s="30"/>
      <c r="X11" s="30"/>
      <c r="Y11" s="30"/>
      <c r="Z11" s="30"/>
      <c r="AA11" s="30"/>
      <c r="AB11" s="30"/>
      <c r="AC11" s="30"/>
    </row>
    <row r="12" spans="1:29" ht="18">
      <c r="A12" s="166" t="s">
        <v>171</v>
      </c>
      <c r="B12" s="167"/>
      <c r="C12" s="167"/>
      <c r="D12" s="167"/>
      <c r="E12" s="168" t="s">
        <v>120</v>
      </c>
      <c r="F12" s="166"/>
      <c r="G12" s="166"/>
      <c r="H12" s="166"/>
      <c r="I12" s="166"/>
      <c r="J12" s="166"/>
      <c r="K12" s="92"/>
      <c r="L12" s="92"/>
      <c r="M12" s="169"/>
    </row>
    <row r="13" spans="1:29" ht="18">
      <c r="A13" s="170" t="s">
        <v>119</v>
      </c>
      <c r="B13" s="167"/>
      <c r="C13" s="170" t="s">
        <v>308</v>
      </c>
      <c r="D13" s="167"/>
      <c r="E13" s="171" t="s">
        <v>185</v>
      </c>
      <c r="F13" s="166"/>
      <c r="G13" s="170" t="s">
        <v>311</v>
      </c>
      <c r="H13" s="166"/>
      <c r="I13" s="170" t="s">
        <v>163</v>
      </c>
      <c r="J13" s="166"/>
      <c r="K13" s="172" t="s">
        <v>183</v>
      </c>
      <c r="L13" s="173"/>
      <c r="M13" s="172" t="s">
        <v>312</v>
      </c>
    </row>
    <row r="14" spans="1:29" ht="17.5">
      <c r="A14" s="88"/>
      <c r="B14" s="87"/>
      <c r="C14" s="85"/>
      <c r="D14" s="85"/>
      <c r="E14" s="85" t="s">
        <v>69</v>
      </c>
      <c r="F14" s="85"/>
      <c r="G14" s="85"/>
      <c r="H14" s="85"/>
      <c r="I14" s="85"/>
      <c r="J14" s="85"/>
      <c r="K14" s="84"/>
      <c r="L14" s="84"/>
    </row>
    <row r="15" spans="1:29" ht="17.5">
      <c r="A15" s="88"/>
      <c r="B15" s="87"/>
      <c r="C15" s="87"/>
      <c r="D15" s="87"/>
      <c r="E15" s="89"/>
      <c r="F15" s="87"/>
      <c r="G15" s="87"/>
      <c r="H15" s="87"/>
      <c r="I15" s="83"/>
      <c r="J15" s="87"/>
      <c r="K15" s="84"/>
      <c r="L15" s="84"/>
    </row>
    <row r="16" spans="1:29" ht="17.5">
      <c r="A16" s="88">
        <v>1</v>
      </c>
      <c r="B16" s="87"/>
      <c r="C16" s="90" t="s">
        <v>325</v>
      </c>
      <c r="D16" s="87"/>
      <c r="E16" s="84"/>
      <c r="F16" s="84"/>
      <c r="G16" s="91"/>
      <c r="H16" s="91"/>
      <c r="I16" s="91"/>
      <c r="J16" s="91"/>
      <c r="K16" s="91"/>
      <c r="L16" s="91"/>
      <c r="M16" s="91"/>
    </row>
    <row r="17" spans="1:15" ht="17.5">
      <c r="A17" s="88">
        <f>+A16+1</f>
        <v>2</v>
      </c>
      <c r="B17" s="87"/>
      <c r="C17" s="84" t="s">
        <v>309</v>
      </c>
      <c r="D17" s="87"/>
      <c r="E17" s="91">
        <f>'WS H-1-Detail of Tax Amts'!E15</f>
        <v>19200</v>
      </c>
      <c r="F17" s="84"/>
      <c r="G17" s="91"/>
      <c r="H17" s="91"/>
      <c r="I17" s="91"/>
      <c r="J17" s="91"/>
      <c r="K17" s="91"/>
      <c r="L17" s="91"/>
      <c r="M17" s="91">
        <f>+E17</f>
        <v>19200</v>
      </c>
    </row>
    <row r="18" spans="1:15" ht="17.5">
      <c r="A18" s="88"/>
      <c r="B18" s="87"/>
      <c r="C18" s="92"/>
      <c r="D18" s="87"/>
      <c r="E18" s="84"/>
      <c r="F18" s="84"/>
      <c r="G18" s="91"/>
      <c r="H18" s="91"/>
      <c r="I18" s="91"/>
      <c r="J18" s="91"/>
      <c r="K18" s="91"/>
      <c r="L18" s="91"/>
      <c r="M18" s="91"/>
    </row>
    <row r="19" spans="1:15" ht="17.5">
      <c r="A19" s="846">
        <f>+A17+1</f>
        <v>3</v>
      </c>
      <c r="B19" s="847"/>
      <c r="C19" s="848" t="s">
        <v>326</v>
      </c>
      <c r="D19" s="847"/>
      <c r="E19" s="847"/>
      <c r="F19" s="847"/>
      <c r="G19" s="849"/>
      <c r="H19" s="845"/>
      <c r="I19" s="845"/>
      <c r="J19" s="845"/>
      <c r="K19" s="845"/>
      <c r="L19" s="845"/>
      <c r="M19" s="845"/>
    </row>
    <row r="20" spans="1:15" ht="17.5">
      <c r="A20" s="846">
        <f>+A19+1</f>
        <v>4</v>
      </c>
      <c r="B20" s="847"/>
      <c r="C20" s="847" t="s">
        <v>908</v>
      </c>
      <c r="D20" s="847"/>
      <c r="E20" s="849">
        <f>'WS H-1-Detail of Tax Amts'!E27</f>
        <v>19830757.549159087</v>
      </c>
      <c r="F20" s="847"/>
      <c r="G20" s="849">
        <f>+E20</f>
        <v>19830757.549159087</v>
      </c>
      <c r="H20" s="845"/>
      <c r="I20" s="845"/>
      <c r="J20" s="845"/>
      <c r="K20" s="845"/>
      <c r="L20" s="845"/>
      <c r="M20" s="845"/>
      <c r="O20"/>
    </row>
    <row r="21" spans="1:15" ht="17.5">
      <c r="A21" s="846">
        <f>+A20+1</f>
        <v>5</v>
      </c>
      <c r="B21" s="847"/>
      <c r="C21" s="847" t="s">
        <v>600</v>
      </c>
      <c r="D21" s="847"/>
      <c r="E21" s="849">
        <f>'WS H-1-Detail of Tax Amts'!E33</f>
        <v>3895817.4508408122</v>
      </c>
      <c r="F21" s="847"/>
      <c r="G21" s="849">
        <f>+E21</f>
        <v>3895817.4508408122</v>
      </c>
      <c r="H21" s="845"/>
      <c r="I21" s="845"/>
      <c r="J21" s="845"/>
      <c r="K21" s="845"/>
      <c r="L21" s="845"/>
      <c r="M21" s="845"/>
      <c r="O21"/>
    </row>
    <row r="22" spans="1:15" ht="17.5">
      <c r="A22" s="846">
        <f>+A21+1</f>
        <v>6</v>
      </c>
      <c r="B22" s="847"/>
      <c r="C22" s="847" t="s">
        <v>597</v>
      </c>
      <c r="D22" s="849"/>
      <c r="E22" s="849">
        <f>'WS H-1-Detail of Tax Amts'!E44</f>
        <v>0</v>
      </c>
      <c r="F22" s="847"/>
      <c r="G22" s="849">
        <f>+E22</f>
        <v>0</v>
      </c>
      <c r="H22" s="845"/>
      <c r="I22" s="845"/>
      <c r="J22" s="845"/>
      <c r="K22" s="845"/>
      <c r="L22" s="845"/>
      <c r="M22" s="845"/>
      <c r="O22"/>
    </row>
    <row r="23" spans="1:15" ht="17.5">
      <c r="A23" s="846">
        <f>+A22+1</f>
        <v>7</v>
      </c>
      <c r="B23" s="847"/>
      <c r="C23" s="847" t="s">
        <v>465</v>
      </c>
      <c r="D23" s="849"/>
      <c r="E23" s="849">
        <f>'WS H-1-Detail of Tax Amts'!E50</f>
        <v>0</v>
      </c>
      <c r="F23" s="847"/>
      <c r="G23" s="849">
        <f>E23</f>
        <v>0</v>
      </c>
      <c r="H23" s="845"/>
      <c r="I23" s="845"/>
      <c r="J23" s="845"/>
      <c r="K23" s="845"/>
      <c r="L23" s="845"/>
      <c r="M23" s="845"/>
      <c r="O23"/>
    </row>
    <row r="24" spans="1:15" ht="17.5">
      <c r="A24" s="88"/>
      <c r="B24" s="87"/>
      <c r="C24" s="92"/>
      <c r="D24" s="87"/>
      <c r="E24" s="84"/>
      <c r="F24" s="84"/>
      <c r="G24" s="91"/>
      <c r="H24" s="91"/>
      <c r="I24" s="91"/>
      <c r="J24" s="91"/>
      <c r="K24" s="91"/>
      <c r="L24" s="91"/>
      <c r="M24" s="91"/>
      <c r="O24" s="187"/>
    </row>
    <row r="25" spans="1:15" ht="17.5">
      <c r="A25" s="88">
        <f>+A23+1</f>
        <v>8</v>
      </c>
      <c r="B25" s="87"/>
      <c r="C25" s="90" t="s">
        <v>327</v>
      </c>
      <c r="D25" s="87"/>
      <c r="E25" s="84"/>
      <c r="F25" s="84"/>
      <c r="G25" s="91"/>
      <c r="H25" s="91"/>
      <c r="I25" s="91"/>
      <c r="J25" s="91"/>
      <c r="K25" s="91"/>
      <c r="L25" s="91"/>
      <c r="M25" s="91"/>
      <c r="O25" s="187"/>
    </row>
    <row r="26" spans="1:15" ht="17.5">
      <c r="A26" s="88">
        <f>+A25+1</f>
        <v>9</v>
      </c>
      <c r="B26" s="87"/>
      <c r="C26" s="87" t="s">
        <v>323</v>
      </c>
      <c r="D26" s="87"/>
      <c r="E26" s="91">
        <f>'WS H-1-Detail of Tax Amts'!E61</f>
        <v>1279718.9949825592</v>
      </c>
      <c r="F26" s="84"/>
      <c r="G26" s="91"/>
      <c r="H26" s="91"/>
      <c r="I26" s="91">
        <f>+E26</f>
        <v>1279718.9949825592</v>
      </c>
      <c r="J26" s="91"/>
      <c r="K26" s="91"/>
      <c r="L26" s="91"/>
      <c r="M26" s="91"/>
      <c r="O26" s="187"/>
    </row>
    <row r="27" spans="1:15" ht="17.5">
      <c r="A27" s="88">
        <f>+A26+1</f>
        <v>10</v>
      </c>
      <c r="B27" s="87"/>
      <c r="C27" s="87" t="s">
        <v>316</v>
      </c>
      <c r="D27" s="87"/>
      <c r="E27" s="91">
        <f>'WS H-1-Detail of Tax Amts'!E63</f>
        <v>11760</v>
      </c>
      <c r="F27" s="84"/>
      <c r="G27" s="84"/>
      <c r="H27" s="84"/>
      <c r="I27" s="91">
        <f>+E27</f>
        <v>11760</v>
      </c>
      <c r="J27" s="87"/>
      <c r="K27" s="84"/>
      <c r="L27" s="84"/>
      <c r="M27" s="91"/>
    </row>
    <row r="28" spans="1:15" ht="17.5">
      <c r="A28" s="88">
        <f>+A27+1</f>
        <v>11</v>
      </c>
      <c r="B28" s="87"/>
      <c r="C28" s="87" t="s">
        <v>317</v>
      </c>
      <c r="D28" s="87"/>
      <c r="E28" s="91">
        <f>'WS H-1-Detail of Tax Amts'!E65</f>
        <v>4252.8794941701399</v>
      </c>
      <c r="F28" s="84"/>
      <c r="G28" s="84"/>
      <c r="H28" s="84"/>
      <c r="I28" s="91">
        <f>+E28</f>
        <v>4252.8794941701399</v>
      </c>
      <c r="J28" s="89"/>
      <c r="K28" s="84"/>
      <c r="L28" s="84"/>
      <c r="M28" s="91"/>
    </row>
    <row r="29" spans="1:15" ht="17.5">
      <c r="A29" s="88" t="s">
        <v>116</v>
      </c>
      <c r="B29" s="87"/>
      <c r="C29" s="84"/>
      <c r="D29" s="87"/>
      <c r="E29" s="84"/>
      <c r="F29" s="84"/>
      <c r="G29" s="84"/>
      <c r="H29" s="84"/>
      <c r="I29" s="99"/>
      <c r="J29" s="100"/>
      <c r="K29" s="103"/>
      <c r="L29" s="103"/>
      <c r="M29" s="91"/>
    </row>
    <row r="30" spans="1:15" ht="17.5">
      <c r="A30" s="88">
        <f>A28+1</f>
        <v>12</v>
      </c>
      <c r="B30" s="87"/>
      <c r="C30" s="90" t="s">
        <v>442</v>
      </c>
      <c r="D30" s="87"/>
      <c r="E30" s="84"/>
      <c r="F30" s="84"/>
      <c r="G30" s="84"/>
      <c r="H30" s="84"/>
      <c r="I30" s="99"/>
      <c r="J30" s="100"/>
      <c r="K30" s="103"/>
      <c r="L30" s="103"/>
      <c r="M30" s="91"/>
    </row>
    <row r="31" spans="1:15" ht="17.5">
      <c r="A31" s="88">
        <f>A30+1</f>
        <v>13</v>
      </c>
      <c r="B31" s="87"/>
      <c r="C31" s="84" t="s">
        <v>443</v>
      </c>
      <c r="D31" s="189"/>
      <c r="E31" s="91">
        <f>'WS H-1-Detail of Tax Amts'!E71</f>
        <v>0</v>
      </c>
      <c r="F31" s="84"/>
      <c r="G31" s="84"/>
      <c r="H31" s="84"/>
      <c r="I31" s="99"/>
      <c r="J31" s="100"/>
      <c r="K31" s="103"/>
      <c r="L31" s="103"/>
      <c r="M31" s="91">
        <f>E31</f>
        <v>0</v>
      </c>
    </row>
    <row r="32" spans="1:15" ht="17.5">
      <c r="A32" s="88"/>
      <c r="B32" s="87"/>
      <c r="C32" s="84"/>
      <c r="D32" s="87"/>
      <c r="E32" s="84"/>
      <c r="F32" s="84"/>
      <c r="G32" s="84"/>
      <c r="H32" s="84"/>
      <c r="I32" s="99"/>
      <c r="J32" s="100"/>
      <c r="K32" s="103"/>
      <c r="L32" s="103"/>
      <c r="M32" s="91"/>
    </row>
    <row r="33" spans="1:13" ht="17.5">
      <c r="A33" s="94">
        <f>+A31+1</f>
        <v>14</v>
      </c>
      <c r="B33" s="95"/>
      <c r="C33" s="90" t="s">
        <v>324</v>
      </c>
      <c r="D33" s="96"/>
      <c r="E33" s="84"/>
      <c r="F33" s="84"/>
      <c r="G33" s="91"/>
      <c r="H33" s="91"/>
      <c r="I33" s="91"/>
      <c r="J33" s="91"/>
      <c r="K33" s="91"/>
      <c r="L33" s="91"/>
      <c r="M33" s="91"/>
    </row>
    <row r="34" spans="1:13" ht="17.5">
      <c r="A34" s="94">
        <f>A33+1</f>
        <v>15</v>
      </c>
      <c r="B34" s="95"/>
      <c r="C34" s="84" t="s">
        <v>441</v>
      </c>
      <c r="D34" s="96"/>
      <c r="E34" s="91">
        <f>'WS H-1-Detail of Tax Amts'!E75</f>
        <v>7380000</v>
      </c>
      <c r="F34" s="84"/>
      <c r="G34" s="91"/>
      <c r="H34" s="91"/>
      <c r="I34" s="91"/>
      <c r="J34" s="91"/>
      <c r="K34" s="91"/>
      <c r="L34" s="91"/>
      <c r="M34" s="91">
        <f>E34</f>
        <v>7380000</v>
      </c>
    </row>
    <row r="35" spans="1:13" ht="17.5">
      <c r="A35" s="88">
        <f>A34+1</f>
        <v>16</v>
      </c>
      <c r="B35" s="87"/>
      <c r="C35" s="84" t="s">
        <v>318</v>
      </c>
      <c r="D35" s="87"/>
      <c r="E35" s="91">
        <f>'WS H-1-Detail of Tax Amts'!E79</f>
        <v>0</v>
      </c>
      <c r="F35" s="84"/>
      <c r="G35" s="91"/>
      <c r="H35" s="91"/>
      <c r="I35" s="91"/>
      <c r="J35" s="91"/>
      <c r="K35" s="91">
        <f>+E35</f>
        <v>0</v>
      </c>
      <c r="L35" s="91"/>
      <c r="M35" s="91"/>
    </row>
    <row r="36" spans="1:13" ht="17.5">
      <c r="A36" s="88">
        <f t="shared" ref="A36:A42" si="0">+A35+1</f>
        <v>17</v>
      </c>
      <c r="B36" s="87"/>
      <c r="C36" s="84" t="s">
        <v>319</v>
      </c>
      <c r="D36"/>
      <c r="E36" s="91">
        <f>'WS H-1-Detail of Tax Amts'!E83</f>
        <v>0</v>
      </c>
      <c r="F36" s="84"/>
      <c r="G36" s="91"/>
      <c r="H36" s="91"/>
      <c r="I36" s="91"/>
      <c r="J36" s="91"/>
      <c r="K36" s="91">
        <f>+E36</f>
        <v>0</v>
      </c>
      <c r="L36" s="91"/>
      <c r="M36" s="91"/>
    </row>
    <row r="37" spans="1:13" ht="17.5">
      <c r="A37" s="88">
        <f>+A36+1</f>
        <v>18</v>
      </c>
      <c r="B37" s="87"/>
      <c r="C37" s="84" t="s">
        <v>320</v>
      </c>
      <c r="D37"/>
      <c r="E37" s="91">
        <f>'WS H-1-Detail of Tax Amts'!E93</f>
        <v>0</v>
      </c>
      <c r="F37" s="84"/>
      <c r="G37" s="91"/>
      <c r="H37" s="91"/>
      <c r="I37" s="91"/>
      <c r="J37" s="91"/>
      <c r="K37" s="91">
        <f>+E37</f>
        <v>0</v>
      </c>
      <c r="L37" s="91"/>
      <c r="M37" s="91"/>
    </row>
    <row r="38" spans="1:13" ht="17.5">
      <c r="A38" s="88">
        <f t="shared" si="0"/>
        <v>19</v>
      </c>
      <c r="B38" s="87"/>
      <c r="C38" s="84" t="s">
        <v>321</v>
      </c>
      <c r="D38" s="87"/>
      <c r="E38" s="91">
        <f>'WS H-1-Detail of Tax Amts'!E100</f>
        <v>0</v>
      </c>
      <c r="F38" s="84"/>
      <c r="G38" s="91"/>
      <c r="H38" s="91"/>
      <c r="I38" s="91"/>
      <c r="J38" s="91"/>
      <c r="K38" s="91">
        <f>+E38</f>
        <v>0</v>
      </c>
      <c r="L38" s="91"/>
      <c r="M38" s="91"/>
    </row>
    <row r="39" spans="1:13" ht="17.5">
      <c r="A39" s="88">
        <f t="shared" si="0"/>
        <v>20</v>
      </c>
      <c r="B39" s="87"/>
      <c r="C39" s="84" t="s">
        <v>322</v>
      </c>
      <c r="D39" s="87"/>
      <c r="E39" s="91">
        <f>'WS H-1-Detail of Tax Amts'!E103</f>
        <v>42000</v>
      </c>
      <c r="F39" s="84"/>
      <c r="G39" s="91"/>
      <c r="H39" s="91"/>
      <c r="I39" s="91"/>
      <c r="J39" s="91"/>
      <c r="K39" s="91"/>
      <c r="L39" s="91"/>
      <c r="M39" s="91">
        <f>+E39</f>
        <v>42000</v>
      </c>
    </row>
    <row r="40" spans="1:13" ht="17.5">
      <c r="A40" s="88">
        <f t="shared" si="0"/>
        <v>21</v>
      </c>
      <c r="B40" s="84"/>
      <c r="C40" s="84" t="s">
        <v>310</v>
      </c>
      <c r="D40" s="84"/>
      <c r="E40" s="91">
        <f>'WS H-1-Detail of Tax Amts'!E107</f>
        <v>0</v>
      </c>
      <c r="F40" s="84"/>
      <c r="G40" s="91"/>
      <c r="H40" s="91"/>
      <c r="I40" s="91"/>
      <c r="J40" s="91"/>
      <c r="K40" s="91"/>
      <c r="L40" s="91"/>
      <c r="M40" s="91">
        <f>+E40</f>
        <v>0</v>
      </c>
    </row>
    <row r="41" spans="1:13" ht="17.5">
      <c r="A41" s="88">
        <f t="shared" si="0"/>
        <v>22</v>
      </c>
      <c r="B41" s="84"/>
      <c r="C41" s="106" t="s">
        <v>108</v>
      </c>
      <c r="D41" s="84"/>
      <c r="E41" s="91">
        <f>'WS H-1-Detail of Tax Amts'!E110</f>
        <v>0</v>
      </c>
      <c r="F41" s="84"/>
      <c r="G41" s="91"/>
      <c r="H41" s="91"/>
      <c r="I41" s="91"/>
      <c r="J41" s="91"/>
      <c r="K41" s="91"/>
      <c r="L41" s="91"/>
      <c r="M41" s="91">
        <f>+E41</f>
        <v>0</v>
      </c>
    </row>
    <row r="42" spans="1:13" ht="17.5">
      <c r="A42" s="88">
        <f t="shared" si="0"/>
        <v>23</v>
      </c>
      <c r="B42" s="84"/>
      <c r="C42" s="106"/>
      <c r="D42" s="84"/>
      <c r="E42" s="91"/>
      <c r="F42" s="84"/>
      <c r="G42" s="91"/>
      <c r="H42" s="91"/>
      <c r="I42" s="91"/>
      <c r="J42" s="91"/>
      <c r="K42" s="91"/>
      <c r="L42" s="91"/>
      <c r="M42" s="91"/>
    </row>
    <row r="43" spans="1:13" ht="18" thickBot="1">
      <c r="A43" s="88">
        <f>A42+1</f>
        <v>24</v>
      </c>
      <c r="B43" s="70"/>
      <c r="C43" s="84" t="s">
        <v>313</v>
      </c>
      <c r="D43"/>
      <c r="E43" s="105">
        <f>SUM(E17:E41)</f>
        <v>32463506.87447663</v>
      </c>
      <c r="F43" s="84"/>
      <c r="G43" s="105">
        <f>SUM(G17:G41)</f>
        <v>23726574.999999899</v>
      </c>
      <c r="H43" s="98"/>
      <c r="I43" s="105">
        <f>SUM(I17:I41)</f>
        <v>1295731.8744767294</v>
      </c>
      <c r="J43" s="101"/>
      <c r="K43" s="105">
        <f>SUM(K17:K41)</f>
        <v>0</v>
      </c>
      <c r="L43" s="104"/>
      <c r="M43" s="105">
        <f>SUM(M17:M41)</f>
        <v>7441200</v>
      </c>
    </row>
    <row r="44" spans="1:13" ht="17" thickTop="1">
      <c r="A44" s="4"/>
      <c r="B44" s="70"/>
      <c r="C44" s="84" t="s">
        <v>383</v>
      </c>
      <c r="D44"/>
      <c r="E44"/>
      <c r="F44" s="84"/>
      <c r="G44" s="98"/>
      <c r="H44" s="98"/>
      <c r="I44" s="101"/>
      <c r="J44" s="102"/>
      <c r="K44" s="104"/>
      <c r="L44" s="104"/>
      <c r="M44" s="104"/>
    </row>
    <row r="45" spans="1:13" ht="16.5">
      <c r="A45" s="4"/>
      <c r="B45" s="70"/>
      <c r="C45" s="84" t="s">
        <v>80</v>
      </c>
      <c r="D45"/>
      <c r="E45"/>
      <c r="F45" s="84"/>
      <c r="G45" s="98"/>
      <c r="H45" s="98"/>
      <c r="I45" s="101"/>
      <c r="J45" s="102"/>
      <c r="K45" s="104"/>
      <c r="L45" s="104"/>
      <c r="M45" s="104"/>
    </row>
    <row r="46" spans="1:13" ht="16.5">
      <c r="A46" s="4"/>
      <c r="B46" s="70"/>
      <c r="C46" s="1213" t="s">
        <v>464</v>
      </c>
      <c r="D46" s="1213"/>
      <c r="E46" s="1213"/>
      <c r="F46" s="1213"/>
      <c r="G46" s="1213"/>
      <c r="H46" s="1213"/>
      <c r="I46" s="1213"/>
      <c r="J46" s="1213"/>
      <c r="K46" s="1213"/>
      <c r="L46" s="1213"/>
      <c r="M46" s="1213"/>
    </row>
    <row r="47" spans="1:13" ht="17.5">
      <c r="A47" s="88"/>
      <c r="C47" s="84"/>
      <c r="D47" s="84"/>
      <c r="E47" s="108" t="s">
        <v>231</v>
      </c>
      <c r="G47" s="108" t="s">
        <v>335</v>
      </c>
      <c r="H47" s="108"/>
      <c r="I47" s="108" t="s">
        <v>440</v>
      </c>
      <c r="J47" s="108"/>
      <c r="K47" s="108" t="s">
        <v>336</v>
      </c>
      <c r="L47" s="108"/>
      <c r="M47" s="108" t="s">
        <v>120</v>
      </c>
    </row>
    <row r="48" spans="1:13" ht="17.5">
      <c r="A48" s="88">
        <f>+A43+1</f>
        <v>25</v>
      </c>
      <c r="C48" s="209" t="str">
        <f>"Functionalized Net Plant (TCOS, Lns "&amp;TCOS!B90&amp;" thru "&amp;TCOS!B95&amp;")"</f>
        <v>Functionalized Net Plant (TCOS, Lns 41 thru 46)</v>
      </c>
      <c r="D48" s="84"/>
      <c r="E48" s="210">
        <f>+TCOS!G90</f>
        <v>608408647.07246101</v>
      </c>
      <c r="F48" s="209"/>
      <c r="G48" s="210">
        <f>+TCOS!G91</f>
        <v>602250749.64459658</v>
      </c>
      <c r="H48" s="209"/>
      <c r="I48" s="210">
        <f>+TCOS!G92</f>
        <v>799307124.8697319</v>
      </c>
      <c r="J48" s="209"/>
      <c r="K48" s="210">
        <f>+TCOS!G93</f>
        <v>82165579.932372317</v>
      </c>
      <c r="L48" s="84"/>
      <c r="M48" s="128">
        <f>SUM(E48:K48)</f>
        <v>2092132101.5191619</v>
      </c>
    </row>
    <row r="49" spans="1:21" ht="17.5">
      <c r="A49" s="88"/>
      <c r="C49" s="965" t="s">
        <v>906</v>
      </c>
      <c r="D49" s="84"/>
      <c r="E49" s="128"/>
      <c r="F49" s="84"/>
      <c r="G49" s="181"/>
      <c r="H49" s="84"/>
      <c r="I49" s="128"/>
      <c r="J49" s="84"/>
      <c r="K49" s="128"/>
      <c r="L49" s="84"/>
      <c r="M49" s="185"/>
    </row>
    <row r="50" spans="1:21" ht="17.5">
      <c r="A50" s="88">
        <f>+A48+1</f>
        <v>26</v>
      </c>
      <c r="C50" s="84" t="str">
        <f>"Percentage of Plant in "&amp;C49&amp;""</f>
        <v>Percentage of Plant in KENTUCKY JURISDICTION</v>
      </c>
      <c r="D50" s="84"/>
      <c r="E50" s="663">
        <v>0.337506922627618</v>
      </c>
      <c r="F50" s="253"/>
      <c r="G50" s="663">
        <v>0.98456611522811599</v>
      </c>
      <c r="H50" s="253"/>
      <c r="I50" s="663">
        <v>1</v>
      </c>
      <c r="J50" s="181"/>
      <c r="K50" s="663">
        <v>0.99681945181543097</v>
      </c>
      <c r="L50" s="84"/>
      <c r="M50" s="185"/>
    </row>
    <row r="51" spans="1:21" ht="17.5">
      <c r="A51" s="88">
        <f t="shared" ref="A51:A57" si="1">+A50+1</f>
        <v>27</v>
      </c>
      <c r="C51" s="209" t="str">
        <f>"Net Plant in "&amp;C49&amp;" (Ln "&amp;A48&amp;" * Ln "&amp;A50&amp;")"</f>
        <v>Net Plant in KENTUCKY JURISDICTION (Ln 25 * Ln 26)</v>
      </c>
      <c r="D51" s="84"/>
      <c r="E51" s="128">
        <f>+E48*E50</f>
        <v>205342130.17345884</v>
      </c>
      <c r="F51" s="84"/>
      <c r="G51" s="128">
        <f>+G48*G50</f>
        <v>592955680.97080112</v>
      </c>
      <c r="H51" s="84"/>
      <c r="I51" s="128">
        <f>+I48*I50</f>
        <v>799307124.8697319</v>
      </c>
      <c r="J51" s="84"/>
      <c r="K51" s="128">
        <f>+K48*K50</f>
        <v>81904248.346284345</v>
      </c>
      <c r="L51" s="84"/>
      <c r="M51" s="128">
        <f>SUM(E51:K51)</f>
        <v>1679509184.3602762</v>
      </c>
      <c r="O51"/>
    </row>
    <row r="52" spans="1:21" ht="17.5">
      <c r="A52" s="88">
        <f t="shared" si="1"/>
        <v>28</v>
      </c>
      <c r="C52" s="209" t="s">
        <v>227</v>
      </c>
      <c r="D52" s="84"/>
      <c r="E52" s="664">
        <v>24969339.100000001</v>
      </c>
      <c r="F52" s="84"/>
      <c r="G52" s="180"/>
      <c r="H52" s="84"/>
      <c r="I52" s="180"/>
      <c r="J52" s="84"/>
      <c r="K52" s="180"/>
      <c r="L52" s="84"/>
      <c r="M52" s="128"/>
      <c r="O52"/>
    </row>
    <row r="53" spans="1:21" ht="17.5">
      <c r="A53" s="88">
        <f t="shared" si="1"/>
        <v>29</v>
      </c>
      <c r="C53" s="84" t="str">
        <f>"Taxable Property Basis (Ln "&amp;A51&amp;" - Ln "&amp;A52&amp;")"</f>
        <v>Taxable Property Basis (Ln 27 - Ln 28)</v>
      </c>
      <c r="D53" s="84"/>
      <c r="E53" s="128">
        <f>+E51-E52</f>
        <v>180372791.07345885</v>
      </c>
      <c r="F53" s="84"/>
      <c r="G53" s="128">
        <f>+G51-G52</f>
        <v>592955680.97080112</v>
      </c>
      <c r="H53" s="84"/>
      <c r="I53" s="128">
        <f>+I51-I52</f>
        <v>799307124.8697319</v>
      </c>
      <c r="J53" s="84"/>
      <c r="K53" s="128">
        <f>+K51-K52</f>
        <v>81904248.346284345</v>
      </c>
      <c r="L53" s="84"/>
      <c r="M53" s="128">
        <f>SUM(E53:K53)</f>
        <v>1654539845.2602763</v>
      </c>
      <c r="O53"/>
    </row>
    <row r="54" spans="1:21" ht="17.5">
      <c r="A54" s="88">
        <f t="shared" si="1"/>
        <v>30</v>
      </c>
      <c r="C54" s="91" t="s">
        <v>463</v>
      </c>
      <c r="D54" s="84"/>
      <c r="E54" s="663">
        <v>0.33</v>
      </c>
      <c r="F54" s="253"/>
      <c r="G54" s="663">
        <v>1</v>
      </c>
      <c r="H54" s="253"/>
      <c r="I54" s="663">
        <v>1</v>
      </c>
      <c r="J54" s="181"/>
      <c r="K54" s="663">
        <v>1</v>
      </c>
      <c r="L54" s="84"/>
      <c r="M54" s="174">
        <f>SUM(E54:K54)</f>
        <v>3.33</v>
      </c>
      <c r="O54"/>
    </row>
    <row r="55" spans="1:21" ht="17.5">
      <c r="A55" s="88">
        <f t="shared" si="1"/>
        <v>31</v>
      </c>
      <c r="C55" s="209" t="str">
        <f>"Weighted Net Plant (Ln "&amp;A53&amp;" * Ln "&amp;A54&amp;")"</f>
        <v>Weighted Net Plant (Ln 29 * Ln 30)</v>
      </c>
      <c r="D55" s="84"/>
      <c r="E55" s="128">
        <f>+E53*E54</f>
        <v>59523021.054241426</v>
      </c>
      <c r="F55" s="84"/>
      <c r="G55" s="128">
        <f>+G53*G54</f>
        <v>592955680.97080112</v>
      </c>
      <c r="H55" s="84"/>
      <c r="I55" s="128">
        <f>+I53*I54</f>
        <v>799307124.8697319</v>
      </c>
      <c r="J55" s="84"/>
      <c r="K55" s="128">
        <f>+K53*K54</f>
        <v>81904248.346284345</v>
      </c>
      <c r="L55" s="84"/>
      <c r="M55" s="128"/>
      <c r="O55"/>
      <c r="P55"/>
      <c r="Q55"/>
      <c r="R55"/>
      <c r="S55"/>
      <c r="T55"/>
      <c r="U55"/>
    </row>
    <row r="56" spans="1:21" ht="17.5">
      <c r="A56" s="88">
        <f t="shared" si="1"/>
        <v>32</v>
      </c>
      <c r="C56" s="84" t="str">
        <f>+"General Plant Allocator (Ln "&amp;A55&amp;" / (Total - General Plant))"</f>
        <v>General Plant Allocator (Ln 31 / (Total - General Plant))</v>
      </c>
      <c r="D56" s="84"/>
      <c r="E56" s="129">
        <f>IF(E54=0,0,+E55/($E55+$G55+$I55))</f>
        <v>4.0999863720639323E-2</v>
      </c>
      <c r="F56" s="84"/>
      <c r="G56" s="129">
        <f>IF(G54=0,0,+G55/($E55+$G55+$I55))</f>
        <v>0.40843192569187314</v>
      </c>
      <c r="H56" s="84"/>
      <c r="I56" s="129">
        <f>IF(I54=0,0,+I55/($E55+$G55+$I55))</f>
        <v>0.55056821058748751</v>
      </c>
      <c r="J56" s="84"/>
      <c r="K56" s="129">
        <v>-1</v>
      </c>
      <c r="L56" s="84"/>
      <c r="M56" s="84"/>
      <c r="O56"/>
      <c r="P56"/>
      <c r="Q56"/>
      <c r="R56"/>
      <c r="S56"/>
      <c r="T56"/>
      <c r="U56"/>
    </row>
    <row r="57" spans="1:21" ht="17.5">
      <c r="A57" s="88">
        <f t="shared" si="1"/>
        <v>33</v>
      </c>
      <c r="C57" s="84" t="str">
        <f>"Functionalized General Plant (Ln "&amp;A56&amp;" * General Plant)"</f>
        <v>Functionalized General Plant (Ln 32 * General Plant)</v>
      </c>
      <c r="D57" s="84"/>
      <c r="E57" s="130">
        <f>ROUND($K55*E56,0)</f>
        <v>3358063</v>
      </c>
      <c r="F57" s="84"/>
      <c r="G57" s="130">
        <f>+G56*K55</f>
        <v>33452309.874418329</v>
      </c>
      <c r="H57" s="84"/>
      <c r="I57" s="130">
        <f>ROUND($K55*I56,0)</f>
        <v>45093875</v>
      </c>
      <c r="J57" s="84"/>
      <c r="K57" s="130">
        <f>ROUND($K55*K56,0)</f>
        <v>-81904248</v>
      </c>
      <c r="L57" s="84"/>
      <c r="M57" s="128">
        <f>IF(SUM(E57:K57)&lt;&gt;0,0,0)</f>
        <v>0</v>
      </c>
      <c r="O57"/>
      <c r="P57"/>
      <c r="Q57"/>
      <c r="R57"/>
      <c r="S57"/>
      <c r="T57"/>
      <c r="U57"/>
    </row>
    <row r="58" spans="1:21" ht="17.5">
      <c r="A58" s="88">
        <f>+A57+1</f>
        <v>34</v>
      </c>
      <c r="C58" s="84" t="str">
        <f>"Weighted "&amp;C49&amp;" Plant (Ln "&amp;A55&amp;" + "&amp;A57&amp;")"</f>
        <v>Weighted KENTUCKY JURISDICTION Plant (Ln 31 + 33)</v>
      </c>
      <c r="D58" s="84"/>
      <c r="E58" s="128">
        <f>+E55+E57</f>
        <v>62881084.054241426</v>
      </c>
      <c r="F58" s="84"/>
      <c r="G58" s="128">
        <f>+G55+G57</f>
        <v>626407990.84521949</v>
      </c>
      <c r="H58" s="84"/>
      <c r="I58" s="128">
        <f>+I55+I57</f>
        <v>844400999.8697319</v>
      </c>
      <c r="J58" s="84"/>
      <c r="K58" s="128">
        <f>+K55+K57</f>
        <v>0.34628434479236603</v>
      </c>
      <c r="L58" s="84"/>
      <c r="M58" s="128">
        <f>SUM(E58:K58)-SUM(E57:K57)</f>
        <v>1533690075.2410588</v>
      </c>
      <c r="O58"/>
    </row>
    <row r="59" spans="1:21" ht="17.5">
      <c r="A59" s="88">
        <f>+A58+1</f>
        <v>35</v>
      </c>
      <c r="C59" s="84" t="str">
        <f>"Functional Percentage (Ln "&amp;A58&amp;"/Total Ln "&amp;A58&amp;")"</f>
        <v>Functional Percentage (Ln 34/Total Ln 34)</v>
      </c>
      <c r="D59" s="84"/>
      <c r="E59" s="181">
        <f>+E58/M58</f>
        <v>4.0999863707377807E-2</v>
      </c>
      <c r="F59" s="84"/>
      <c r="G59" s="182">
        <f>+G58/M58</f>
        <v>0.40843192569187314</v>
      </c>
      <c r="H59" s="84"/>
      <c r="I59" s="181">
        <f>+I58/M58</f>
        <v>0.55056821029308189</v>
      </c>
      <c r="J59" s="84"/>
      <c r="K59"/>
      <c r="L59" s="84"/>
      <c r="M59" s="128"/>
      <c r="O59"/>
    </row>
    <row r="60" spans="1:21" ht="17.5" hidden="1">
      <c r="A60" s="88"/>
      <c r="C60" s="965" t="s">
        <v>867</v>
      </c>
      <c r="D60" s="84"/>
      <c r="E60" s="128"/>
      <c r="F60" s="84"/>
      <c r="G60" s="128"/>
      <c r="H60" s="84"/>
      <c r="I60" s="128"/>
      <c r="J60" s="84"/>
      <c r="K60" s="128"/>
      <c r="L60" s="84"/>
      <c r="M60" s="128"/>
      <c r="O60"/>
    </row>
    <row r="61" spans="1:21" ht="17.5" hidden="1">
      <c r="A61" s="88">
        <f>+A59+1</f>
        <v>36</v>
      </c>
      <c r="C61" s="84" t="str">
        <f>"Percentage of Plant in "&amp;C60&amp;""</f>
        <v>Percentage of Plant in STATE JURISDICTION #2</v>
      </c>
      <c r="D61" s="84"/>
      <c r="E61" s="663"/>
      <c r="F61" s="253"/>
      <c r="G61" s="663"/>
      <c r="H61" s="253"/>
      <c r="I61" s="663"/>
      <c r="J61" s="181"/>
      <c r="K61" s="663"/>
      <c r="L61" s="84"/>
      <c r="M61" s="179"/>
      <c r="O61"/>
    </row>
    <row r="62" spans="1:21" ht="17.5" hidden="1">
      <c r="A62" s="88">
        <f t="shared" ref="A62:A69" si="2">+A61+1</f>
        <v>37</v>
      </c>
      <c r="C62" s="209" t="str">
        <f>"Net Plant in "&amp;C60&amp;" (Ln "&amp;A48&amp;" * Ln "&amp;A61&amp;")"</f>
        <v>Net Plant in STATE JURISDICTION #2 (Ln 25 * Ln 36)</v>
      </c>
      <c r="D62"/>
      <c r="E62" s="128">
        <f>+E61*E48</f>
        <v>0</v>
      </c>
      <c r="F62" s="84"/>
      <c r="G62" s="128">
        <f>+G61*G48</f>
        <v>0</v>
      </c>
      <c r="H62" s="84"/>
      <c r="I62" s="128">
        <f>+I61*I48</f>
        <v>0</v>
      </c>
      <c r="J62" s="84"/>
      <c r="K62" s="128">
        <f>+K61*K48</f>
        <v>0</v>
      </c>
      <c r="L62" s="84"/>
      <c r="M62" s="128">
        <f>SUM(E62:K62)</f>
        <v>0</v>
      </c>
      <c r="O62"/>
    </row>
    <row r="63" spans="1:21" ht="17.5" hidden="1">
      <c r="A63" s="88">
        <f t="shared" si="2"/>
        <v>38</v>
      </c>
      <c r="C63" s="209" t="s">
        <v>227</v>
      </c>
      <c r="D63"/>
      <c r="E63" s="664"/>
      <c r="F63" s="84"/>
      <c r="G63" s="180"/>
      <c r="H63" s="84"/>
      <c r="I63" s="180"/>
      <c r="J63" s="84"/>
      <c r="K63" s="180"/>
      <c r="L63" s="84"/>
      <c r="M63" s="128"/>
      <c r="O63"/>
    </row>
    <row r="64" spans="1:21" ht="17.5" hidden="1">
      <c r="A64" s="88">
        <f t="shared" si="2"/>
        <v>39</v>
      </c>
      <c r="C64" s="84" t="str">
        <f>"Taxable Property Basis (Ln "&amp;A62&amp;" - Ln "&amp;A63&amp;")"</f>
        <v>Taxable Property Basis (Ln 37 - Ln 38)</v>
      </c>
      <c r="D64"/>
      <c r="E64" s="128">
        <f>+E62-E63</f>
        <v>0</v>
      </c>
      <c r="F64" s="84"/>
      <c r="G64" s="128">
        <f>+G62-G63</f>
        <v>0</v>
      </c>
      <c r="H64" s="84"/>
      <c r="I64" s="128">
        <f>+I62-I63</f>
        <v>0</v>
      </c>
      <c r="J64" s="84"/>
      <c r="K64" s="128">
        <f>+K62-K63</f>
        <v>0</v>
      </c>
      <c r="L64" s="84"/>
      <c r="M64" s="128">
        <f>SUM(E64:K64)</f>
        <v>0</v>
      </c>
      <c r="O64"/>
    </row>
    <row r="65" spans="1:15" ht="17.5" hidden="1">
      <c r="A65" s="88">
        <f t="shared" si="2"/>
        <v>40</v>
      </c>
      <c r="C65" s="91" t="s">
        <v>463</v>
      </c>
      <c r="D65"/>
      <c r="E65" s="663"/>
      <c r="F65" s="253"/>
      <c r="G65" s="663"/>
      <c r="H65" s="253"/>
      <c r="I65" s="663"/>
      <c r="J65" s="181"/>
      <c r="K65" s="663"/>
      <c r="L65" s="84"/>
      <c r="M65" s="174">
        <f>SUM(E65:K65)</f>
        <v>0</v>
      </c>
      <c r="O65"/>
    </row>
    <row r="66" spans="1:15" ht="17.5" hidden="1">
      <c r="A66" s="88">
        <f t="shared" si="2"/>
        <v>41</v>
      </c>
      <c r="C66" s="209" t="str">
        <f>"Weighted Net Plant (Ln "&amp;A64&amp;" * Ln "&amp;A65&amp;")"</f>
        <v>Weighted Net Plant (Ln 39 * Ln 40)</v>
      </c>
      <c r="D66"/>
      <c r="E66" s="128">
        <f>+E64*E65</f>
        <v>0</v>
      </c>
      <c r="F66" s="84"/>
      <c r="G66" s="128">
        <f>+G64*G65</f>
        <v>0</v>
      </c>
      <c r="H66" s="84"/>
      <c r="I66" s="128">
        <f>+I64*I65</f>
        <v>0</v>
      </c>
      <c r="J66" s="84"/>
      <c r="K66" s="128">
        <f>+K64*K65</f>
        <v>0</v>
      </c>
      <c r="L66" s="84"/>
      <c r="M66" s="128"/>
      <c r="O66"/>
    </row>
    <row r="67" spans="1:15" ht="17.5" hidden="1">
      <c r="A67" s="88">
        <f t="shared" si="2"/>
        <v>42</v>
      </c>
      <c r="C67" s="84" t="str">
        <f>+"General Plant Allocator (Ln "&amp;A66&amp;" / (Total - General Plant))"</f>
        <v>General Plant Allocator (Ln 41 / (Total - General Plant))</v>
      </c>
      <c r="D67" s="84"/>
      <c r="E67" s="129">
        <f>IF(E65=0,0,+E66/($E66+$G66+$I66))</f>
        <v>0</v>
      </c>
      <c r="F67" s="84"/>
      <c r="G67" s="129">
        <f>IF(G65=0,0,+G66/($E66+$G66+$I66))</f>
        <v>0</v>
      </c>
      <c r="H67" s="84"/>
      <c r="I67" s="129">
        <f>IF(I65=0,0,+I66/($E66+$G66+$I66))</f>
        <v>0</v>
      </c>
      <c r="J67" s="84"/>
      <c r="K67" s="129">
        <v>-1</v>
      </c>
      <c r="L67" s="84"/>
      <c r="M67" s="84"/>
      <c r="O67"/>
    </row>
    <row r="68" spans="1:15" ht="17.5" hidden="1">
      <c r="A68" s="88">
        <f t="shared" si="2"/>
        <v>43</v>
      </c>
      <c r="C68" s="84" t="str">
        <f>"Functionalized General Plant (Ln "&amp;A67&amp;" * General Plant)"</f>
        <v>Functionalized General Plant (Ln 42 * General Plant)</v>
      </c>
      <c r="D68" s="84"/>
      <c r="E68" s="130">
        <f>ROUND($K66*E67,0)</f>
        <v>0</v>
      </c>
      <c r="F68" s="84"/>
      <c r="G68" s="130">
        <f>+G67*K66</f>
        <v>0</v>
      </c>
      <c r="H68" s="84"/>
      <c r="I68" s="130">
        <f>ROUND($K66*I67,0)</f>
        <v>0</v>
      </c>
      <c r="J68" s="84"/>
      <c r="K68" s="130">
        <f>ROUND($K66*K67,0)</f>
        <v>0</v>
      </c>
      <c r="L68" s="84"/>
      <c r="M68" s="128">
        <f>IF(SUM(E68:K68)&lt;&gt;0,0,0)</f>
        <v>0</v>
      </c>
      <c r="O68"/>
    </row>
    <row r="69" spans="1:15" ht="17.5" hidden="1">
      <c r="A69" s="88">
        <f t="shared" si="2"/>
        <v>44</v>
      </c>
      <c r="C69" s="84" t="str">
        <f>"Weighted "&amp;C60&amp;" Plant (Ln "&amp;A66&amp;" + "&amp;A68&amp;")"</f>
        <v>Weighted STATE JURISDICTION #2 Plant (Ln 41 + 43)</v>
      </c>
      <c r="D69" s="84"/>
      <c r="E69" s="128">
        <f>+E66+E68</f>
        <v>0</v>
      </c>
      <c r="F69" s="84"/>
      <c r="G69" s="128">
        <f>+G66+G68</f>
        <v>0</v>
      </c>
      <c r="H69" s="84"/>
      <c r="I69" s="128">
        <f>+I66+I68</f>
        <v>0</v>
      </c>
      <c r="J69" s="84"/>
      <c r="K69" s="128">
        <f>+K66+K68</f>
        <v>0</v>
      </c>
      <c r="L69" s="84"/>
      <c r="M69" s="128">
        <f>SUM(E69:K69)-SUM(E68:K68)</f>
        <v>0</v>
      </c>
      <c r="O69"/>
    </row>
    <row r="70" spans="1:15" ht="17.5" hidden="1">
      <c r="A70" s="88">
        <f>+A69+1</f>
        <v>45</v>
      </c>
      <c r="C70" s="84" t="str">
        <f>"Functional Percentage (Ln "&amp;A69&amp;"/Total Ln "&amp;A69&amp;")"</f>
        <v>Functional Percentage (Ln 44/Total Ln 44)</v>
      </c>
      <c r="D70" s="84"/>
      <c r="E70" s="181" t="e">
        <f>+E69/M69</f>
        <v>#DIV/0!</v>
      </c>
      <c r="F70" s="84"/>
      <c r="G70" s="182" t="e">
        <f>+G69/M69</f>
        <v>#DIV/0!</v>
      </c>
      <c r="H70" s="84"/>
      <c r="I70" s="181" t="e">
        <f>+I69/M69</f>
        <v>#DIV/0!</v>
      </c>
      <c r="J70" s="84"/>
      <c r="K70"/>
      <c r="L70" s="84"/>
      <c r="M70" s="128"/>
      <c r="O70"/>
    </row>
    <row r="71" spans="1:15" ht="17.5">
      <c r="A71" s="88"/>
      <c r="C71" s="965" t="s">
        <v>907</v>
      </c>
      <c r="D71" s="84"/>
      <c r="E71" s="256"/>
      <c r="F71" s="257"/>
      <c r="G71" s="258"/>
      <c r="H71" s="257"/>
      <c r="I71" s="256"/>
      <c r="J71" s="257"/>
      <c r="K71" s="255"/>
      <c r="L71" s="84"/>
      <c r="M71" s="128"/>
      <c r="O71"/>
    </row>
    <row r="72" spans="1:15" ht="17.5">
      <c r="A72" s="88">
        <f>+A70+1</f>
        <v>46</v>
      </c>
      <c r="C72" s="84" t="str">
        <f>"Net Plant in "&amp;C71&amp;" (Ln "&amp;A48&amp;" - Ln "&amp;A51&amp;" - Ln "&amp;A62&amp;")"</f>
        <v>Net Plant in WEST VIRGINIA JURISDICTION (Ln 25 - Ln 27 - Ln 37)</v>
      </c>
      <c r="D72" s="84"/>
      <c r="E72" s="256">
        <f>+E48-E51-E62</f>
        <v>403066516.89900219</v>
      </c>
      <c r="F72" s="257"/>
      <c r="G72" s="256">
        <f>+G48-G51-G62</f>
        <v>9295068.6737954617</v>
      </c>
      <c r="H72" s="257"/>
      <c r="I72" s="256">
        <f>+I48-I51-I62</f>
        <v>0</v>
      </c>
      <c r="J72" s="257"/>
      <c r="K72" s="256">
        <f>+K48-K51-K62</f>
        <v>261331.58608797193</v>
      </c>
      <c r="L72" s="84"/>
      <c r="M72" s="128">
        <f>SUM(E72:K72)</f>
        <v>412622917.1588856</v>
      </c>
      <c r="O72"/>
    </row>
    <row r="73" spans="1:15" ht="17.5">
      <c r="A73" s="88">
        <f t="shared" ref="A73:A79" si="3">+A72+1</f>
        <v>47</v>
      </c>
      <c r="C73" s="84" t="s">
        <v>598</v>
      </c>
      <c r="D73" s="84"/>
      <c r="E73" s="664">
        <v>323463843</v>
      </c>
      <c r="F73" s="257"/>
      <c r="G73" s="259"/>
      <c r="H73" s="257"/>
      <c r="I73" s="259"/>
      <c r="J73" s="257"/>
      <c r="K73" s="259"/>
      <c r="L73" s="84"/>
      <c r="M73" s="128"/>
      <c r="O73"/>
    </row>
    <row r="74" spans="1:15" ht="17.5">
      <c r="A74" s="88">
        <f t="shared" si="3"/>
        <v>48</v>
      </c>
      <c r="C74" s="84" t="s">
        <v>599</v>
      </c>
      <c r="D74" s="84"/>
      <c r="E74" s="256">
        <f>+E72-E73</f>
        <v>79602673.899002194</v>
      </c>
      <c r="F74" s="257"/>
      <c r="G74" s="256">
        <f>+G72-G73</f>
        <v>9295068.6737954617</v>
      </c>
      <c r="H74" s="257"/>
      <c r="I74" s="256">
        <f>+I72-I73</f>
        <v>0</v>
      </c>
      <c r="J74" s="257"/>
      <c r="K74" s="256">
        <f>+K72-K73</f>
        <v>261331.58608797193</v>
      </c>
      <c r="L74" s="84"/>
      <c r="M74" s="128">
        <f>SUM(E74:K74)</f>
        <v>89159074.158885628</v>
      </c>
      <c r="O74"/>
    </row>
    <row r="75" spans="1:15" ht="17.5">
      <c r="A75" s="88">
        <f t="shared" si="3"/>
        <v>49</v>
      </c>
      <c r="C75" s="91" t="s">
        <v>463</v>
      </c>
      <c r="D75" s="84"/>
      <c r="E75" s="663">
        <v>1</v>
      </c>
      <c r="F75" s="253"/>
      <c r="G75" s="663">
        <v>1</v>
      </c>
      <c r="H75" s="253"/>
      <c r="I75" s="663">
        <v>1</v>
      </c>
      <c r="J75" s="181"/>
      <c r="K75" s="663">
        <v>1</v>
      </c>
      <c r="L75" s="84"/>
      <c r="M75" s="128"/>
      <c r="O75"/>
    </row>
    <row r="76" spans="1:15" ht="17.5">
      <c r="A76" s="88">
        <f t="shared" si="3"/>
        <v>50</v>
      </c>
      <c r="C76" s="84" t="str">
        <f>"Weighted Net Plant (Ln "&amp;A74&amp;" * Ln "&amp;A75&amp;")"</f>
        <v>Weighted Net Plant (Ln 48 * Ln 49)</v>
      </c>
      <c r="D76" s="84"/>
      <c r="E76" s="256">
        <f>+E74*E75</f>
        <v>79602673.899002194</v>
      </c>
      <c r="F76" s="257"/>
      <c r="G76" s="256">
        <f>+G74*G75</f>
        <v>9295068.6737954617</v>
      </c>
      <c r="H76" s="257"/>
      <c r="I76" s="256">
        <f>+I74*I75</f>
        <v>0</v>
      </c>
      <c r="J76" s="257"/>
      <c r="K76" s="256">
        <f>+K74*K75</f>
        <v>261331.58608797193</v>
      </c>
      <c r="L76" s="84"/>
      <c r="M76" s="128"/>
      <c r="O76"/>
    </row>
    <row r="77" spans="1:15" ht="17.5">
      <c r="A77" s="88">
        <f t="shared" si="3"/>
        <v>51</v>
      </c>
      <c r="C77" s="84" t="str">
        <f>+"General Plant Allocator (Ln "&amp;A76&amp;" / (Total - General Plant)"</f>
        <v>General Plant Allocator (Ln 50 / (Total - General Plant)</v>
      </c>
      <c r="D77" s="84"/>
      <c r="E77" s="260">
        <f>IF(E75=0,0,+E76/($E76+$G76+$I76))</f>
        <v>0.89544089191934428</v>
      </c>
      <c r="F77" s="257"/>
      <c r="G77" s="260">
        <f>IF(G75=0,0,+G76/($E76+$G76+$I76))</f>
        <v>0.10455910808065574</v>
      </c>
      <c r="H77" s="257"/>
      <c r="I77" s="260">
        <f>IF(I75=0,0,+I76/($E76+$G76+$I76))</f>
        <v>0</v>
      </c>
      <c r="J77" s="257"/>
      <c r="K77" s="260">
        <v>-1</v>
      </c>
      <c r="L77" s="84"/>
      <c r="M77" s="128"/>
      <c r="O77"/>
    </row>
    <row r="78" spans="1:15" ht="17.5">
      <c r="A78" s="88">
        <f t="shared" si="3"/>
        <v>52</v>
      </c>
      <c r="C78" s="84" t="str">
        <f>"Functionalized General Plant (Ln "&amp;A78&amp;" * General Plant)"</f>
        <v>Functionalized General Plant (Ln 52 * General Plant)</v>
      </c>
      <c r="D78" s="84"/>
      <c r="E78" s="261">
        <f>ROUND($K76*E77,0)</f>
        <v>234007</v>
      </c>
      <c r="F78" s="257"/>
      <c r="G78" s="261">
        <f>ROUND($K76*G77,0)</f>
        <v>27325</v>
      </c>
      <c r="H78" s="257"/>
      <c r="I78" s="261">
        <f>ROUND($K76*I77,0)</f>
        <v>0</v>
      </c>
      <c r="J78" s="257"/>
      <c r="K78" s="261">
        <f>ROUND($K76*K77,0)</f>
        <v>-261332</v>
      </c>
      <c r="L78" s="84"/>
      <c r="M78" s="128"/>
      <c r="O78"/>
    </row>
    <row r="79" spans="1:15" ht="17.5">
      <c r="A79" s="88">
        <f t="shared" si="3"/>
        <v>53</v>
      </c>
      <c r="C79" s="84" t="str">
        <f>"Weighted "&amp;C71&amp;" Plant (Ln "&amp;A76&amp;" + "&amp;A78&amp;")"</f>
        <v>Weighted WEST VIRGINIA JURISDICTION Plant (Ln 50 + 52)</v>
      </c>
      <c r="D79" s="84"/>
      <c r="E79" s="256">
        <f>+E76+E78</f>
        <v>79836680.899002194</v>
      </c>
      <c r="F79" s="257"/>
      <c r="G79" s="256">
        <f>+G76+G78</f>
        <v>9322393.6737954617</v>
      </c>
      <c r="H79" s="257"/>
      <c r="I79" s="256">
        <f>+I76+I78</f>
        <v>0</v>
      </c>
      <c r="J79" s="257"/>
      <c r="K79" s="256">
        <f>+K76+K78</f>
        <v>-0.41391202807426453</v>
      </c>
      <c r="L79" s="84"/>
      <c r="M79" s="128">
        <f>SUM(E79:K79)-SUM(E78:K78)</f>
        <v>89159074.158885628</v>
      </c>
      <c r="O79"/>
    </row>
    <row r="80" spans="1:15" ht="17.5">
      <c r="A80" s="88">
        <f>+A79+1</f>
        <v>54</v>
      </c>
      <c r="C80" s="84" t="str">
        <f>"Functional Percentage (Ln "&amp;A79&amp;"/Total Ln "&amp;A79&amp;")"</f>
        <v>Functional Percentage (Ln 53/Total Ln 53)</v>
      </c>
      <c r="D80" s="84"/>
      <c r="E80" s="255">
        <f>+E79/M79</f>
        <v>0.89544089204795363</v>
      </c>
      <c r="F80" s="257"/>
      <c r="G80" s="258">
        <f>+G79/M79</f>
        <v>0.10455911259444575</v>
      </c>
      <c r="H80" s="257"/>
      <c r="I80" s="255">
        <f>+I79/M79</f>
        <v>0</v>
      </c>
      <c r="J80" s="251"/>
      <c r="K80" s="251"/>
      <c r="L80" s="84"/>
      <c r="M80" s="128"/>
      <c r="O80"/>
    </row>
    <row r="81" spans="1:15" ht="17.5">
      <c r="A81" s="88"/>
      <c r="C81" s="84"/>
      <c r="D81" s="84"/>
      <c r="E81" s="178"/>
      <c r="F81" s="84"/>
      <c r="G81" s="178"/>
      <c r="H81" s="84"/>
      <c r="I81" s="178"/>
      <c r="J81" s="84"/>
      <c r="K81"/>
      <c r="L81" s="84"/>
      <c r="M81" s="128"/>
      <c r="O81"/>
    </row>
    <row r="82" spans="1:15" ht="17.5">
      <c r="A82" s="88"/>
      <c r="C82" s="84"/>
      <c r="D82" s="84"/>
      <c r="E82" s="91"/>
      <c r="F82" s="91"/>
      <c r="G82" s="91"/>
      <c r="H82" s="91"/>
      <c r="I82" s="91"/>
      <c r="J82" s="84"/>
      <c r="K82" s="178"/>
      <c r="L82" s="84"/>
      <c r="M82" s="91"/>
      <c r="O82"/>
    </row>
  </sheetData>
  <mergeCells count="7">
    <mergeCell ref="A8:M8"/>
    <mergeCell ref="A7:M7"/>
    <mergeCell ref="C46:M46"/>
    <mergeCell ref="A3:M3"/>
    <mergeCell ref="A4:M4"/>
    <mergeCell ref="A5:M5"/>
    <mergeCell ref="A6:M6"/>
  </mergeCells>
  <phoneticPr fontId="71"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T142"/>
  <sheetViews>
    <sheetView view="pageBreakPreview" zoomScale="70" zoomScaleNormal="70" zoomScaleSheetLayoutView="70" workbookViewId="0">
      <selection activeCell="C17" sqref="C17"/>
    </sheetView>
  </sheetViews>
  <sheetFormatPr defaultColWidth="9.1796875" defaultRowHeight="12.5"/>
  <cols>
    <col min="1" max="1" width="7.26953125" style="97" customWidth="1"/>
    <col min="2" max="2" width="1.7265625" style="86" customWidth="1"/>
    <col min="3" max="3" width="68.54296875" style="86" customWidth="1"/>
    <col min="4" max="4" width="19.1796875" style="86" customWidth="1"/>
    <col min="5" max="5" width="20.453125" style="93" customWidth="1"/>
    <col min="6" max="6" width="20.453125" style="86" bestFit="1" customWidth="1"/>
    <col min="7" max="7" width="40.26953125" style="86" bestFit="1" customWidth="1"/>
    <col min="8" max="8" width="13" style="86" bestFit="1" customWidth="1"/>
    <col min="9" max="9" width="34" style="86" customWidth="1"/>
    <col min="10" max="16384" width="9.1796875" style="86"/>
  </cols>
  <sheetData>
    <row r="1" spans="1:20" ht="15.5">
      <c r="A1" s="694" t="s">
        <v>116</v>
      </c>
    </row>
    <row r="2" spans="1:20" ht="15.5">
      <c r="A2" s="694" t="s">
        <v>116</v>
      </c>
    </row>
    <row r="3" spans="1:20" ht="18.75" customHeight="1">
      <c r="A3" s="1176" t="s">
        <v>389</v>
      </c>
      <c r="B3" s="1176"/>
      <c r="C3" s="1176"/>
      <c r="D3" s="1176"/>
      <c r="E3" s="1176"/>
      <c r="F3" s="1176"/>
    </row>
    <row r="4" spans="1:20" ht="18.75" customHeight="1">
      <c r="A4" s="1177" t="str">
        <f>"Cost of Service Formula Rate Using Actual/Projected FF1 Balances"</f>
        <v>Cost of Service Formula Rate Using Actual/Projected FF1 Balances</v>
      </c>
      <c r="B4" s="1177"/>
      <c r="C4" s="1177"/>
      <c r="D4" s="1177"/>
      <c r="E4" s="1177"/>
      <c r="F4" s="1177"/>
    </row>
    <row r="5" spans="1:20" ht="18.75" customHeight="1">
      <c r="A5" s="1177" t="s">
        <v>219</v>
      </c>
      <c r="B5" s="1177"/>
      <c r="C5" s="1177"/>
      <c r="D5" s="1177"/>
      <c r="E5" s="1177"/>
      <c r="F5" s="1177"/>
    </row>
    <row r="6" spans="1:20" ht="18" customHeight="1">
      <c r="A6" s="1184" t="str">
        <f>TCOS!F9</f>
        <v>KENTUCKY POWER COMPANY</v>
      </c>
      <c r="B6" s="1177"/>
      <c r="C6" s="1177"/>
      <c r="D6" s="1177"/>
      <c r="E6" s="1177"/>
      <c r="F6" s="1177"/>
    </row>
    <row r="7" spans="1:20" ht="18" customHeight="1">
      <c r="A7" s="1188"/>
      <c r="B7" s="1188"/>
      <c r="C7" s="1188"/>
      <c r="D7" s="1188"/>
      <c r="E7" s="1188"/>
      <c r="F7" s="1188"/>
    </row>
    <row r="8" spans="1:20" ht="19.5" customHeight="1">
      <c r="A8" s="88"/>
      <c r="B8" s="87"/>
      <c r="C8" s="27" t="s">
        <v>164</v>
      </c>
      <c r="E8" s="27" t="s">
        <v>165</v>
      </c>
      <c r="F8" s="27" t="s">
        <v>166</v>
      </c>
      <c r="G8" s="27" t="s">
        <v>167</v>
      </c>
    </row>
    <row r="9" spans="1:20" ht="18">
      <c r="A9" s="166"/>
      <c r="B9" s="167"/>
      <c r="C9" s="167"/>
      <c r="D9" s="167"/>
      <c r="E9"/>
      <c r="F9"/>
      <c r="G9" s="30"/>
      <c r="H9" s="30"/>
      <c r="I9" s="30"/>
      <c r="J9" s="30"/>
      <c r="K9" s="30"/>
      <c r="L9" s="30"/>
      <c r="M9" s="30"/>
      <c r="N9" s="30"/>
      <c r="O9" s="30"/>
      <c r="P9" s="30"/>
      <c r="Q9" s="30"/>
      <c r="R9" s="30"/>
      <c r="S9" s="30"/>
      <c r="T9" s="30"/>
    </row>
    <row r="10" spans="1:20" ht="18">
      <c r="A10" s="166" t="s">
        <v>171</v>
      </c>
      <c r="B10" s="167"/>
      <c r="C10" s="167"/>
      <c r="D10" s="167"/>
      <c r="E10" s="168" t="s">
        <v>120</v>
      </c>
      <c r="F10" s="166" t="s">
        <v>77</v>
      </c>
    </row>
    <row r="11" spans="1:20" ht="18">
      <c r="A11" s="170" t="s">
        <v>119</v>
      </c>
      <c r="B11" s="216"/>
      <c r="C11" s="170" t="s">
        <v>30</v>
      </c>
      <c r="D11" s="851"/>
      <c r="E11" s="171" t="s">
        <v>185</v>
      </c>
      <c r="F11" s="170" t="s">
        <v>78</v>
      </c>
      <c r="G11" s="171" t="s">
        <v>79</v>
      </c>
      <c r="H11" s="851"/>
      <c r="I11" s="851"/>
    </row>
    <row r="12" spans="1:20" ht="18">
      <c r="A12" s="88"/>
      <c r="B12" s="87"/>
      <c r="C12" s="85"/>
      <c r="D12" s="85"/>
      <c r="E12" s="85"/>
      <c r="F12" s="166"/>
      <c r="G12" s="168"/>
      <c r="I12" s="852"/>
    </row>
    <row r="13" spans="1:20" ht="17.5">
      <c r="A13" s="88"/>
      <c r="B13" s="87"/>
      <c r="C13" s="87"/>
      <c r="D13" s="87"/>
      <c r="E13" s="89"/>
      <c r="F13" s="85"/>
    </row>
    <row r="14" spans="1:20" ht="17.5">
      <c r="A14" s="88">
        <v>1</v>
      </c>
      <c r="B14" s="87"/>
      <c r="C14" s="90" t="s">
        <v>325</v>
      </c>
      <c r="D14" s="87"/>
      <c r="E14" s="84"/>
      <c r="F14" s="87"/>
    </row>
    <row r="15" spans="1:20" ht="17.5">
      <c r="A15" s="88">
        <f>+A14+1</f>
        <v>2</v>
      </c>
      <c r="B15" s="87"/>
      <c r="C15" s="84" t="s">
        <v>309</v>
      </c>
      <c r="D15"/>
      <c r="E15" s="91">
        <f>SUM(F16:F19)</f>
        <v>19200</v>
      </c>
      <c r="F15" s="84"/>
    </row>
    <row r="16" spans="1:20" ht="17.5">
      <c r="A16" s="88"/>
      <c r="B16" s="87"/>
      <c r="C16" s="92"/>
      <c r="D16"/>
      <c r="E16" s="84"/>
      <c r="F16" s="665">
        <v>19200</v>
      </c>
      <c r="G16" s="666"/>
    </row>
    <row r="17" spans="1:9" ht="17.5">
      <c r="A17" s="88"/>
      <c r="B17" s="87"/>
      <c r="C17" s="92"/>
      <c r="D17"/>
      <c r="E17" s="84"/>
      <c r="F17" s="665"/>
      <c r="G17" s="666"/>
    </row>
    <row r="18" spans="1:9" ht="17.5">
      <c r="A18" s="88"/>
      <c r="B18" s="87"/>
      <c r="C18" s="92"/>
      <c r="D18"/>
      <c r="E18" s="84"/>
      <c r="F18" s="665"/>
      <c r="G18" s="666"/>
    </row>
    <row r="19" spans="1:9" ht="18" customHeight="1">
      <c r="A19" s="88"/>
      <c r="B19" s="87"/>
      <c r="C19" s="92"/>
      <c r="D19"/>
      <c r="E19" s="84"/>
      <c r="F19" s="665"/>
      <c r="G19" s="666"/>
    </row>
    <row r="20" spans="1:9" ht="18" customHeight="1">
      <c r="A20" s="88"/>
      <c r="B20" s="87"/>
      <c r="C20" s="92"/>
      <c r="D20"/>
      <c r="E20" s="84"/>
      <c r="F20" s="665"/>
      <c r="G20" s="666"/>
    </row>
    <row r="21" spans="1:9" ht="18" customHeight="1">
      <c r="A21" s="88"/>
      <c r="B21" s="87"/>
      <c r="C21" s="92"/>
      <c r="D21"/>
      <c r="E21" s="84"/>
      <c r="F21" s="696"/>
      <c r="G21" s="697"/>
    </row>
    <row r="22" spans="1:9" ht="18" customHeight="1">
      <c r="A22" s="88"/>
      <c r="B22" s="87"/>
      <c r="C22" s="27" t="s">
        <v>164</v>
      </c>
      <c r="D22" s="27" t="s">
        <v>165</v>
      </c>
      <c r="E22" s="27" t="s">
        <v>166</v>
      </c>
      <c r="F22" s="27" t="s">
        <v>167</v>
      </c>
      <c r="G22" s="27" t="s">
        <v>85</v>
      </c>
      <c r="H22" s="878" t="s">
        <v>86</v>
      </c>
      <c r="I22" s="27" t="s">
        <v>87</v>
      </c>
    </row>
    <row r="23" spans="1:9" ht="58.5" customHeight="1">
      <c r="A23" s="170"/>
      <c r="B23" s="216"/>
      <c r="C23" s="879" t="s">
        <v>757</v>
      </c>
      <c r="D23" s="880" t="s">
        <v>675</v>
      </c>
      <c r="E23" s="881" t="s">
        <v>755</v>
      </c>
      <c r="F23" s="882" t="s">
        <v>756</v>
      </c>
      <c r="G23" s="883" t="s">
        <v>79</v>
      </c>
      <c r="H23" s="881" t="s">
        <v>826</v>
      </c>
      <c r="I23" s="882" t="s">
        <v>754</v>
      </c>
    </row>
    <row r="24" spans="1:9" ht="17.5">
      <c r="A24" s="88"/>
      <c r="B24" s="87"/>
      <c r="C24" s="92"/>
      <c r="D24" s="4"/>
      <c r="E24" s="84"/>
      <c r="F24" s="91"/>
      <c r="G24" s="217"/>
    </row>
    <row r="25" spans="1:9" ht="33">
      <c r="A25" s="840">
        <f>+A15+1</f>
        <v>3</v>
      </c>
      <c r="B25" s="841"/>
      <c r="C25" s="877" t="s">
        <v>753</v>
      </c>
      <c r="D25" s="884"/>
      <c r="E25" s="885">
        <f>E27+E33+E44+E50</f>
        <v>23726574.999999899</v>
      </c>
      <c r="F25" s="886"/>
      <c r="G25" s="853"/>
      <c r="H25" s="887"/>
      <c r="I25" s="885">
        <f>I27+I33+I44+I50</f>
        <v>8506857.709221568</v>
      </c>
    </row>
    <row r="26" spans="1:9" ht="17.5">
      <c r="A26" s="88"/>
      <c r="B26" s="87"/>
      <c r="C26" s="90"/>
      <c r="D26"/>
      <c r="E26" s="84"/>
      <c r="F26" s="218"/>
      <c r="G26" s="217"/>
      <c r="H26" s="842"/>
      <c r="I26" s="843"/>
    </row>
    <row r="27" spans="1:9" ht="17.5">
      <c r="A27" s="88">
        <f>+A25+1</f>
        <v>4</v>
      </c>
      <c r="B27" s="87"/>
      <c r="C27" s="844" t="s">
        <v>908</v>
      </c>
      <c r="D27"/>
      <c r="E27" s="91">
        <f>SUM(F28:F32)</f>
        <v>19830757.549159087</v>
      </c>
      <c r="F27" s="218"/>
      <c r="G27" s="217"/>
      <c r="H27" s="87"/>
      <c r="I27" s="839">
        <f>SUM(I28:I32)</f>
        <v>8099514.4937316971</v>
      </c>
    </row>
    <row r="28" spans="1:9" ht="17.5">
      <c r="A28" s="88"/>
      <c r="B28" s="87"/>
      <c r="C28" s="844"/>
      <c r="D28" s="989">
        <v>2022</v>
      </c>
      <c r="E28" s="91"/>
      <c r="F28" s="665">
        <v>19830757.549159087</v>
      </c>
      <c r="G28" s="666"/>
      <c r="H28" s="967">
        <f>'WS H Other Taxes'!G59</f>
        <v>0.40843192569187314</v>
      </c>
      <c r="I28" s="891">
        <f>+F28*H28</f>
        <v>8099514.4937316971</v>
      </c>
    </row>
    <row r="29" spans="1:9" ht="17.5">
      <c r="A29" s="88"/>
      <c r="B29" s="87"/>
      <c r="C29" s="844"/>
      <c r="D29" s="665"/>
      <c r="E29" s="91"/>
      <c r="F29" s="665"/>
      <c r="G29" s="666"/>
      <c r="H29" s="838"/>
      <c r="I29" s="891">
        <f>+F29*H29</f>
        <v>0</v>
      </c>
    </row>
    <row r="30" spans="1:9" ht="17.5">
      <c r="A30" s="88"/>
      <c r="B30" s="87"/>
      <c r="C30" s="844"/>
      <c r="D30" s="665"/>
      <c r="E30" s="91"/>
      <c r="F30" s="665"/>
      <c r="G30" s="666"/>
      <c r="H30" s="838"/>
      <c r="I30" s="891">
        <f>+F30*H30</f>
        <v>0</v>
      </c>
    </row>
    <row r="31" spans="1:9" ht="17.5">
      <c r="A31" s="88"/>
      <c r="B31" s="87"/>
      <c r="C31" s="844"/>
      <c r="D31" s="665"/>
      <c r="E31" s="91"/>
      <c r="F31" s="665"/>
      <c r="G31" s="666"/>
      <c r="H31" s="838"/>
      <c r="I31" s="891">
        <f t="shared" ref="I31:I42" si="0">F31*H31</f>
        <v>0</v>
      </c>
    </row>
    <row r="32" spans="1:9" ht="17.5">
      <c r="A32" s="88"/>
      <c r="B32" s="87"/>
      <c r="C32" s="844"/>
      <c r="D32" s="665"/>
      <c r="E32" s="91"/>
      <c r="F32" s="665"/>
      <c r="G32" s="666"/>
      <c r="H32" s="838"/>
      <c r="I32" s="891">
        <f t="shared" si="0"/>
        <v>0</v>
      </c>
    </row>
    <row r="33" spans="1:9" ht="17.5">
      <c r="A33" s="88">
        <f>+A27+1</f>
        <v>5</v>
      </c>
      <c r="B33" s="87"/>
      <c r="C33" s="844" t="s">
        <v>909</v>
      </c>
      <c r="D33"/>
      <c r="E33" s="91">
        <f>SUM(F34:F40)</f>
        <v>3895817.4508408122</v>
      </c>
      <c r="F33" s="91"/>
      <c r="G33" s="217"/>
      <c r="I33" s="891">
        <f>SUM(I34:I42)</f>
        <v>407343.2154898711</v>
      </c>
    </row>
    <row r="34" spans="1:9" ht="17.5">
      <c r="A34" s="88"/>
      <c r="B34" s="87"/>
      <c r="C34" s="844"/>
      <c r="D34" s="989">
        <v>2022</v>
      </c>
      <c r="E34" s="91"/>
      <c r="F34" s="665">
        <v>3895817.4508408122</v>
      </c>
      <c r="G34" s="666"/>
      <c r="H34" s="966">
        <f>'WS H Other Taxes'!G80</f>
        <v>0.10455911259444575</v>
      </c>
      <c r="I34" s="891">
        <f>F34*H34</f>
        <v>407343.2154898711</v>
      </c>
    </row>
    <row r="35" spans="1:9" ht="17.5">
      <c r="A35" s="88"/>
      <c r="B35" s="87"/>
      <c r="C35" s="844"/>
      <c r="D35" s="665"/>
      <c r="E35" s="91"/>
      <c r="F35" s="665"/>
      <c r="G35" s="666"/>
      <c r="H35" s="666"/>
      <c r="I35" s="891">
        <f t="shared" si="0"/>
        <v>0</v>
      </c>
    </row>
    <row r="36" spans="1:9" ht="17.5">
      <c r="A36" s="88"/>
      <c r="B36" s="87"/>
      <c r="C36" s="844"/>
      <c r="D36" s="665"/>
      <c r="E36" s="91"/>
      <c r="F36" s="665"/>
      <c r="G36" s="666"/>
      <c r="H36" s="666"/>
      <c r="I36" s="891">
        <f t="shared" si="0"/>
        <v>0</v>
      </c>
    </row>
    <row r="37" spans="1:9" ht="17.5">
      <c r="A37" s="88"/>
      <c r="B37" s="87"/>
      <c r="C37" s="844"/>
      <c r="D37" s="665"/>
      <c r="E37" s="91"/>
      <c r="F37" s="665"/>
      <c r="G37" s="666"/>
      <c r="H37" s="666"/>
      <c r="I37" s="891">
        <f t="shared" si="0"/>
        <v>0</v>
      </c>
    </row>
    <row r="38" spans="1:9" ht="17.5">
      <c r="A38" s="88"/>
      <c r="B38" s="87"/>
      <c r="C38" s="844"/>
      <c r="D38" s="665"/>
      <c r="E38" s="91"/>
      <c r="F38" s="665"/>
      <c r="G38" s="666"/>
      <c r="H38" s="666"/>
      <c r="I38" s="891">
        <f t="shared" si="0"/>
        <v>0</v>
      </c>
    </row>
    <row r="39" spans="1:9" ht="17.5">
      <c r="A39" s="88"/>
      <c r="B39" s="87"/>
      <c r="C39" s="844"/>
      <c r="D39" s="665"/>
      <c r="E39" s="91"/>
      <c r="F39" s="665"/>
      <c r="G39" s="666"/>
      <c r="H39" s="666"/>
      <c r="I39" s="891">
        <f t="shared" si="0"/>
        <v>0</v>
      </c>
    </row>
    <row r="40" spans="1:9" ht="17.5">
      <c r="A40" s="88"/>
      <c r="B40" s="87"/>
      <c r="C40" s="844"/>
      <c r="D40" s="665"/>
      <c r="E40" s="91"/>
      <c r="F40" s="665"/>
      <c r="G40" s="666"/>
      <c r="H40" s="666"/>
      <c r="I40" s="891">
        <f t="shared" si="0"/>
        <v>0</v>
      </c>
    </row>
    <row r="41" spans="1:9" ht="17.5">
      <c r="A41" s="88"/>
      <c r="B41" s="87"/>
      <c r="C41" s="844"/>
      <c r="D41" s="665"/>
      <c r="E41" s="91"/>
      <c r="F41" s="665"/>
      <c r="G41" s="666"/>
      <c r="H41" s="666"/>
      <c r="I41" s="891">
        <f t="shared" si="0"/>
        <v>0</v>
      </c>
    </row>
    <row r="42" spans="1:9" ht="17.5">
      <c r="A42" s="88"/>
      <c r="B42" s="87"/>
      <c r="C42" s="844"/>
      <c r="D42" s="665"/>
      <c r="E42" s="91"/>
      <c r="F42" s="665"/>
      <c r="G42" s="666"/>
      <c r="H42" s="666"/>
      <c r="I42" s="891">
        <f t="shared" si="0"/>
        <v>0</v>
      </c>
    </row>
    <row r="43" spans="1:9" ht="17.5">
      <c r="A43" s="88"/>
      <c r="B43" s="87"/>
      <c r="C43" s="844"/>
      <c r="D43" s="87"/>
      <c r="E43" s="91"/>
      <c r="F43" s="4"/>
      <c r="G43" s="248"/>
    </row>
    <row r="44" spans="1:9" ht="17.5">
      <c r="A44" s="88">
        <f>+A33+1</f>
        <v>6</v>
      </c>
      <c r="B44" s="87"/>
      <c r="C44" s="844" t="s">
        <v>597</v>
      </c>
      <c r="D44" s="189"/>
      <c r="E44" s="91">
        <f>SUM(F45:F48)</f>
        <v>0</v>
      </c>
      <c r="F44" s="84" t="s">
        <v>116</v>
      </c>
      <c r="G44" s="248" t="s">
        <v>116</v>
      </c>
      <c r="I44" s="892">
        <f>SUM(I45:I49)</f>
        <v>0</v>
      </c>
    </row>
    <row r="45" spans="1:9" ht="17.5">
      <c r="A45" s="88"/>
      <c r="B45" s="87"/>
      <c r="C45" s="844"/>
      <c r="D45" s="665"/>
      <c r="E45" s="91"/>
      <c r="F45" s="665">
        <v>0</v>
      </c>
      <c r="G45" s="666"/>
      <c r="H45" s="966">
        <v>0</v>
      </c>
      <c r="I45" s="891">
        <f>F45*H45</f>
        <v>0</v>
      </c>
    </row>
    <row r="46" spans="1:9" ht="17.5">
      <c r="A46" s="88"/>
      <c r="B46" s="87"/>
      <c r="C46" s="844"/>
      <c r="D46" s="665"/>
      <c r="E46" s="91"/>
      <c r="F46" s="665"/>
      <c r="G46" s="666"/>
      <c r="H46" s="666"/>
      <c r="I46" s="891">
        <f>F46*H46</f>
        <v>0</v>
      </c>
    </row>
    <row r="47" spans="1:9" ht="17.5">
      <c r="A47" s="88"/>
      <c r="B47" s="87"/>
      <c r="C47" s="844"/>
      <c r="D47" s="665"/>
      <c r="E47" s="91"/>
      <c r="F47" s="665"/>
      <c r="G47" s="666"/>
      <c r="H47" s="666"/>
      <c r="I47" s="891">
        <f>F47*H47</f>
        <v>0</v>
      </c>
    </row>
    <row r="48" spans="1:9" ht="17.5">
      <c r="A48" s="88"/>
      <c r="B48" s="87"/>
      <c r="C48" s="844"/>
      <c r="D48" s="665"/>
      <c r="E48" s="91"/>
      <c r="F48" s="665"/>
      <c r="G48" s="666"/>
      <c r="H48" s="666"/>
      <c r="I48" s="891">
        <f>F48*H48</f>
        <v>0</v>
      </c>
    </row>
    <row r="49" spans="1:9" ht="17.5">
      <c r="A49" s="88"/>
      <c r="B49" s="87"/>
      <c r="C49" s="844"/>
      <c r="D49" s="665"/>
      <c r="E49" s="91"/>
      <c r="F49" s="665"/>
      <c r="G49" s="666"/>
      <c r="H49" s="666"/>
      <c r="I49" s="891">
        <f>F49*H49</f>
        <v>0</v>
      </c>
    </row>
    <row r="50" spans="1:9" ht="17.5">
      <c r="A50" s="88"/>
      <c r="B50" s="87"/>
      <c r="C50" s="844"/>
      <c r="D50" s="189"/>
      <c r="E50" s="91">
        <f>SUM(F51:F53)</f>
        <v>0</v>
      </c>
      <c r="F50" s="247"/>
      <c r="G50" s="248"/>
      <c r="I50" s="892">
        <f>SUM(I51:I53)</f>
        <v>0</v>
      </c>
    </row>
    <row r="51" spans="1:9" ht="17.5">
      <c r="A51" s="88">
        <f>A44+1</f>
        <v>7</v>
      </c>
      <c r="B51" s="87"/>
      <c r="C51" s="844" t="s">
        <v>465</v>
      </c>
      <c r="D51" s="665"/>
      <c r="E51" s="91"/>
      <c r="F51" s="665">
        <v>0</v>
      </c>
      <c r="G51" s="666"/>
      <c r="H51" s="966">
        <v>0</v>
      </c>
      <c r="I51" s="891">
        <f>F51*H51</f>
        <v>0</v>
      </c>
    </row>
    <row r="52" spans="1:9" ht="17.5">
      <c r="A52" s="88"/>
      <c r="B52" s="87"/>
      <c r="C52" s="87"/>
      <c r="D52" s="665"/>
      <c r="E52" s="91"/>
      <c r="F52" s="665"/>
      <c r="G52" s="666"/>
      <c r="H52" s="666"/>
      <c r="I52" s="891">
        <f>F52*H52</f>
        <v>0</v>
      </c>
    </row>
    <row r="53" spans="1:9" ht="17.5">
      <c r="A53" s="88"/>
      <c r="B53" s="87"/>
      <c r="C53" s="87"/>
      <c r="D53" s="665"/>
      <c r="E53" s="91"/>
      <c r="F53" s="665"/>
      <c r="G53" s="666"/>
      <c r="H53" s="666"/>
      <c r="I53" s="891">
        <f>F53*H53</f>
        <v>0</v>
      </c>
    </row>
    <row r="54" spans="1:9" ht="17.5">
      <c r="A54" s="854"/>
      <c r="B54" s="855"/>
      <c r="C54" s="855"/>
      <c r="D54" s="856"/>
      <c r="E54" s="857"/>
      <c r="F54" s="856"/>
      <c r="G54" s="858"/>
      <c r="H54" s="858"/>
      <c r="I54" s="859"/>
    </row>
    <row r="55" spans="1:9" ht="17.5">
      <c r="A55" s="88"/>
      <c r="B55" s="87"/>
      <c r="C55" s="87"/>
      <c r="D55" s="189"/>
      <c r="E55" s="91"/>
      <c r="F55" s="247"/>
      <c r="G55" s="248"/>
    </row>
    <row r="56" spans="1:9" ht="17.5">
      <c r="A56" s="88"/>
      <c r="B56" s="87"/>
      <c r="C56" s="27" t="s">
        <v>164</v>
      </c>
      <c r="E56" s="27" t="s">
        <v>165</v>
      </c>
      <c r="F56" s="27" t="s">
        <v>166</v>
      </c>
      <c r="G56" s="27" t="s">
        <v>167</v>
      </c>
    </row>
    <row r="57" spans="1:9" ht="18">
      <c r="A57" s="166"/>
      <c r="B57" s="167"/>
      <c r="C57" s="167"/>
      <c r="D57" s="167"/>
      <c r="E57"/>
      <c r="F57"/>
      <c r="G57" s="30"/>
    </row>
    <row r="58" spans="1:9" ht="18">
      <c r="A58" s="166" t="s">
        <v>171</v>
      </c>
      <c r="B58" s="167"/>
      <c r="C58" s="167"/>
      <c r="D58" s="167"/>
      <c r="E58" s="168" t="s">
        <v>120</v>
      </c>
      <c r="F58" s="166" t="s">
        <v>77</v>
      </c>
    </row>
    <row r="59" spans="1:9" ht="18">
      <c r="A59" s="170" t="s">
        <v>119</v>
      </c>
      <c r="B59" s="216"/>
      <c r="C59" s="170" t="s">
        <v>30</v>
      </c>
      <c r="D59" s="851"/>
      <c r="E59" s="171" t="s">
        <v>185</v>
      </c>
      <c r="F59" s="170" t="s">
        <v>78</v>
      </c>
      <c r="G59" s="171" t="s">
        <v>79</v>
      </c>
    </row>
    <row r="60" spans="1:9" ht="17.5">
      <c r="A60" s="88">
        <f>+A51+1</f>
        <v>8</v>
      </c>
      <c r="B60" s="87"/>
      <c r="C60" s="90" t="s">
        <v>327</v>
      </c>
      <c r="D60" s="87"/>
      <c r="E60" s="84"/>
      <c r="F60" s="87" t="s">
        <v>116</v>
      </c>
      <c r="G60" s="217"/>
    </row>
    <row r="61" spans="1:9" ht="17.5">
      <c r="A61" s="88">
        <f>+A60+1</f>
        <v>9</v>
      </c>
      <c r="B61" s="87"/>
      <c r="C61" s="87" t="s">
        <v>323</v>
      </c>
      <c r="D61" s="87"/>
      <c r="E61" s="91">
        <f>SUM(F62)</f>
        <v>1279718.9949825592</v>
      </c>
      <c r="F61" s="219"/>
      <c r="G61" s="217"/>
    </row>
    <row r="62" spans="1:9" ht="17.5">
      <c r="A62" s="88"/>
      <c r="B62" s="87"/>
      <c r="C62" s="87"/>
      <c r="D62" s="87"/>
      <c r="E62" s="91"/>
      <c r="F62" s="665">
        <v>1279718.9949825592</v>
      </c>
      <c r="G62" s="666"/>
    </row>
    <row r="63" spans="1:9" ht="17.5">
      <c r="A63" s="88">
        <f>+A61+1</f>
        <v>10</v>
      </c>
      <c r="B63" s="87"/>
      <c r="C63" s="87" t="s">
        <v>316</v>
      </c>
      <c r="D63" s="87"/>
      <c r="E63" s="91">
        <f>SUM(F64)</f>
        <v>11760</v>
      </c>
      <c r="F63" s="84"/>
      <c r="G63" s="257"/>
    </row>
    <row r="64" spans="1:9" ht="17.5">
      <c r="A64" s="88"/>
      <c r="B64" s="87"/>
      <c r="C64" s="87"/>
      <c r="D64" s="87"/>
      <c r="E64" s="91"/>
      <c r="F64" s="665">
        <v>11760</v>
      </c>
      <c r="G64" s="666"/>
    </row>
    <row r="65" spans="1:7" ht="17.5">
      <c r="A65" s="88">
        <f>+A63+1</f>
        <v>11</v>
      </c>
      <c r="B65" s="87"/>
      <c r="C65" s="87" t="s">
        <v>317</v>
      </c>
      <c r="D65" s="87"/>
      <c r="E65" s="91">
        <f>SUM(F66:F70)</f>
        <v>4252.8794941701399</v>
      </c>
      <c r="F65" s="84"/>
      <c r="G65" s="217"/>
    </row>
    <row r="66" spans="1:7" ht="17.5">
      <c r="A66" s="88"/>
      <c r="B66" s="87"/>
      <c r="C66" s="87"/>
      <c r="D66" s="87"/>
      <c r="E66" s="91"/>
      <c r="F66" s="665">
        <v>4252.8794941701399</v>
      </c>
      <c r="G66" s="666"/>
    </row>
    <row r="67" spans="1:7" ht="17.5">
      <c r="A67" s="88"/>
      <c r="B67" s="87"/>
      <c r="C67" s="87"/>
      <c r="D67" s="87"/>
      <c r="E67" s="91"/>
      <c r="F67" s="665"/>
      <c r="G67" s="666"/>
    </row>
    <row r="68" spans="1:7" ht="17.5">
      <c r="A68" s="88"/>
      <c r="B68" s="87"/>
      <c r="C68" s="87"/>
      <c r="D68" s="87"/>
      <c r="E68" s="91"/>
      <c r="F68" s="665"/>
      <c r="G68" s="666"/>
    </row>
    <row r="69" spans="1:7" ht="17.5">
      <c r="A69" s="86"/>
      <c r="D69" s="87"/>
      <c r="E69" s="84"/>
      <c r="F69" s="665"/>
      <c r="G69" s="666"/>
    </row>
    <row r="70" spans="1:7" ht="17.5">
      <c r="A70" s="86"/>
      <c r="D70" s="87"/>
      <c r="E70" s="84"/>
      <c r="F70" s="665"/>
      <c r="G70" s="666"/>
    </row>
    <row r="71" spans="1:7" ht="17.5">
      <c r="A71" s="88">
        <f>A65+1</f>
        <v>12</v>
      </c>
      <c r="B71" s="87"/>
      <c r="C71" s="90" t="s">
        <v>442</v>
      </c>
      <c r="D71" s="87"/>
      <c r="E71" s="91">
        <f>SUM(F72:F72)</f>
        <v>0</v>
      </c>
      <c r="F71" s="247"/>
      <c r="G71" s="248"/>
    </row>
    <row r="72" spans="1:7" ht="17.5">
      <c r="A72" s="88">
        <f>+A71+1</f>
        <v>13</v>
      </c>
      <c r="B72" s="87"/>
      <c r="C72" s="84" t="s">
        <v>443</v>
      </c>
      <c r="D72" s="189"/>
      <c r="E72" s="91"/>
      <c r="F72" s="665">
        <v>0</v>
      </c>
      <c r="G72" s="666"/>
    </row>
    <row r="73" spans="1:7" ht="17.5">
      <c r="A73" s="88"/>
      <c r="B73" s="87"/>
      <c r="C73" s="84"/>
      <c r="D73" s="87"/>
      <c r="E73" s="223"/>
      <c r="F73" s="247"/>
      <c r="G73" s="84"/>
    </row>
    <row r="74" spans="1:7" ht="17.5">
      <c r="A74" s="94">
        <f>+A72+1</f>
        <v>14</v>
      </c>
      <c r="B74" s="87"/>
      <c r="C74" s="90" t="s">
        <v>324</v>
      </c>
      <c r="D74" s="96"/>
      <c r="E74" s="84"/>
      <c r="F74" s="84"/>
      <c r="G74" s="84"/>
    </row>
    <row r="75" spans="1:7" ht="17.5">
      <c r="A75" s="94">
        <f>A74+1</f>
        <v>15</v>
      </c>
      <c r="B75" s="95"/>
      <c r="C75" s="84" t="s">
        <v>441</v>
      </c>
      <c r="D75" s="96"/>
      <c r="E75" s="91">
        <f>SUM(F76:F77)</f>
        <v>7380000</v>
      </c>
      <c r="F75" s="84"/>
      <c r="G75" s="84"/>
    </row>
    <row r="76" spans="1:7" ht="17.5">
      <c r="A76" s="94"/>
      <c r="B76" s="95"/>
      <c r="C76" s="84"/>
      <c r="E76" s="223"/>
      <c r="F76" s="665">
        <v>7380000</v>
      </c>
      <c r="G76" s="666"/>
    </row>
    <row r="77" spans="1:7" ht="17.5">
      <c r="A77" s="94"/>
      <c r="B77" s="95"/>
      <c r="C77" s="84"/>
      <c r="E77" s="223"/>
      <c r="F77" s="665"/>
      <c r="G77" s="666"/>
    </row>
    <row r="78" spans="1:7" ht="17.5">
      <c r="A78" s="94"/>
      <c r="B78" s="95"/>
      <c r="C78" s="84"/>
      <c r="E78" s="223"/>
      <c r="F78" s="665"/>
      <c r="G78" s="666"/>
    </row>
    <row r="79" spans="1:7" ht="17.5">
      <c r="A79" s="88">
        <f>A75+1</f>
        <v>16</v>
      </c>
      <c r="B79" s="95"/>
      <c r="C79" s="84" t="s">
        <v>318</v>
      </c>
      <c r="D79" s="87"/>
      <c r="E79" s="91">
        <f>SUM(F80:F81)</f>
        <v>0</v>
      </c>
      <c r="F79" s="84"/>
      <c r="G79" s="84"/>
    </row>
    <row r="80" spans="1:7" ht="17.5">
      <c r="A80" s="88"/>
      <c r="B80" s="95"/>
      <c r="C80" s="84"/>
      <c r="D80" s="87"/>
      <c r="E80" s="91"/>
      <c r="F80" s="665">
        <v>0</v>
      </c>
      <c r="G80" s="666"/>
    </row>
    <row r="81" spans="1:7" ht="17.5">
      <c r="A81" s="88"/>
      <c r="B81" s="95"/>
      <c r="C81" s="84"/>
      <c r="D81" s="87"/>
      <c r="E81" s="91"/>
      <c r="F81" s="665"/>
      <c r="G81" s="666"/>
    </row>
    <row r="82" spans="1:7" ht="17.5">
      <c r="A82" s="88"/>
      <c r="B82" s="95"/>
      <c r="C82" s="84"/>
      <c r="D82" s="87"/>
      <c r="E82" s="91"/>
      <c r="F82" s="665"/>
      <c r="G82" s="666"/>
    </row>
    <row r="83" spans="1:7" ht="17.5">
      <c r="A83" s="88">
        <f>+A79+1</f>
        <v>17</v>
      </c>
      <c r="B83" s="87"/>
      <c r="C83" s="84" t="s">
        <v>319</v>
      </c>
      <c r="D83"/>
      <c r="E83" s="91">
        <f>SUM(F84:F91)</f>
        <v>0</v>
      </c>
    </row>
    <row r="84" spans="1:7" ht="17.5">
      <c r="A84" s="88"/>
      <c r="B84" s="87"/>
      <c r="C84" s="84"/>
      <c r="D84"/>
      <c r="E84" s="91"/>
      <c r="F84" s="665">
        <v>0</v>
      </c>
      <c r="G84" s="666"/>
    </row>
    <row r="85" spans="1:7" ht="17.5">
      <c r="A85" s="88"/>
      <c r="B85" s="87"/>
      <c r="C85" s="84"/>
      <c r="D85"/>
      <c r="E85" s="91"/>
      <c r="F85" s="665"/>
      <c r="G85" s="666"/>
    </row>
    <row r="86" spans="1:7" ht="17.5">
      <c r="A86" s="88"/>
      <c r="B86" s="87"/>
      <c r="C86" s="84"/>
      <c r="D86"/>
      <c r="E86" s="91"/>
      <c r="F86" s="665"/>
      <c r="G86" s="666"/>
    </row>
    <row r="87" spans="1:7" ht="17.5">
      <c r="A87" s="88"/>
      <c r="B87" s="87"/>
      <c r="C87" s="84"/>
      <c r="D87"/>
      <c r="E87" s="91"/>
      <c r="F87" s="665"/>
      <c r="G87" s="666"/>
    </row>
    <row r="88" spans="1:7" ht="17.5">
      <c r="A88" s="88"/>
      <c r="B88" s="87"/>
      <c r="C88" s="84"/>
      <c r="D88"/>
      <c r="E88" s="91"/>
      <c r="F88" s="665"/>
      <c r="G88" s="666"/>
    </row>
    <row r="89" spans="1:7" ht="17.5">
      <c r="A89" s="88"/>
      <c r="B89" s="87"/>
      <c r="C89" s="84"/>
      <c r="D89"/>
      <c r="E89" s="91"/>
      <c r="F89" s="665"/>
      <c r="G89" s="666"/>
    </row>
    <row r="90" spans="1:7" ht="17.5">
      <c r="A90" s="88"/>
      <c r="B90" s="87"/>
      <c r="C90" s="84"/>
      <c r="D90"/>
      <c r="E90" s="91"/>
      <c r="F90" s="665"/>
      <c r="G90" s="666"/>
    </row>
    <row r="91" spans="1:7" ht="17.5">
      <c r="A91" s="88"/>
      <c r="B91" s="87"/>
      <c r="C91" s="84"/>
      <c r="D91"/>
      <c r="E91" s="91"/>
      <c r="F91" s="665"/>
      <c r="G91" s="666"/>
    </row>
    <row r="92" spans="1:7" ht="17.5">
      <c r="A92" s="88"/>
      <c r="B92" s="87"/>
      <c r="C92" s="84"/>
      <c r="D92"/>
      <c r="E92" s="91"/>
      <c r="F92" s="84"/>
      <c r="G92" s="84"/>
    </row>
    <row r="93" spans="1:7" ht="17.5">
      <c r="A93" s="88">
        <f>+A83+1</f>
        <v>18</v>
      </c>
      <c r="B93" s="87"/>
      <c r="C93" s="84" t="s">
        <v>320</v>
      </c>
      <c r="D93"/>
      <c r="E93" s="91">
        <f>SUM(F94:F99)</f>
        <v>0</v>
      </c>
      <c r="F93" s="84"/>
      <c r="G93" s="84"/>
    </row>
    <row r="94" spans="1:7" ht="17.5">
      <c r="A94" s="88"/>
      <c r="B94" s="87"/>
      <c r="C94" s="84"/>
      <c r="D94"/>
      <c r="E94" s="91"/>
      <c r="F94" s="665">
        <v>0</v>
      </c>
      <c r="G94" s="666"/>
    </row>
    <row r="95" spans="1:7" ht="17.5">
      <c r="A95" s="88"/>
      <c r="B95" s="87"/>
      <c r="C95" s="84"/>
      <c r="D95"/>
      <c r="E95" s="91"/>
      <c r="F95" s="665"/>
      <c r="G95" s="666"/>
    </row>
    <row r="96" spans="1:7" ht="17.5">
      <c r="A96" s="88"/>
      <c r="B96" s="87"/>
      <c r="C96" s="84"/>
      <c r="D96"/>
      <c r="E96" s="91"/>
      <c r="F96" s="665"/>
      <c r="G96" s="666"/>
    </row>
    <row r="97" spans="1:7" ht="17.5">
      <c r="A97" s="88"/>
      <c r="B97" s="87"/>
      <c r="C97" s="84"/>
      <c r="D97"/>
      <c r="E97" s="91"/>
      <c r="F97" s="665"/>
      <c r="G97" s="666"/>
    </row>
    <row r="98" spans="1:7" ht="17.5">
      <c r="A98" s="88"/>
      <c r="B98" s="87"/>
      <c r="C98" s="84"/>
      <c r="D98"/>
      <c r="E98" s="91"/>
      <c r="F98" s="665"/>
      <c r="G98" s="666"/>
    </row>
    <row r="99" spans="1:7" ht="17.5">
      <c r="A99" s="88"/>
      <c r="B99" s="87"/>
      <c r="C99" s="84"/>
      <c r="D99"/>
      <c r="E99" s="91"/>
      <c r="F99" s="665"/>
      <c r="G99" s="666"/>
    </row>
    <row r="100" spans="1:7" ht="17.5">
      <c r="A100" s="88">
        <f>+A93+1</f>
        <v>19</v>
      </c>
      <c r="B100" s="87"/>
      <c r="C100" s="84" t="s">
        <v>321</v>
      </c>
      <c r="D100" s="87"/>
      <c r="E100" s="91">
        <f>SUM(F101:F102)</f>
        <v>0</v>
      </c>
      <c r="F100" s="84"/>
      <c r="G100" s="248"/>
    </row>
    <row r="101" spans="1:7" ht="17.5">
      <c r="A101" s="88"/>
      <c r="B101" s="87"/>
      <c r="C101" s="84"/>
      <c r="D101" s="87"/>
      <c r="E101" s="91"/>
      <c r="F101" s="665">
        <v>0</v>
      </c>
      <c r="G101" s="666"/>
    </row>
    <row r="102" spans="1:7" ht="17.5">
      <c r="A102" s="88"/>
      <c r="B102" s="87"/>
      <c r="C102" s="84"/>
      <c r="D102" s="87"/>
      <c r="E102" s="223"/>
      <c r="F102" s="665"/>
      <c r="G102" s="666"/>
    </row>
    <row r="103" spans="1:7" ht="17.5">
      <c r="A103" s="88">
        <f>+A100+1</f>
        <v>20</v>
      </c>
      <c r="B103" s="87"/>
      <c r="C103" s="84" t="s">
        <v>322</v>
      </c>
      <c r="E103" s="91">
        <f>SUM(F104:F106)</f>
        <v>42000</v>
      </c>
      <c r="G103" s="84"/>
    </row>
    <row r="104" spans="1:7" ht="17.5">
      <c r="A104" s="88"/>
      <c r="B104" s="87"/>
      <c r="C104" s="84"/>
      <c r="D104" s="87"/>
      <c r="E104" s="91"/>
      <c r="F104" s="665">
        <v>42000</v>
      </c>
      <c r="G104" s="666"/>
    </row>
    <row r="105" spans="1:7" ht="17.5">
      <c r="A105" s="88"/>
      <c r="B105" s="87"/>
      <c r="C105" s="84"/>
      <c r="D105" s="87"/>
      <c r="E105" s="91"/>
      <c r="F105" s="665"/>
      <c r="G105" s="666"/>
    </row>
    <row r="106" spans="1:7" ht="17.5">
      <c r="A106" s="88"/>
      <c r="B106" s="87"/>
      <c r="C106" s="84"/>
      <c r="D106" s="87"/>
      <c r="E106" s="91"/>
      <c r="F106" s="84"/>
      <c r="G106" s="84"/>
    </row>
    <row r="107" spans="1:7" ht="17.5">
      <c r="A107" s="88">
        <f>+A103+1</f>
        <v>21</v>
      </c>
      <c r="B107" s="87"/>
      <c r="C107" s="84" t="s">
        <v>310</v>
      </c>
      <c r="D107" s="84"/>
      <c r="E107" s="91">
        <f>SUM(F108:F109)</f>
        <v>0</v>
      </c>
      <c r="F107" s="84"/>
      <c r="G107" s="84"/>
    </row>
    <row r="108" spans="1:7" ht="17.5">
      <c r="A108" s="88"/>
      <c r="B108" s="87"/>
      <c r="C108" s="84"/>
      <c r="D108" s="84"/>
      <c r="E108" s="91"/>
      <c r="F108" s="665">
        <v>0</v>
      </c>
      <c r="G108" s="666"/>
    </row>
    <row r="109" spans="1:7" ht="17.5">
      <c r="A109" s="88"/>
      <c r="B109" s="87"/>
      <c r="C109" s="84"/>
      <c r="D109" s="84"/>
      <c r="E109" s="91"/>
      <c r="F109" s="665"/>
      <c r="G109" s="666"/>
    </row>
    <row r="110" spans="1:7" ht="17.5">
      <c r="A110" s="88">
        <f>+A107+1</f>
        <v>22</v>
      </c>
      <c r="B110" s="84"/>
      <c r="C110" s="106" t="s">
        <v>108</v>
      </c>
      <c r="D110" s="84"/>
      <c r="E110" s="91">
        <f>SUM(F111:F111)</f>
        <v>0</v>
      </c>
      <c r="F110" s="218"/>
      <c r="G110" s="84"/>
    </row>
    <row r="111" spans="1:7" ht="17.5">
      <c r="A111" s="88"/>
      <c r="B111" s="84"/>
      <c r="C111" s="106"/>
      <c r="D111" s="84"/>
      <c r="E111" s="91"/>
      <c r="F111" s="665">
        <v>0</v>
      </c>
      <c r="G111" s="666"/>
    </row>
    <row r="112" spans="1:7" ht="16.5">
      <c r="A112" s="4"/>
      <c r="B112" s="84"/>
      <c r="C112" s="207"/>
      <c r="D112"/>
      <c r="E112"/>
      <c r="F112" s="206"/>
      <c r="G112" s="1"/>
    </row>
    <row r="113" spans="1:7" ht="18" thickBot="1">
      <c r="A113" s="200">
        <f>+A110+1</f>
        <v>23</v>
      </c>
      <c r="B113" s="207"/>
      <c r="C113" s="84" t="s">
        <v>313</v>
      </c>
      <c r="D113"/>
      <c r="E113" s="105">
        <f>E15+E25+E61+E63+E65+E75+E79+E103+E83+E107+E110+E100+E93+E71</f>
        <v>32463506.87447663</v>
      </c>
      <c r="F113" s="105">
        <f>SUM(F15:F111)</f>
        <v>32463506.87447663</v>
      </c>
      <c r="G113" s="84"/>
    </row>
    <row r="114" spans="1:7" ht="17" thickTop="1">
      <c r="A114" s="4"/>
      <c r="B114" s="207"/>
      <c r="C114" s="84" t="s">
        <v>383</v>
      </c>
      <c r="D114"/>
      <c r="E114"/>
      <c r="F114" s="218"/>
      <c r="G114" s="84"/>
    </row>
    <row r="115" spans="1:7" ht="20">
      <c r="A115" s="4"/>
      <c r="B115" s="207"/>
      <c r="C115" s="84"/>
      <c r="D115"/>
      <c r="E115" s="233"/>
      <c r="F115" s="130" t="s">
        <v>116</v>
      </c>
      <c r="G115" s="84"/>
    </row>
    <row r="116" spans="1:7" ht="20.25" customHeight="1">
      <c r="A116" s="1215" t="s">
        <v>767</v>
      </c>
      <c r="B116" s="1215"/>
      <c r="C116" s="1215"/>
      <c r="D116" s="1215"/>
      <c r="E116" s="1215"/>
      <c r="F116" s="1215"/>
      <c r="G116" s="1215"/>
    </row>
    <row r="117" spans="1:7" ht="20.25" customHeight="1">
      <c r="A117" s="1215"/>
      <c r="B117" s="1215"/>
      <c r="C117" s="1215"/>
      <c r="D117" s="1215"/>
      <c r="E117" s="1215"/>
      <c r="F117" s="1215"/>
      <c r="G117" s="1215"/>
    </row>
    <row r="118" spans="1:7" ht="20.25" customHeight="1">
      <c r="A118" s="1215"/>
      <c r="B118" s="1215"/>
      <c r="C118" s="1215"/>
      <c r="D118" s="1215"/>
      <c r="E118" s="1215"/>
      <c r="F118" s="1215"/>
      <c r="G118" s="1215"/>
    </row>
    <row r="119" spans="1:7" ht="20.25" customHeight="1">
      <c r="A119" s="1215"/>
      <c r="B119" s="1215"/>
      <c r="C119" s="1215"/>
      <c r="D119" s="1215"/>
      <c r="E119" s="1215"/>
      <c r="F119" s="1215"/>
      <c r="G119" s="1215"/>
    </row>
    <row r="120" spans="1:7" ht="20.25" customHeight="1">
      <c r="A120" s="1215"/>
      <c r="B120" s="1215"/>
      <c r="C120" s="1215"/>
      <c r="D120" s="1215"/>
      <c r="E120" s="1215"/>
      <c r="F120" s="1215"/>
      <c r="G120" s="1215"/>
    </row>
    <row r="121" spans="1:7" ht="20.25" customHeight="1">
      <c r="A121" s="888"/>
      <c r="B121" s="888"/>
      <c r="C121" s="888"/>
      <c r="D121" s="888"/>
      <c r="E121" s="888"/>
      <c r="F121" s="888"/>
      <c r="G121" s="888"/>
    </row>
    <row r="122" spans="1:7" ht="30.75" customHeight="1">
      <c r="A122" s="1214" t="s">
        <v>871</v>
      </c>
      <c r="B122" s="1214"/>
      <c r="C122" s="1214"/>
      <c r="D122" s="1214"/>
      <c r="E122" s="1214"/>
      <c r="F122" s="1214"/>
      <c r="G122" s="1214"/>
    </row>
    <row r="123" spans="1:7" ht="30.75" customHeight="1">
      <c r="A123" s="1214"/>
      <c r="B123" s="1214"/>
      <c r="C123" s="1214"/>
      <c r="D123" s="1214"/>
      <c r="E123" s="1214"/>
      <c r="F123" s="1214"/>
      <c r="G123" s="1214"/>
    </row>
    <row r="124" spans="1:7" ht="16.5">
      <c r="F124" s="84"/>
      <c r="G124" s="84"/>
    </row>
    <row r="125" spans="1:7" ht="16.5">
      <c r="F125" s="218"/>
      <c r="G125" s="84"/>
    </row>
    <row r="126" spans="1:7" ht="16.5">
      <c r="F126" s="218"/>
      <c r="G126" s="84"/>
    </row>
    <row r="127" spans="1:7" ht="16.5">
      <c r="F127" s="218"/>
      <c r="G127" s="84"/>
    </row>
    <row r="128" spans="1:7" ht="16.5">
      <c r="F128" s="84"/>
    </row>
    <row r="129" spans="6:7" ht="16.5">
      <c r="F129" s="84"/>
    </row>
    <row r="130" spans="6:7" ht="16.5">
      <c r="F130" s="84"/>
    </row>
    <row r="131" spans="6:7" ht="16.5">
      <c r="F131" s="84"/>
    </row>
    <row r="132" spans="6:7" ht="16.5">
      <c r="F132" s="91"/>
    </row>
    <row r="142" spans="6:7">
      <c r="G142" s="86">
        <v>13984000</v>
      </c>
    </row>
  </sheetData>
  <mergeCells count="7">
    <mergeCell ref="A122:G123"/>
    <mergeCell ref="A116:G120"/>
    <mergeCell ref="A7:F7"/>
    <mergeCell ref="A3:F3"/>
    <mergeCell ref="A4:F4"/>
    <mergeCell ref="A5:F5"/>
    <mergeCell ref="A6:F6"/>
  </mergeCells>
  <phoneticPr fontId="71"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C58"/>
  <sheetViews>
    <sheetView view="pageBreakPreview" zoomScale="60" zoomScaleNormal="100" workbookViewId="0">
      <selection activeCell="A3" sqref="A3:J3"/>
    </sheetView>
  </sheetViews>
  <sheetFormatPr defaultRowHeight="12.5"/>
  <cols>
    <col min="1" max="1" width="4.7265625" customWidth="1"/>
    <col min="3" max="3" width="13.81640625" customWidth="1"/>
    <col min="4" max="4" width="18.81640625" customWidth="1"/>
    <col min="5" max="5" width="13.1796875" customWidth="1"/>
    <col min="6" max="6" width="12.54296875" customWidth="1"/>
    <col min="7" max="7" width="19.453125" customWidth="1"/>
    <col min="8" max="8" width="19.26953125" customWidth="1"/>
    <col min="9" max="9" width="18.7265625" customWidth="1"/>
    <col min="10" max="10" width="1.453125" customWidth="1"/>
    <col min="12" max="12" width="15" bestFit="1" customWidth="1"/>
  </cols>
  <sheetData>
    <row r="1" spans="1:29" ht="15.5">
      <c r="A1" s="694" t="s">
        <v>116</v>
      </c>
    </row>
    <row r="2" spans="1:29" ht="15.5">
      <c r="A2" s="694" t="s">
        <v>116</v>
      </c>
    </row>
    <row r="3" spans="1:29" ht="18">
      <c r="A3" s="1217" t="s">
        <v>389</v>
      </c>
      <c r="B3" s="1217"/>
      <c r="C3" s="1217"/>
      <c r="D3" s="1217"/>
      <c r="E3" s="1217"/>
      <c r="F3" s="1217"/>
      <c r="G3" s="1217"/>
      <c r="H3" s="1217"/>
      <c r="I3" s="1217"/>
      <c r="J3" s="1217"/>
      <c r="K3" s="123"/>
      <c r="L3" s="123"/>
      <c r="M3" s="123"/>
    </row>
    <row r="4" spans="1:29" ht="18">
      <c r="A4" s="1216" t="str">
        <f>"Cost of Service Formula Rate Using "&amp;TCOS!L4&amp;" FF1 Balances"</f>
        <v>Cost of Service Formula Rate Using 2024 FF1 Balances</v>
      </c>
      <c r="B4" s="1216"/>
      <c r="C4" s="1216"/>
      <c r="D4" s="1216"/>
      <c r="E4" s="1216"/>
      <c r="F4" s="1216"/>
      <c r="G4" s="1216"/>
      <c r="H4" s="1216"/>
      <c r="I4" s="1216"/>
      <c r="J4" s="1216"/>
      <c r="K4" s="75"/>
      <c r="L4" s="75"/>
      <c r="M4" s="75"/>
    </row>
    <row r="5" spans="1:29" ht="18">
      <c r="A5" s="1216" t="s">
        <v>548</v>
      </c>
      <c r="B5" s="1216"/>
      <c r="C5" s="1216"/>
      <c r="D5" s="1216"/>
      <c r="E5" s="1216"/>
      <c r="F5" s="1216"/>
      <c r="G5" s="1216"/>
      <c r="H5" s="1216"/>
      <c r="I5" s="1216"/>
      <c r="J5" s="1216"/>
      <c r="K5" s="124"/>
      <c r="L5" s="124"/>
      <c r="M5" s="124"/>
    </row>
    <row r="6" spans="1:29" ht="18">
      <c r="A6" s="1210" t="str">
        <f>+TCOS!F9</f>
        <v>KENTUCKY POWER COMPANY</v>
      </c>
      <c r="B6" s="1210"/>
      <c r="C6" s="1210"/>
      <c r="D6" s="1210"/>
      <c r="E6" s="1210"/>
      <c r="F6" s="1210"/>
      <c r="G6" s="1210"/>
      <c r="H6" s="1210"/>
      <c r="I6" s="1210"/>
      <c r="J6" s="1210"/>
      <c r="K6" s="131"/>
      <c r="L6" s="131"/>
      <c r="M6" s="131"/>
    </row>
    <row r="8" spans="1:29" ht="18">
      <c r="A8" s="137"/>
      <c r="B8" s="13"/>
      <c r="D8" s="79"/>
      <c r="E8" s="4"/>
      <c r="F8" s="81"/>
    </row>
    <row r="9" spans="1:29" ht="18">
      <c r="C9" s="4"/>
      <c r="D9" s="79"/>
      <c r="E9" s="4"/>
      <c r="F9" s="81"/>
      <c r="Q9" s="123"/>
      <c r="R9" s="123"/>
      <c r="S9" s="123"/>
      <c r="T9" s="123"/>
      <c r="U9" s="123"/>
      <c r="V9" s="123"/>
      <c r="W9" s="123"/>
      <c r="X9" s="123"/>
      <c r="Y9" s="123"/>
      <c r="Z9" s="123"/>
      <c r="AA9" s="123"/>
      <c r="AB9" s="123"/>
      <c r="AC9" s="123"/>
    </row>
    <row r="10" spans="1:29">
      <c r="C10" s="4"/>
      <c r="D10" s="79"/>
    </row>
    <row r="11" spans="1:29">
      <c r="C11" s="4"/>
      <c r="D11" s="79"/>
    </row>
    <row r="12" spans="1:29">
      <c r="C12" s="4"/>
      <c r="D12" s="79"/>
      <c r="H12" s="80"/>
    </row>
    <row r="13" spans="1:29">
      <c r="C13" s="4"/>
      <c r="D13" s="79"/>
      <c r="H13" s="80"/>
    </row>
    <row r="14" spans="1:29">
      <c r="C14" s="4"/>
      <c r="D14" s="79"/>
      <c r="E14" s="4"/>
      <c r="H14" s="80"/>
    </row>
    <row r="15" spans="1:29">
      <c r="C15" s="4"/>
      <c r="D15" s="79"/>
      <c r="E15" s="4"/>
      <c r="H15" s="81"/>
    </row>
    <row r="16" spans="1:29">
      <c r="C16" s="4"/>
      <c r="D16" s="79"/>
      <c r="E16" s="4"/>
      <c r="H16" s="132"/>
    </row>
    <row r="18" spans="1:12" ht="18">
      <c r="A18" s="137"/>
      <c r="B18" s="13"/>
    </row>
    <row r="20" spans="1:12" ht="13">
      <c r="A20" s="12"/>
      <c r="B20" s="12"/>
      <c r="C20" s="133"/>
      <c r="E20" s="133"/>
      <c r="F20" s="133"/>
      <c r="G20" s="133"/>
      <c r="H20" s="133"/>
      <c r="I20" s="133"/>
      <c r="J20" s="134"/>
    </row>
    <row r="22" spans="1:12">
      <c r="E22" s="135"/>
      <c r="F22" s="136"/>
      <c r="G22" s="136"/>
      <c r="I22" s="136"/>
      <c r="L22" s="249"/>
    </row>
    <row r="23" spans="1:12">
      <c r="E23" s="82"/>
      <c r="F23" s="136"/>
      <c r="G23" s="136"/>
      <c r="I23" s="136"/>
      <c r="L23" s="249"/>
    </row>
    <row r="24" spans="1:12">
      <c r="E24" s="82"/>
      <c r="F24" s="136"/>
      <c r="G24" s="136"/>
      <c r="I24" s="136"/>
      <c r="L24" s="249"/>
    </row>
    <row r="25" spans="1:12">
      <c r="E25" s="82"/>
      <c r="F25" s="136"/>
      <c r="G25" s="136"/>
      <c r="I25" s="136"/>
      <c r="L25" s="249"/>
    </row>
    <row r="26" spans="1:12">
      <c r="E26" s="82"/>
      <c r="F26" s="136"/>
      <c r="G26" s="136"/>
      <c r="I26" s="136"/>
      <c r="L26" s="249"/>
    </row>
    <row r="27" spans="1:12">
      <c r="E27" s="82"/>
      <c r="F27" s="136"/>
      <c r="G27" s="136"/>
      <c r="I27" s="136"/>
      <c r="L27" s="249"/>
    </row>
    <row r="28" spans="1:12">
      <c r="E28" s="82"/>
      <c r="F28" s="136"/>
      <c r="G28" s="136"/>
      <c r="I28" s="136"/>
      <c r="L28" s="249"/>
    </row>
    <row r="29" spans="1:12">
      <c r="E29" s="82"/>
      <c r="F29" s="136"/>
      <c r="G29" s="136"/>
      <c r="I29" s="136"/>
      <c r="L29" s="249"/>
    </row>
    <row r="30" spans="1:12">
      <c r="E30" s="82"/>
      <c r="F30" s="136"/>
      <c r="G30" s="136"/>
      <c r="I30" s="136"/>
      <c r="L30" s="249"/>
    </row>
    <row r="31" spans="1:12">
      <c r="E31" s="82"/>
      <c r="F31" s="136"/>
      <c r="G31" s="136"/>
      <c r="I31" s="136"/>
      <c r="L31" s="249"/>
    </row>
    <row r="32" spans="1:12">
      <c r="E32" s="82"/>
      <c r="F32" s="136"/>
      <c r="G32" s="136"/>
      <c r="I32" s="136"/>
      <c r="L32" s="249"/>
    </row>
    <row r="33" spans="1:12">
      <c r="E33" s="82"/>
      <c r="F33" s="136"/>
      <c r="G33" s="136"/>
      <c r="I33" s="136"/>
      <c r="L33" s="249"/>
    </row>
    <row r="35" spans="1:12">
      <c r="H35" s="77"/>
      <c r="I35" s="254"/>
    </row>
    <row r="37" spans="1:12" ht="18">
      <c r="A37" s="137"/>
      <c r="B37" s="13"/>
    </row>
    <row r="44" spans="1:12" ht="18">
      <c r="A44" s="137"/>
      <c r="B44" s="145"/>
      <c r="C44" s="138"/>
      <c r="E44" s="138"/>
      <c r="F44" s="138"/>
      <c r="G44" s="138"/>
      <c r="H44" s="138"/>
      <c r="I44" s="79"/>
    </row>
    <row r="45" spans="1:12" ht="13">
      <c r="B45" s="139"/>
      <c r="C45" s="138"/>
      <c r="E45" s="138"/>
      <c r="F45" s="138"/>
      <c r="G45" s="138"/>
      <c r="H45" s="138"/>
      <c r="I45" s="79"/>
    </row>
    <row r="46" spans="1:12" ht="13">
      <c r="B46" s="144"/>
      <c r="C46" s="138"/>
      <c r="E46" s="138"/>
      <c r="F46" s="138"/>
      <c r="G46" s="146"/>
      <c r="H46" s="146"/>
    </row>
    <row r="47" spans="1:12" ht="13">
      <c r="B47" s="144"/>
      <c r="C47" s="140"/>
      <c r="E47" s="140"/>
      <c r="F47" s="140"/>
      <c r="G47" s="140"/>
    </row>
    <row r="48" spans="1:12">
      <c r="B48" s="142"/>
      <c r="F48" s="77"/>
      <c r="G48" s="175"/>
      <c r="H48" s="1"/>
      <c r="I48" s="143"/>
      <c r="J48" s="147"/>
    </row>
    <row r="49" spans="2:10">
      <c r="B49" s="142"/>
      <c r="F49" s="77"/>
      <c r="G49" s="141"/>
      <c r="H49" s="1"/>
      <c r="I49" s="143"/>
      <c r="J49" s="147"/>
    </row>
    <row r="50" spans="2:10" ht="13">
      <c r="B50" s="144"/>
      <c r="G50" s="141"/>
      <c r="H50" s="1"/>
      <c r="I50" s="143"/>
      <c r="J50" s="147"/>
    </row>
    <row r="51" spans="2:10">
      <c r="C51" s="138"/>
      <c r="D51" s="138"/>
      <c r="E51" s="138"/>
      <c r="F51" s="138"/>
      <c r="G51" s="175"/>
      <c r="H51" s="147"/>
      <c r="J51" s="147"/>
    </row>
    <row r="52" spans="2:10">
      <c r="F52" s="77"/>
      <c r="G52" s="175"/>
      <c r="J52" s="148"/>
    </row>
    <row r="55" spans="2:10">
      <c r="D55" s="148"/>
    </row>
    <row r="56" spans="2:10">
      <c r="D56" s="148"/>
      <c r="H56" s="79"/>
    </row>
    <row r="57" spans="2:10">
      <c r="D57" s="148"/>
      <c r="H57" s="138"/>
    </row>
    <row r="58" spans="2:10">
      <c r="D58" s="148"/>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170"/>
  <sheetViews>
    <sheetView view="pageBreakPreview" topLeftCell="A70" zoomScale="85" zoomScaleNormal="100" zoomScaleSheetLayoutView="85" workbookViewId="0">
      <selection activeCell="L142" sqref="L142"/>
    </sheetView>
  </sheetViews>
  <sheetFormatPr defaultColWidth="8.81640625" defaultRowHeight="12.5"/>
  <cols>
    <col min="1" max="1" width="4.7265625" customWidth="1"/>
    <col min="2" max="2" width="6.7265625" customWidth="1"/>
    <col min="3" max="3" width="42" customWidth="1"/>
    <col min="4" max="4" width="17.7265625" style="1" customWidth="1"/>
    <col min="5" max="7" width="17.7265625" customWidth="1"/>
    <col min="8" max="8" width="17.7265625" style="430" customWidth="1"/>
    <col min="9" max="9" width="17.7265625" bestFit="1" customWidth="1"/>
    <col min="10" max="10" width="2.1796875" customWidth="1"/>
    <col min="11" max="11" width="20.7265625" customWidth="1"/>
    <col min="12" max="14" width="17.7265625" customWidth="1"/>
    <col min="15" max="15" width="16.7265625" customWidth="1"/>
    <col min="16" max="16" width="2.1796875" style="4" customWidth="1"/>
  </cols>
  <sheetData>
    <row r="1" spans="1:16" ht="15.5">
      <c r="A1" s="694" t="s">
        <v>116</v>
      </c>
    </row>
    <row r="2" spans="1:16" ht="15.5">
      <c r="A2" s="694" t="s">
        <v>116</v>
      </c>
    </row>
    <row r="3" spans="1:16" ht="15.5">
      <c r="A3" s="1176" t="s">
        <v>389</v>
      </c>
      <c r="B3" s="1176"/>
      <c r="C3" s="1176"/>
      <c r="D3" s="1176"/>
      <c r="E3" s="1176"/>
      <c r="F3" s="1176"/>
      <c r="G3" s="1176"/>
      <c r="H3" s="1176"/>
      <c r="I3" s="1176"/>
      <c r="J3" s="1176"/>
      <c r="K3" s="1176"/>
      <c r="L3" s="1176"/>
      <c r="M3" s="1176"/>
      <c r="N3" s="1176"/>
      <c r="O3" s="1176"/>
    </row>
    <row r="4" spans="1:16" ht="15.5">
      <c r="A4" s="1177" t="str">
        <f>"Cost of Service Formula Rate Using "&amp;TCOS!L4&amp;" FF1 Balances"</f>
        <v>Cost of Service Formula Rate Using 2024 FF1 Balances</v>
      </c>
      <c r="B4" s="1177"/>
      <c r="C4" s="1177"/>
      <c r="D4" s="1177"/>
      <c r="E4" s="1177"/>
      <c r="F4" s="1177"/>
      <c r="G4" s="1177"/>
      <c r="H4" s="1177"/>
      <c r="I4" s="1177"/>
      <c r="J4" s="1177"/>
      <c r="K4" s="1177"/>
      <c r="L4" s="1177"/>
      <c r="M4" s="1177"/>
      <c r="N4" s="1177"/>
      <c r="O4" s="1177"/>
    </row>
    <row r="5" spans="1:16" ht="15.5">
      <c r="A5" s="1177" t="s">
        <v>470</v>
      </c>
      <c r="B5" s="1177"/>
      <c r="C5" s="1177"/>
      <c r="D5" s="1177"/>
      <c r="E5" s="1177"/>
      <c r="F5" s="1177"/>
      <c r="G5" s="1177"/>
      <c r="H5" s="1177"/>
      <c r="I5" s="1177"/>
      <c r="J5" s="1177"/>
      <c r="K5" s="1177"/>
      <c r="L5" s="1177"/>
      <c r="M5" s="1177"/>
      <c r="N5" s="1177"/>
      <c r="O5" s="1177"/>
    </row>
    <row r="6" spans="1:16" ht="15.5">
      <c r="A6" s="1188" t="str">
        <f>TCOS!F9</f>
        <v>KENTUCKY POWER COMPANY</v>
      </c>
      <c r="B6" s="1188"/>
      <c r="C6" s="1188"/>
      <c r="D6" s="1188"/>
      <c r="E6" s="1188"/>
      <c r="F6" s="1188"/>
      <c r="G6" s="1188"/>
      <c r="H6" s="1188"/>
      <c r="I6" s="1188"/>
      <c r="J6" s="1188"/>
      <c r="K6" s="1188"/>
      <c r="L6" s="1188"/>
      <c r="M6" s="1188"/>
      <c r="N6" s="1188"/>
      <c r="O6" s="1188"/>
    </row>
    <row r="8" spans="1:16" ht="20">
      <c r="A8" s="431"/>
      <c r="N8" s="11" t="str">
        <f>"Page "&amp;P8&amp;" of "</f>
        <v xml:space="preserve">Page 1 of </v>
      </c>
      <c r="O8" s="432">
        <f>COUNT(P$8:P$57923)</f>
        <v>2</v>
      </c>
      <c r="P8" s="11">
        <v>1</v>
      </c>
    </row>
    <row r="9" spans="1:16" ht="18">
      <c r="C9" s="13"/>
    </row>
    <row r="11" spans="1:16" ht="17">
      <c r="B11" s="433" t="s">
        <v>173</v>
      </c>
      <c r="C11" s="1227" t="str">
        <f>"Calculate Return and Income Taxes with "&amp;F17&amp;" basis point ROE increase for Projects Qualified for Regional Billing."</f>
        <v>Calculate Return and Income Taxes with  basis point ROE increase for Projects Qualified for Regional Billing.</v>
      </c>
      <c r="D11" s="1228"/>
      <c r="E11" s="1228"/>
      <c r="F11" s="1228"/>
      <c r="G11" s="1228"/>
      <c r="H11" s="1228"/>
    </row>
    <row r="12" spans="1:16" ht="18.75" customHeight="1">
      <c r="C12" s="1228"/>
      <c r="D12" s="1228"/>
      <c r="E12" s="1228"/>
      <c r="F12" s="1228"/>
      <c r="G12" s="1228"/>
      <c r="H12" s="1228"/>
    </row>
    <row r="13" spans="1:16" ht="15.75" customHeight="1">
      <c r="C13" s="12"/>
      <c r="D13" s="12"/>
      <c r="E13" s="12"/>
      <c r="F13" s="12"/>
      <c r="G13" s="12"/>
      <c r="H13" s="12"/>
    </row>
    <row r="14" spans="1:16" ht="15.5">
      <c r="C14" s="434" t="str">
        <f>"A.   Determine 'R' with hypothetical "&amp;F17&amp;" basis point increase in ROE for Identified Projects"</f>
        <v>A.   Determine 'R' with hypothetical  basis point increase in ROE for Identified Projects</v>
      </c>
    </row>
    <row r="16" spans="1:16">
      <c r="C16" s="435" t="str">
        <f>"   ROE w/o incentives  (TCOS, ln "&amp;TCOS!B257&amp;")"</f>
        <v xml:space="preserve">   ROE w/o incentives  (TCOS, ln 156)</v>
      </c>
      <c r="E16" s="436"/>
      <c r="F16" s="437">
        <f>TCOS!J257</f>
        <v>0.10349999999999999</v>
      </c>
      <c r="G16" s="436"/>
      <c r="H16" s="438"/>
      <c r="I16" s="438"/>
      <c r="J16" s="438"/>
      <c r="K16" s="438"/>
      <c r="L16" s="438"/>
      <c r="M16" s="438"/>
      <c r="N16" s="438"/>
      <c r="O16" s="438"/>
      <c r="P16" s="438"/>
    </row>
    <row r="17" spans="3:16">
      <c r="C17" s="435" t="s">
        <v>254</v>
      </c>
      <c r="E17" s="436"/>
      <c r="F17" s="667"/>
      <c r="G17" s="436"/>
      <c r="H17" s="438"/>
      <c r="I17" s="438"/>
      <c r="J17" s="438"/>
    </row>
    <row r="18" spans="3:16" ht="13">
      <c r="C18" s="435" t="str">
        <f>"   ROE with additional "&amp;F17&amp;" basis point incentive"</f>
        <v xml:space="preserve">   ROE with additional  basis point incentive</v>
      </c>
      <c r="D18" s="436"/>
      <c r="E18" s="436"/>
      <c r="F18" s="439">
        <f>IF((F16+(F17/10000)&gt;0.1274),"ERROR",F16+(F17/10000))</f>
        <v>0.10349999999999999</v>
      </c>
      <c r="G18" s="440"/>
      <c r="H18" s="438"/>
      <c r="I18" s="438"/>
      <c r="J18" s="438"/>
    </row>
    <row r="19" spans="3:16">
      <c r="C19" s="435" t="str">
        <f>"   Determine R  ( cost of long term debt, cost of preferred stock and equity percentage is from the TCOS, lns "&amp;TCOS!B255&amp;" through"&amp;TCOS!B257&amp;")"</f>
        <v xml:space="preserve">   Determine R  ( cost of long term debt, cost of preferred stock and equity percentage is from the TCOS, lns 154 through156)</v>
      </c>
      <c r="E19" s="436"/>
      <c r="F19" s="441"/>
      <c r="G19" s="436"/>
      <c r="H19" s="438"/>
      <c r="I19" s="438"/>
      <c r="J19" s="438"/>
    </row>
    <row r="20" spans="3:16">
      <c r="C20" s="438"/>
      <c r="D20" s="442" t="s">
        <v>148</v>
      </c>
      <c r="E20" s="442" t="s">
        <v>147</v>
      </c>
      <c r="F20" s="443" t="s">
        <v>255</v>
      </c>
      <c r="G20" s="436"/>
      <c r="H20" s="438"/>
      <c r="I20" s="438"/>
      <c r="J20" s="438"/>
    </row>
    <row r="21" spans="3:16" ht="13" thickBot="1">
      <c r="C21" s="444" t="s">
        <v>259</v>
      </c>
      <c r="D21" s="445">
        <f>TCOS!H255</f>
        <v>0.57572171222088686</v>
      </c>
      <c r="E21" s="445">
        <f>TCOS!J255</f>
        <v>5.4907157126244735E-2</v>
      </c>
      <c r="F21" s="446">
        <f>E21*D21</f>
        <v>3.161124251390289E-2</v>
      </c>
      <c r="G21" s="436"/>
      <c r="H21" s="438"/>
      <c r="I21" s="447"/>
      <c r="J21" s="447"/>
      <c r="K21" s="207"/>
      <c r="L21" s="207"/>
      <c r="M21" s="207"/>
      <c r="N21" s="207"/>
      <c r="O21" s="207"/>
    </row>
    <row r="22" spans="3:16">
      <c r="C22" s="444" t="s">
        <v>260</v>
      </c>
      <c r="D22" s="445">
        <f>TCOS!H256</f>
        <v>0</v>
      </c>
      <c r="E22" s="445">
        <f>TCOS!J256</f>
        <v>0</v>
      </c>
      <c r="F22" s="446">
        <f>E22*D22</f>
        <v>0</v>
      </c>
      <c r="G22" s="448"/>
      <c r="H22" s="448"/>
      <c r="I22" s="449"/>
      <c r="J22" s="449"/>
      <c r="K22" s="1221" t="s">
        <v>453</v>
      </c>
      <c r="L22" s="1222"/>
      <c r="M22" s="1222"/>
      <c r="N22" s="1222"/>
      <c r="O22" s="1223"/>
      <c r="P22" s="449"/>
    </row>
    <row r="23" spans="3:16">
      <c r="C23" s="444" t="s">
        <v>246</v>
      </c>
      <c r="D23" s="445">
        <f>TCOS!H257</f>
        <v>0.42427828777911325</v>
      </c>
      <c r="E23" s="445">
        <f>+F18</f>
        <v>0.10349999999999999</v>
      </c>
      <c r="F23" s="450">
        <f>E23*D23</f>
        <v>4.3912802785138219E-2</v>
      </c>
      <c r="G23" s="448"/>
      <c r="H23" s="448"/>
      <c r="I23" s="449"/>
      <c r="J23" s="449"/>
      <c r="K23" s="1224"/>
      <c r="L23" s="1225"/>
      <c r="M23" s="1225"/>
      <c r="N23" s="1225"/>
      <c r="O23" s="1226"/>
      <c r="P23" s="449"/>
    </row>
    <row r="24" spans="3:16">
      <c r="C24" s="435"/>
      <c r="D24"/>
      <c r="E24" s="451" t="s">
        <v>262</v>
      </c>
      <c r="F24" s="446">
        <f>SUM(F21:F23)</f>
        <v>7.5524045299041109E-2</v>
      </c>
      <c r="G24" s="448"/>
      <c r="H24" s="448"/>
      <c r="I24" s="449"/>
      <c r="J24" s="449"/>
      <c r="K24" s="452"/>
      <c r="L24" s="453"/>
      <c r="M24" s="454" t="s">
        <v>256</v>
      </c>
      <c r="N24" s="454" t="s">
        <v>257</v>
      </c>
      <c r="O24" s="455" t="s">
        <v>258</v>
      </c>
      <c r="P24" s="449"/>
    </row>
    <row r="25" spans="3:16">
      <c r="C25" s="4"/>
      <c r="D25" s="456"/>
      <c r="E25" s="456"/>
      <c r="F25" s="448"/>
      <c r="G25" s="448"/>
      <c r="H25" s="448"/>
      <c r="I25" s="448"/>
      <c r="J25" s="448"/>
      <c r="K25" s="457"/>
      <c r="L25" s="207"/>
      <c r="M25" s="207"/>
      <c r="N25" s="207"/>
      <c r="O25" s="458"/>
      <c r="P25" s="448"/>
    </row>
    <row r="26" spans="3:16" ht="16" thickBot="1">
      <c r="C26" s="434" t="str">
        <f>"B.   Determine Return using 'R' with hypothetical "&amp;F17&amp;" basis point ROE increase for Identified Projects."</f>
        <v>B.   Determine Return using 'R' with hypothetical  basis point ROE increase for Identified Projects.</v>
      </c>
      <c r="D26" s="456"/>
      <c r="E26" s="456"/>
      <c r="F26" s="448"/>
      <c r="G26" s="448"/>
      <c r="H26" s="436"/>
      <c r="I26" s="448"/>
      <c r="J26" s="448"/>
      <c r="K26" s="459" t="s">
        <v>263</v>
      </c>
      <c r="L26" s="460">
        <f>TCOS!L4</f>
        <v>2024</v>
      </c>
      <c r="M26" s="668">
        <v>0</v>
      </c>
      <c r="N26" s="668">
        <v>0</v>
      </c>
      <c r="O26" s="461">
        <f>+N26-M26</f>
        <v>0</v>
      </c>
      <c r="P26" s="448"/>
    </row>
    <row r="27" spans="3:16">
      <c r="C27" s="438"/>
      <c r="D27" s="456"/>
      <c r="E27" s="456"/>
      <c r="F27" s="448"/>
      <c r="G27" s="448"/>
      <c r="H27" s="448"/>
      <c r="I27" s="448"/>
      <c r="J27" s="448"/>
      <c r="K27" s="462"/>
      <c r="L27" s="462"/>
      <c r="M27" s="462"/>
      <c r="N27" s="462"/>
      <c r="O27" s="462"/>
      <c r="P27" s="448"/>
    </row>
    <row r="28" spans="3:16">
      <c r="C28" s="463" t="str">
        <f>"   Rate Base  (TCOS, ln "&amp;TCOS!B125&amp;")"</f>
        <v xml:space="preserve">   Rate Base  (TCOS, ln 68)</v>
      </c>
      <c r="D28" s="436"/>
      <c r="F28" s="464">
        <f>TCOS!L125</f>
        <v>533975291.8200447</v>
      </c>
      <c r="G28" s="448"/>
      <c r="H28" s="448"/>
      <c r="I28" s="448"/>
      <c r="J28" s="448"/>
      <c r="K28" s="462"/>
      <c r="L28" s="462"/>
      <c r="M28" s="462"/>
      <c r="N28" s="462"/>
      <c r="O28" s="465"/>
      <c r="P28" s="448"/>
    </row>
    <row r="29" spans="3:16">
      <c r="C29" s="438" t="s">
        <v>476</v>
      </c>
      <c r="D29" s="466"/>
      <c r="F29" s="446">
        <f>F24</f>
        <v>7.5524045299041109E-2</v>
      </c>
      <c r="G29" s="448"/>
      <c r="H29" s="448"/>
      <c r="I29" s="448"/>
      <c r="J29" s="448"/>
      <c r="K29" s="448"/>
      <c r="L29" s="448"/>
      <c r="M29" s="448"/>
      <c r="N29" s="448"/>
      <c r="O29" s="448"/>
      <c r="P29" s="448"/>
    </row>
    <row r="30" spans="3:16">
      <c r="C30" s="467" t="s">
        <v>264</v>
      </c>
      <c r="D30" s="467"/>
      <c r="F30" s="449">
        <f>F28*F29</f>
        <v>40327974.127985753</v>
      </c>
      <c r="G30" s="448"/>
      <c r="H30" s="448"/>
      <c r="I30" s="449"/>
      <c r="J30" s="449"/>
      <c r="K30" s="449"/>
      <c r="L30" s="449"/>
      <c r="M30" s="449"/>
      <c r="N30" s="449"/>
      <c r="O30" s="448"/>
      <c r="P30" s="449"/>
    </row>
    <row r="31" spans="3:16">
      <c r="C31" s="467"/>
      <c r="D31" s="438"/>
      <c r="E31" s="438"/>
      <c r="F31" s="448"/>
      <c r="G31" s="448"/>
      <c r="H31" s="448"/>
      <c r="I31" s="449"/>
      <c r="J31" s="449"/>
      <c r="K31" s="449"/>
      <c r="L31" s="449"/>
      <c r="M31" s="449"/>
      <c r="N31" s="449"/>
      <c r="O31" s="448"/>
      <c r="P31" s="449"/>
    </row>
    <row r="32" spans="3:16" ht="15.5">
      <c r="C32" s="434" t="str">
        <f>"C.   Determine Income Taxes using Return with hypothetical "&amp;F17&amp;" basis point ROE increase for Identified Projects."</f>
        <v>C.   Determine Income Taxes using Return with hypothetical  basis point ROE increase for Identified Projects.</v>
      </c>
      <c r="D32" s="468"/>
      <c r="E32" s="468"/>
      <c r="F32" s="469"/>
      <c r="G32" s="469"/>
      <c r="H32" s="469"/>
      <c r="I32" s="470"/>
      <c r="J32" s="470"/>
      <c r="K32" s="470"/>
      <c r="L32" s="470"/>
      <c r="M32" s="470"/>
      <c r="N32" s="470"/>
      <c r="O32" s="469"/>
      <c r="P32" s="470"/>
    </row>
    <row r="33" spans="2:16">
      <c r="C33" s="435"/>
      <c r="D33" s="438"/>
      <c r="E33" s="438"/>
      <c r="F33" s="448"/>
      <c r="G33" s="448"/>
      <c r="H33" s="448"/>
      <c r="I33" s="449"/>
      <c r="J33" s="449"/>
      <c r="K33" s="449"/>
      <c r="L33" s="449"/>
      <c r="M33" s="449"/>
      <c r="N33" s="449"/>
      <c r="O33" s="448"/>
      <c r="P33" s="449"/>
    </row>
    <row r="34" spans="2:16">
      <c r="C34" s="438" t="s">
        <v>265</v>
      </c>
      <c r="D34" s="451"/>
      <c r="F34" s="471">
        <f>F30</f>
        <v>40327974.127985753</v>
      </c>
      <c r="G34" s="448"/>
      <c r="H34" s="448"/>
      <c r="I34" s="448"/>
      <c r="J34" s="448"/>
      <c r="K34" s="448"/>
      <c r="L34" s="448"/>
      <c r="M34" s="448"/>
      <c r="N34" s="448"/>
      <c r="O34" s="448"/>
      <c r="P34" s="448"/>
    </row>
    <row r="35" spans="2:16">
      <c r="C35" s="463" t="str">
        <f>"   Effective Tax Rate  (TCOS, ln "&amp;TCOS!B190&amp;")"</f>
        <v xml:space="preserve">   Effective Tax Rate  (TCOS, ln 114)</v>
      </c>
      <c r="D35" s="79"/>
      <c r="F35" s="81">
        <f>TCOS!G190</f>
        <v>0.19337885061456153</v>
      </c>
      <c r="G35" s="4"/>
      <c r="H35" s="472"/>
      <c r="I35" s="4"/>
      <c r="J35" s="4"/>
      <c r="K35" s="4"/>
      <c r="L35" s="4"/>
      <c r="M35" s="4"/>
      <c r="N35" s="4"/>
      <c r="O35" s="4"/>
    </row>
    <row r="36" spans="2:16">
      <c r="C36" s="467" t="s">
        <v>266</v>
      </c>
      <c r="D36" s="79"/>
      <c r="F36" s="473">
        <f>F34*F35</f>
        <v>7798577.2844836591</v>
      </c>
      <c r="G36" s="4"/>
      <c r="H36" s="472"/>
      <c r="I36" s="4"/>
      <c r="J36" s="4"/>
      <c r="K36" s="4"/>
      <c r="L36" s="4"/>
      <c r="M36" s="4"/>
      <c r="N36" s="4"/>
      <c r="O36" s="4"/>
    </row>
    <row r="37" spans="2:16" ht="15.5">
      <c r="C37" s="435" t="s">
        <v>304</v>
      </c>
      <c r="D37" s="270"/>
      <c r="F37" s="448">
        <f>TCOS!L199</f>
        <v>0</v>
      </c>
      <c r="G37" s="270"/>
      <c r="H37" s="270"/>
      <c r="I37" s="270"/>
      <c r="J37" s="270"/>
      <c r="K37" s="270"/>
      <c r="L37" s="270"/>
      <c r="M37" s="270"/>
      <c r="N37" s="270"/>
      <c r="O37" s="284"/>
      <c r="P37" s="270"/>
    </row>
    <row r="38" spans="2:16" ht="15.5">
      <c r="C38" s="435" t="s">
        <v>534</v>
      </c>
      <c r="D38" s="270"/>
      <c r="F38" s="448">
        <f>TCOS!L200</f>
        <v>-1537227.3013168322</v>
      </c>
      <c r="G38" s="270"/>
      <c r="H38" s="270"/>
      <c r="I38" s="270"/>
      <c r="J38" s="270"/>
      <c r="K38" s="270"/>
      <c r="L38" s="270"/>
      <c r="M38" s="270"/>
      <c r="N38" s="270"/>
      <c r="O38" s="284"/>
      <c r="P38" s="270"/>
    </row>
    <row r="39" spans="2:16" ht="15.5">
      <c r="C39" s="435" t="s">
        <v>535</v>
      </c>
      <c r="D39" s="270"/>
      <c r="F39" s="474">
        <f>TCOS!L201</f>
        <v>779446.58824846253</v>
      </c>
      <c r="G39" s="270"/>
      <c r="H39" s="270"/>
      <c r="I39" s="270"/>
      <c r="J39" s="270"/>
      <c r="K39" s="270"/>
      <c r="L39" s="270"/>
      <c r="M39" s="270"/>
      <c r="N39" s="270"/>
      <c r="O39" s="284"/>
      <c r="P39" s="270"/>
    </row>
    <row r="40" spans="2:16" ht="15.5">
      <c r="C40" s="467" t="s">
        <v>267</v>
      </c>
      <c r="D40" s="270"/>
      <c r="F40" s="448">
        <f>F36+F37+F38+F39</f>
        <v>7040796.5714152893</v>
      </c>
      <c r="G40" s="270"/>
      <c r="H40" s="270"/>
      <c r="I40" s="270"/>
      <c r="J40" s="270"/>
      <c r="K40" s="270"/>
      <c r="L40" s="270"/>
      <c r="M40" s="270"/>
      <c r="N40" s="270"/>
      <c r="O40" s="283"/>
      <c r="P40" s="270"/>
    </row>
    <row r="41" spans="2:16" ht="12.75" customHeight="1">
      <c r="C41" s="267"/>
      <c r="D41" s="270"/>
      <c r="E41" s="270"/>
      <c r="F41" s="270"/>
      <c r="G41" s="270"/>
      <c r="H41" s="270"/>
      <c r="I41" s="270"/>
      <c r="J41" s="270"/>
      <c r="K41" s="270"/>
      <c r="L41" s="270"/>
      <c r="M41" s="270"/>
      <c r="N41" s="270"/>
      <c r="O41" s="283"/>
      <c r="P41" s="270"/>
    </row>
    <row r="42" spans="2:16" ht="18">
      <c r="B42" s="433" t="s">
        <v>174</v>
      </c>
      <c r="C42" s="13" t="str">
        <f>"Calculate Net Plant Carrying Charge Rate (Fixed Charge Rate or FCR) with hypothetical "&amp;F17&amp;""</f>
        <v xml:space="preserve">Calculate Net Plant Carrying Charge Rate (Fixed Charge Rate or FCR) with hypothetical </v>
      </c>
      <c r="D42" s="270"/>
      <c r="E42" s="270"/>
      <c r="F42" s="270"/>
      <c r="G42" s="270"/>
      <c r="H42" s="270"/>
      <c r="I42" s="270"/>
      <c r="J42" s="270"/>
      <c r="K42" s="270"/>
      <c r="L42" s="270"/>
      <c r="M42" s="270"/>
      <c r="N42" s="270"/>
      <c r="O42" s="283"/>
      <c r="P42" s="270"/>
    </row>
    <row r="43" spans="2:16" ht="18.75" customHeight="1">
      <c r="C43" s="13" t="str">
        <f>"basis point ROE increase."</f>
        <v>basis point ROE increase.</v>
      </c>
      <c r="D43" s="270"/>
      <c r="E43" s="270"/>
      <c r="F43" s="270"/>
      <c r="G43" s="270"/>
      <c r="H43" s="270"/>
      <c r="I43" s="270"/>
      <c r="J43" s="270"/>
      <c r="K43" s="270"/>
      <c r="L43" s="270"/>
      <c r="M43" s="270"/>
      <c r="N43" s="270"/>
      <c r="O43" s="283"/>
      <c r="P43" s="270"/>
    </row>
    <row r="44" spans="2:16" ht="12.75" customHeight="1">
      <c r="C44" s="13"/>
      <c r="D44" s="270"/>
      <c r="E44" s="270"/>
      <c r="F44" s="270"/>
      <c r="G44" s="270"/>
      <c r="H44" s="270"/>
      <c r="I44" s="270"/>
      <c r="J44" s="270"/>
      <c r="K44" s="270"/>
      <c r="L44" s="270"/>
      <c r="M44" s="270"/>
      <c r="N44" s="270"/>
      <c r="O44" s="283"/>
      <c r="P44" s="270"/>
    </row>
    <row r="45" spans="2:16" ht="15.5">
      <c r="C45" s="434" t="s">
        <v>467</v>
      </c>
      <c r="D45" s="270"/>
      <c r="E45" s="270"/>
      <c r="F45" s="267"/>
      <c r="G45" s="270"/>
      <c r="H45" s="270"/>
      <c r="I45" s="270"/>
      <c r="J45" s="270"/>
      <c r="K45" s="270"/>
      <c r="L45" s="270"/>
      <c r="M45" s="270"/>
      <c r="N45" s="270"/>
      <c r="O45" s="283"/>
      <c r="P45" s="270"/>
    </row>
    <row r="46" spans="2:16">
      <c r="B46" s="4"/>
      <c r="C46" s="435"/>
      <c r="D46" s="436"/>
      <c r="E46" s="436"/>
      <c r="F46" s="436"/>
      <c r="G46" s="436"/>
      <c r="H46" s="436"/>
      <c r="I46" s="436"/>
      <c r="J46" s="436"/>
      <c r="K46" s="436"/>
      <c r="L46" s="436"/>
      <c r="M46" s="436"/>
      <c r="N46" s="436"/>
      <c r="O46" s="448"/>
      <c r="P46" s="436"/>
    </row>
    <row r="47" spans="2:16" ht="12.75" customHeight="1">
      <c r="B47" s="4"/>
      <c r="C47" s="463" t="str">
        <f>"   Annual Revenue Requirement  (TCOS, ln "&amp;TCOS!B13&amp;")"</f>
        <v xml:space="preserve">   Annual Revenue Requirement  (TCOS, ln 1)</v>
      </c>
      <c r="D47" s="436"/>
      <c r="E47" s="436"/>
      <c r="G47" s="448">
        <f>TCOS!L13</f>
        <v>94527053.690176606</v>
      </c>
      <c r="H47" s="436"/>
      <c r="I47" s="436"/>
      <c r="J47" s="436"/>
      <c r="K47" s="436"/>
      <c r="L47" s="436"/>
      <c r="M47" s="436"/>
      <c r="N47" s="436"/>
      <c r="O47" s="448"/>
      <c r="P47" s="436"/>
    </row>
    <row r="48" spans="2:16" ht="12.75" customHeight="1">
      <c r="B48" s="4"/>
      <c r="C48" s="463" t="str">
        <f>"   Lease Payments (TCOS, Ln "&amp;TCOS!B168&amp;")"</f>
        <v xml:space="preserve">   Lease Payments (TCOS, Ln 95)</v>
      </c>
      <c r="D48" s="436"/>
      <c r="E48" s="436"/>
      <c r="G48" s="448">
        <f>TCOS!L168</f>
        <v>0</v>
      </c>
      <c r="H48" s="436"/>
      <c r="I48" s="436"/>
      <c r="J48" s="436"/>
      <c r="K48" s="436"/>
      <c r="L48" s="436"/>
      <c r="M48" s="436"/>
      <c r="N48" s="436"/>
      <c r="O48" s="448"/>
      <c r="P48" s="436"/>
    </row>
    <row r="49" spans="2:16">
      <c r="B49" s="4"/>
      <c r="C49" s="463" t="str">
        <f>"   Return  (TCOS, ln "&amp;TCOS!B205&amp;")"</f>
        <v xml:space="preserve">   Return  (TCOS, ln 126)</v>
      </c>
      <c r="D49" s="436"/>
      <c r="E49" s="436"/>
      <c r="G49" s="449">
        <f>TCOS!L205</f>
        <v>40327974.127985753</v>
      </c>
      <c r="H49" s="435"/>
      <c r="I49" s="435"/>
      <c r="J49" s="435"/>
      <c r="K49" s="435"/>
      <c r="L49" s="435"/>
      <c r="M49" s="435"/>
      <c r="N49" s="435"/>
      <c r="O49" s="448"/>
      <c r="P49" s="435"/>
    </row>
    <row r="50" spans="2:16">
      <c r="B50" s="4"/>
      <c r="C50" s="463" t="str">
        <f>"   Income Taxes  (TCOS, ln "&amp;TCOS!B203&amp;")"</f>
        <v xml:space="preserve">   Income Taxes  (TCOS, ln 125)</v>
      </c>
      <c r="D50" s="436"/>
      <c r="E50" s="436"/>
      <c r="G50" s="475">
        <f>TCOS!L203</f>
        <v>7040796.5714152893</v>
      </c>
      <c r="H50" s="436"/>
      <c r="I50" s="476"/>
      <c r="J50" s="476"/>
      <c r="K50" s="476"/>
      <c r="L50" s="476"/>
      <c r="M50" s="476"/>
      <c r="N50" s="476"/>
      <c r="O50" s="436"/>
      <c r="P50" s="476"/>
    </row>
    <row r="51" spans="2:16">
      <c r="B51" s="4"/>
      <c r="C51" s="4" t="s">
        <v>592</v>
      </c>
      <c r="D51" s="436"/>
      <c r="E51" s="436"/>
      <c r="G51" s="449">
        <f>G47-G49-G50-G48</f>
        <v>47158282.990775563</v>
      </c>
      <c r="H51" s="436"/>
      <c r="I51" s="477"/>
      <c r="J51" s="477"/>
      <c r="K51" s="477"/>
      <c r="L51" s="477"/>
      <c r="M51" s="477"/>
      <c r="N51" s="477"/>
      <c r="O51" s="477"/>
      <c r="P51" s="477"/>
    </row>
    <row r="52" spans="2:16">
      <c r="B52" s="4"/>
      <c r="C52" s="435"/>
      <c r="D52" s="436"/>
      <c r="E52" s="436"/>
      <c r="F52" s="448"/>
      <c r="G52" s="478"/>
      <c r="H52" s="479"/>
      <c r="I52" s="479"/>
      <c r="J52" s="479"/>
      <c r="K52" s="479"/>
      <c r="L52" s="479"/>
      <c r="M52" s="479"/>
      <c r="N52" s="479"/>
      <c r="O52" s="479"/>
      <c r="P52" s="479"/>
    </row>
    <row r="53" spans="2:16" ht="15.5">
      <c r="B53" s="4"/>
      <c r="C53" s="434" t="str">
        <f>"B.   Determine Annual Revenue Requirement with hypothetical "&amp;F17&amp;" basis point increase in ROE."</f>
        <v>B.   Determine Annual Revenue Requirement with hypothetical  basis point increase in ROE.</v>
      </c>
      <c r="D53" s="438"/>
      <c r="E53" s="438"/>
      <c r="F53" s="448"/>
      <c r="G53" s="478"/>
      <c r="H53" s="479"/>
      <c r="I53" s="479"/>
      <c r="J53" s="479"/>
      <c r="K53" s="479"/>
      <c r="L53" s="479"/>
      <c r="M53" s="479"/>
      <c r="N53" s="479"/>
      <c r="O53" s="479"/>
      <c r="P53" s="479"/>
    </row>
    <row r="54" spans="2:16">
      <c r="B54" s="4"/>
      <c r="C54" s="435"/>
      <c r="D54" s="438"/>
      <c r="E54" s="438"/>
      <c r="F54" s="448"/>
      <c r="G54" s="478"/>
      <c r="H54" s="479"/>
      <c r="I54" s="479"/>
      <c r="J54" s="479"/>
      <c r="K54" s="479"/>
      <c r="L54" s="479"/>
      <c r="M54" s="479"/>
      <c r="N54" s="479"/>
      <c r="O54" s="479"/>
      <c r="P54" s="479"/>
    </row>
    <row r="55" spans="2:16" ht="13">
      <c r="B55" s="4"/>
      <c r="C55" s="435" t="str">
        <f>C51</f>
        <v xml:space="preserve">   Annual Revenue Requirement, Less Lease Payments, Return and Taxes</v>
      </c>
      <c r="D55" s="438"/>
      <c r="E55" s="438"/>
      <c r="G55" s="448">
        <f>G51</f>
        <v>47158282.990775563</v>
      </c>
      <c r="H55" s="436"/>
      <c r="I55" s="436"/>
      <c r="J55" s="436"/>
      <c r="K55" s="436"/>
      <c r="L55" s="436"/>
      <c r="M55" s="436"/>
      <c r="N55" s="436"/>
      <c r="O55" s="480"/>
      <c r="P55" s="436"/>
    </row>
    <row r="56" spans="2:16" ht="13">
      <c r="B56" s="4"/>
      <c r="C56" s="438" t="s">
        <v>301</v>
      </c>
      <c r="D56" s="79"/>
      <c r="E56" s="4"/>
      <c r="G56" s="473">
        <f>F30</f>
        <v>40327974.127985753</v>
      </c>
      <c r="H56" s="481"/>
      <c r="I56" s="4"/>
      <c r="J56" s="4"/>
      <c r="K56" s="4"/>
      <c r="L56" s="4"/>
      <c r="M56" s="4"/>
      <c r="N56" s="4"/>
      <c r="O56" s="4"/>
    </row>
    <row r="57" spans="2:16" ht="12.75" customHeight="1">
      <c r="B57" s="4"/>
      <c r="C57" s="435" t="s">
        <v>268</v>
      </c>
      <c r="D57" s="436"/>
      <c r="E57" s="436"/>
      <c r="G57" s="475">
        <f>F40</f>
        <v>7040796.5714152893</v>
      </c>
      <c r="H57" s="472"/>
      <c r="I57" s="4"/>
      <c r="J57" s="4"/>
      <c r="K57" s="4"/>
      <c r="L57" s="4"/>
      <c r="M57" s="4"/>
      <c r="N57" s="4"/>
      <c r="O57" s="4"/>
    </row>
    <row r="58" spans="2:16">
      <c r="B58" s="4"/>
      <c r="C58" s="4" t="str">
        <f>"   Annual Revenue Requirement, with "&amp;F17&amp;" Basis Point ROE increase"</f>
        <v xml:space="preserve">   Annual Revenue Requirement, with  Basis Point ROE increase</v>
      </c>
      <c r="D58" s="79"/>
      <c r="E58" s="4"/>
      <c r="G58" s="473">
        <f>SUM(G55:G57)</f>
        <v>94527053.690176606</v>
      </c>
      <c r="H58" s="472"/>
      <c r="I58" s="4"/>
      <c r="J58" s="4"/>
      <c r="K58" s="4"/>
      <c r="L58" s="4"/>
      <c r="M58" s="4"/>
      <c r="N58" s="4"/>
      <c r="O58" s="4"/>
    </row>
    <row r="59" spans="2:16">
      <c r="B59" s="4"/>
      <c r="C59" s="463" t="str">
        <f>"   Depreciation  (TCOS, ln "&amp;TCOS!B174&amp;")"</f>
        <v xml:space="preserve">   Depreciation  (TCOS, ln 100)</v>
      </c>
      <c r="D59" s="79"/>
      <c r="E59" s="4"/>
      <c r="G59" s="482">
        <f>TCOS!L174</f>
        <v>23456240.050535426</v>
      </c>
      <c r="H59" s="472"/>
      <c r="I59" s="4"/>
      <c r="J59" s="4"/>
      <c r="K59" s="4"/>
      <c r="L59" s="4"/>
      <c r="M59" s="4"/>
      <c r="N59" s="4"/>
      <c r="O59" s="4"/>
    </row>
    <row r="60" spans="2:16">
      <c r="B60" s="4"/>
      <c r="C60" s="4" t="str">
        <f>"   Annual Rev. Req, w/"&amp;F17&amp;" Basis Point ROE increase, less Depreciation"</f>
        <v xml:space="preserve">   Annual Rev. Req, w/ Basis Point ROE increase, less Depreciation</v>
      </c>
      <c r="D60" s="79"/>
      <c r="E60" s="4"/>
      <c r="G60" s="473">
        <f>G58-G59</f>
        <v>71070813.639641181</v>
      </c>
      <c r="H60" s="472"/>
      <c r="I60" s="4"/>
      <c r="J60" s="4"/>
      <c r="K60" s="4"/>
      <c r="L60" s="4"/>
      <c r="M60" s="4"/>
      <c r="N60" s="4"/>
      <c r="O60" s="4"/>
    </row>
    <row r="61" spans="2:16">
      <c r="B61" s="4"/>
      <c r="C61" s="4"/>
      <c r="D61" s="79"/>
      <c r="E61" s="4"/>
      <c r="F61" s="4"/>
      <c r="G61" s="4"/>
      <c r="H61" s="472"/>
      <c r="I61" s="4"/>
      <c r="J61" s="4"/>
      <c r="K61" s="4"/>
      <c r="L61" s="4"/>
      <c r="M61" s="4"/>
      <c r="N61" s="4"/>
      <c r="O61" s="4"/>
    </row>
    <row r="62" spans="2:16" ht="15.5">
      <c r="B62" s="4"/>
      <c r="C62" s="434" t="str">
        <f>"C.   Determine FCR with hypothetical "&amp;F17&amp;" basis point ROE increase."</f>
        <v>C.   Determine FCR with hypothetical  basis point ROE increase.</v>
      </c>
      <c r="D62" s="79"/>
      <c r="E62" s="4"/>
      <c r="F62" s="4"/>
      <c r="G62" s="4"/>
      <c r="H62" s="472"/>
      <c r="I62" s="4"/>
      <c r="J62" s="4"/>
      <c r="K62" s="4"/>
      <c r="L62" s="4"/>
      <c r="M62" s="4"/>
      <c r="N62" s="4"/>
      <c r="O62" s="4"/>
    </row>
    <row r="63" spans="2:16">
      <c r="B63" s="4"/>
      <c r="C63" s="4"/>
      <c r="D63" s="79"/>
      <c r="E63" s="4"/>
      <c r="F63" s="4"/>
      <c r="G63" s="4"/>
      <c r="H63" s="472"/>
      <c r="I63" s="4"/>
      <c r="J63" s="4"/>
      <c r="K63" s="4"/>
      <c r="L63" s="4"/>
      <c r="M63" s="4"/>
      <c r="N63" s="4"/>
      <c r="O63" s="4"/>
    </row>
    <row r="64" spans="2:16">
      <c r="B64" s="4"/>
      <c r="C64" s="463" t="str">
        <f>"   Net Transmission Plant  (TCOS, ln "&amp;TCOS!B91&amp;")"</f>
        <v xml:space="preserve">   Net Transmission Plant  (TCOS, ln 42)</v>
      </c>
      <c r="D64" s="79"/>
      <c r="E64" s="4"/>
      <c r="G64" s="473">
        <f>TCOS!L91</f>
        <v>595892783.91909063</v>
      </c>
      <c r="H64" s="483"/>
      <c r="I64" s="4"/>
      <c r="J64" s="4"/>
      <c r="K64" s="4"/>
      <c r="L64" s="4"/>
      <c r="M64" s="4"/>
      <c r="N64" s="4"/>
      <c r="O64" s="4"/>
    </row>
    <row r="65" spans="2:15">
      <c r="B65" s="4"/>
      <c r="C65" s="4" t="str">
        <f>"   Annual Revenue Requirement, with "&amp;F17&amp;" Basis Point ROE increase"</f>
        <v xml:space="preserve">   Annual Revenue Requirement, with  Basis Point ROE increase</v>
      </c>
      <c r="D65" s="79"/>
      <c r="E65" s="4"/>
      <c r="G65" s="473">
        <f>G58</f>
        <v>94527053.690176606</v>
      </c>
      <c r="H65" s="472"/>
      <c r="I65" s="4"/>
      <c r="J65" s="4"/>
      <c r="K65" s="4"/>
      <c r="L65" s="4"/>
      <c r="M65" s="4"/>
      <c r="N65" s="4"/>
      <c r="O65" s="4"/>
    </row>
    <row r="66" spans="2:15">
      <c r="B66" s="4"/>
      <c r="C66" s="4" t="str">
        <f>"   FCR with "&amp;F17&amp;" Basis Point increase in ROE"</f>
        <v xml:space="preserve">   FCR with  Basis Point increase in ROE</v>
      </c>
      <c r="D66" s="79"/>
      <c r="E66" s="4"/>
      <c r="G66" s="81">
        <f>G65/G64</f>
        <v>0.15863097564042886</v>
      </c>
      <c r="H66" s="472"/>
      <c r="I66" s="4"/>
      <c r="J66" s="4"/>
      <c r="K66" s="4"/>
      <c r="L66" s="4"/>
      <c r="M66" s="4"/>
      <c r="N66" s="4"/>
      <c r="O66" s="4"/>
    </row>
    <row r="67" spans="2:15">
      <c r="B67" s="4"/>
      <c r="C67" s="70"/>
      <c r="D67" s="79"/>
      <c r="E67" s="4"/>
      <c r="G67" s="4"/>
      <c r="H67" s="472"/>
      <c r="I67" s="4"/>
      <c r="J67" s="4"/>
      <c r="K67" s="4"/>
      <c r="L67" s="4"/>
      <c r="M67" s="4"/>
      <c r="N67" s="4"/>
      <c r="O67" s="4"/>
    </row>
    <row r="68" spans="2:15">
      <c r="B68" s="4"/>
      <c r="C68" s="4" t="str">
        <f>"   Annual Rev. Req, w / "&amp;F17&amp;" Basis Point ROE increase, less Dep."</f>
        <v xml:space="preserve">   Annual Rev. Req, w /  Basis Point ROE increase, less Dep.</v>
      </c>
      <c r="D68" s="79"/>
      <c r="E68" s="4"/>
      <c r="G68" s="473">
        <f>G60</f>
        <v>71070813.639641181</v>
      </c>
      <c r="H68" s="472"/>
      <c r="I68" s="4"/>
      <c r="J68" s="4"/>
      <c r="K68" s="4"/>
      <c r="L68" s="4"/>
      <c r="M68" s="4"/>
      <c r="N68" s="4"/>
      <c r="O68" s="4"/>
    </row>
    <row r="69" spans="2:15">
      <c r="B69" s="4"/>
      <c r="C69" s="4" t="str">
        <f>"   FCR with "&amp;F17&amp;" Basis Point ROE increase, less Depreciation"</f>
        <v xml:space="preserve">   FCR with  Basis Point ROE increase, less Depreciation</v>
      </c>
      <c r="D69" s="79"/>
      <c r="E69" s="4"/>
      <c r="G69" s="81">
        <f>G68/G64</f>
        <v>0.11926778702071188</v>
      </c>
      <c r="H69" s="472"/>
      <c r="I69" s="4"/>
      <c r="J69" s="4"/>
      <c r="K69" s="4"/>
      <c r="L69" s="4"/>
      <c r="M69" s="4"/>
      <c r="N69" s="4"/>
      <c r="O69" s="4"/>
    </row>
    <row r="70" spans="2:15">
      <c r="B70" s="4"/>
      <c r="C70" s="463" t="str">
        <f>"   FCR less Depreciation  (TCOS, ln "&amp;TCOS!B34&amp;")"</f>
        <v xml:space="preserve">   FCR less Depreciation  (TCOS, ln 10)</v>
      </c>
      <c r="D70" s="79"/>
      <c r="E70" s="4"/>
      <c r="G70" s="484">
        <f>TCOS!L34</f>
        <v>0.11926778702071188</v>
      </c>
      <c r="H70" s="472"/>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79"/>
      <c r="E71" s="4"/>
      <c r="G71" s="81">
        <f>G69-G70</f>
        <v>0</v>
      </c>
      <c r="H71" s="472"/>
      <c r="I71" s="4"/>
      <c r="J71" s="4"/>
      <c r="K71" s="4"/>
      <c r="L71" s="4"/>
      <c r="M71" s="4"/>
      <c r="N71" s="4"/>
      <c r="O71" s="4"/>
    </row>
    <row r="72" spans="2:15">
      <c r="B72" s="4"/>
      <c r="C72" s="4"/>
      <c r="D72" s="79"/>
      <c r="E72" s="4"/>
      <c r="F72" s="81"/>
      <c r="G72" s="4"/>
      <c r="H72" s="472"/>
      <c r="I72" s="4"/>
      <c r="J72" s="4"/>
      <c r="K72" s="4"/>
      <c r="L72" s="4"/>
      <c r="M72" s="4"/>
      <c r="N72" s="4"/>
      <c r="O72" s="4"/>
    </row>
    <row r="73" spans="2:15" ht="18">
      <c r="B73" s="433" t="s">
        <v>175</v>
      </c>
      <c r="C73" s="13" t="s">
        <v>269</v>
      </c>
      <c r="D73" s="79"/>
      <c r="E73" s="4"/>
      <c r="F73" s="81"/>
      <c r="G73" s="4"/>
      <c r="H73" s="472"/>
      <c r="I73" s="4"/>
      <c r="J73" s="4"/>
      <c r="K73" s="4"/>
      <c r="L73" s="4"/>
      <c r="M73" s="4"/>
      <c r="N73" s="4"/>
      <c r="O73" s="4"/>
    </row>
    <row r="74" spans="2:15">
      <c r="B74" s="4"/>
      <c r="C74" s="4"/>
      <c r="D74" s="79"/>
      <c r="E74" s="4"/>
      <c r="F74" s="81"/>
      <c r="G74" s="4"/>
      <c r="H74" s="472"/>
      <c r="I74" s="4"/>
      <c r="J74" s="4"/>
      <c r="K74" s="4"/>
      <c r="L74" s="4"/>
      <c r="M74" s="4"/>
      <c r="N74" s="4"/>
      <c r="O74" s="4"/>
    </row>
    <row r="75" spans="2:15">
      <c r="B75" s="4"/>
      <c r="C75" s="4" t="str">
        <f>+"Average Transmission Plant Balance for "&amp;TCOS!L4&amp;" (TCOS, ln "&amp;TCOS!B68&amp;")"</f>
        <v>Average Transmission Plant Balance for 2024 (TCOS, ln 21)</v>
      </c>
      <c r="D75" s="79"/>
      <c r="G75" s="472">
        <f>TCOS!L68</f>
        <v>872265686.31911373</v>
      </c>
      <c r="I75" s="4"/>
      <c r="J75" s="4"/>
      <c r="K75" s="487"/>
      <c r="L75" s="4"/>
      <c r="M75" s="4"/>
      <c r="N75" s="4"/>
      <c r="O75" s="4"/>
    </row>
    <row r="76" spans="2:15">
      <c r="B76" s="4"/>
      <c r="C76" s="485" t="str">
        <f>"Annual Depreciation and Amortization Expense  (TCOS, ln "&amp;TCOS!B174&amp;")"</f>
        <v>Annual Depreciation and Amortization Expense  (TCOS, ln 100)</v>
      </c>
      <c r="D76" s="79"/>
      <c r="E76" s="4"/>
      <c r="G76" s="486">
        <f>TCOS!L174</f>
        <v>23456240.050535426</v>
      </c>
      <c r="H76" s="472"/>
      <c r="I76" s="4"/>
      <c r="J76" s="4"/>
      <c r="K76" s="4"/>
      <c r="L76" s="4"/>
      <c r="M76" s="4"/>
      <c r="N76" s="4"/>
      <c r="O76" s="4"/>
    </row>
    <row r="77" spans="2:15">
      <c r="B77" s="4"/>
      <c r="C77" s="4" t="s">
        <v>270</v>
      </c>
      <c r="D77" s="79"/>
      <c r="E77" s="4"/>
      <c r="G77" s="81">
        <f>+G76/G75</f>
        <v>2.689116449085455E-2</v>
      </c>
      <c r="H77" s="488"/>
      <c r="I77" s="4"/>
      <c r="J77" s="4"/>
      <c r="K77" s="4"/>
      <c r="L77" s="4"/>
      <c r="M77" s="4"/>
      <c r="N77" s="4"/>
      <c r="O77" s="4"/>
    </row>
    <row r="78" spans="2:15">
      <c r="B78" s="4"/>
      <c r="C78" s="4" t="s">
        <v>271</v>
      </c>
      <c r="D78" s="79"/>
      <c r="E78" s="4"/>
      <c r="G78" s="488">
        <f>1/G77</f>
        <v>37.186935520776395</v>
      </c>
      <c r="H78" s="472"/>
      <c r="I78" s="4"/>
      <c r="J78" s="4"/>
      <c r="K78" s="4"/>
      <c r="L78" s="4"/>
      <c r="M78" s="4"/>
      <c r="N78" s="4"/>
      <c r="O78" s="4"/>
    </row>
    <row r="79" spans="2:15">
      <c r="B79" s="4"/>
      <c r="C79" s="4" t="s">
        <v>272</v>
      </c>
      <c r="D79" s="79"/>
      <c r="E79" s="4"/>
      <c r="G79" s="489">
        <f>ROUND(G78,0)</f>
        <v>37</v>
      </c>
      <c r="H79" s="472"/>
      <c r="I79" s="4"/>
      <c r="J79" s="4"/>
      <c r="K79" s="4"/>
      <c r="L79" s="4"/>
      <c r="M79" s="4"/>
      <c r="N79" s="4"/>
      <c r="O79" s="4"/>
    </row>
    <row r="80" spans="2:15">
      <c r="B80" s="4"/>
      <c r="C80" s="4"/>
      <c r="D80" s="79"/>
      <c r="E80" s="4"/>
      <c r="G80" s="489"/>
      <c r="H80" s="472"/>
      <c r="I80" s="4"/>
      <c r="J80" s="4"/>
      <c r="K80" s="4"/>
      <c r="L80" s="4"/>
      <c r="M80" s="4"/>
      <c r="N80" s="4"/>
      <c r="O80" s="4"/>
    </row>
    <row r="81" spans="1:16" ht="13">
      <c r="C81" s="490"/>
      <c r="D81" s="489"/>
      <c r="E81" s="489"/>
      <c r="F81" s="489"/>
      <c r="G81" s="487"/>
      <c r="H81" s="487"/>
      <c r="I81" s="491"/>
      <c r="J81" s="491"/>
      <c r="K81" s="491"/>
      <c r="L81" s="491"/>
      <c r="M81" s="491"/>
      <c r="N81" s="491"/>
      <c r="O81" s="4"/>
      <c r="P81" s="491"/>
    </row>
    <row r="82" spans="1:16" ht="20">
      <c r="A82" s="431" t="s">
        <v>773</v>
      </c>
      <c r="B82" s="4"/>
      <c r="C82" s="4"/>
      <c r="D82" s="79"/>
      <c r="E82" s="4"/>
      <c r="F82" s="81"/>
      <c r="G82" s="4"/>
      <c r="H82" s="472"/>
      <c r="K82" s="11"/>
      <c r="L82" s="11"/>
      <c r="M82" s="11"/>
      <c r="N82" s="11" t="str">
        <f>"Page "&amp;SUM(P$8:P82)&amp;" of "</f>
        <v xml:space="preserve">Page 2 of </v>
      </c>
      <c r="O82" s="432">
        <f>COUNT(P$8:P$58715)</f>
        <v>2</v>
      </c>
      <c r="P82" s="485">
        <v>1</v>
      </c>
    </row>
    <row r="83" spans="1:16">
      <c r="B83" s="4"/>
      <c r="C83" s="4"/>
      <c r="D83" s="79"/>
      <c r="E83" s="4"/>
      <c r="F83" s="4"/>
      <c r="G83" s="4"/>
      <c r="H83" s="472"/>
      <c r="I83" s="4"/>
      <c r="J83" s="4"/>
      <c r="K83" s="4"/>
      <c r="L83" s="4"/>
      <c r="M83" s="4"/>
      <c r="N83" s="4"/>
      <c r="O83" s="4"/>
    </row>
    <row r="84" spans="1:16" ht="17">
      <c r="B84" s="433" t="s">
        <v>176</v>
      </c>
      <c r="C84" s="492" t="s">
        <v>292</v>
      </c>
      <c r="D84" s="79"/>
      <c r="E84" s="4"/>
      <c r="F84" s="4"/>
      <c r="G84" s="4"/>
      <c r="H84" s="472"/>
      <c r="I84" s="472"/>
      <c r="J84" s="487"/>
      <c r="K84" s="472"/>
      <c r="L84" s="472"/>
      <c r="M84" s="472"/>
      <c r="N84" s="472"/>
      <c r="O84" s="4"/>
      <c r="P84" s="487"/>
    </row>
    <row r="85" spans="1:16" ht="15" customHeight="1">
      <c r="B85" s="433"/>
      <c r="C85" s="13"/>
      <c r="D85" s="79"/>
      <c r="E85" s="4"/>
      <c r="F85" s="4"/>
      <c r="G85" s="4"/>
      <c r="H85" s="472"/>
      <c r="I85" s="472"/>
      <c r="J85" s="487"/>
      <c r="K85" s="472"/>
      <c r="L85" s="472"/>
      <c r="M85" s="472"/>
      <c r="N85" s="472"/>
      <c r="O85" s="4"/>
      <c r="P85" s="487"/>
    </row>
    <row r="86" spans="1:16" ht="18">
      <c r="B86" s="433"/>
      <c r="C86" s="13" t="s">
        <v>293</v>
      </c>
      <c r="D86" s="79"/>
      <c r="E86" s="4"/>
      <c r="F86" s="4"/>
      <c r="G86" s="4"/>
      <c r="H86" s="472"/>
      <c r="I86" s="472"/>
      <c r="J86" s="487"/>
      <c r="K86" s="472"/>
      <c r="L86" s="472"/>
      <c r="M86" s="472"/>
      <c r="N86" s="472"/>
      <c r="O86" s="4"/>
      <c r="P86" s="487"/>
    </row>
    <row r="87" spans="1:16" ht="16" thickBot="1">
      <c r="C87" s="267"/>
      <c r="D87" s="79"/>
      <c r="E87" s="4"/>
      <c r="F87" s="4"/>
      <c r="G87" s="4"/>
      <c r="H87" s="472"/>
      <c r="I87" s="472"/>
      <c r="J87" s="487"/>
      <c r="K87" s="472"/>
      <c r="L87" s="472"/>
      <c r="M87" s="472"/>
      <c r="N87" s="472"/>
      <c r="O87" s="4"/>
      <c r="P87" s="487"/>
    </row>
    <row r="88" spans="1:16" ht="15.5">
      <c r="C88" s="434" t="s">
        <v>294</v>
      </c>
      <c r="D88" s="79"/>
      <c r="E88" s="4"/>
      <c r="F88" s="4"/>
      <c r="G88" s="669"/>
      <c r="H88" s="4" t="s">
        <v>273</v>
      </c>
      <c r="I88" s="4"/>
      <c r="J88" s="4"/>
      <c r="K88" s="493" t="s">
        <v>298</v>
      </c>
      <c r="L88" s="494"/>
      <c r="M88" s="495"/>
      <c r="N88" s="496" t="e">
        <f>VLOOKUP(I94,C101:O160,5)</f>
        <v>#N/A</v>
      </c>
      <c r="O88" s="4"/>
    </row>
    <row r="89" spans="1:16" ht="15.5">
      <c r="C89" s="434"/>
      <c r="D89" s="79"/>
      <c r="E89" s="4"/>
      <c r="F89" s="4"/>
      <c r="G89" s="4"/>
      <c r="H89" s="497"/>
      <c r="I89" s="497"/>
      <c r="J89" s="498"/>
      <c r="K89" s="499" t="s">
        <v>299</v>
      </c>
      <c r="L89" s="500"/>
      <c r="M89" s="4"/>
      <c r="N89" s="501" t="e">
        <f>VLOOKUP(I94,C101:O160,6)</f>
        <v>#N/A</v>
      </c>
      <c r="O89" s="4"/>
      <c r="P89" s="498"/>
    </row>
    <row r="90" spans="1:16" ht="13.5" thickBot="1">
      <c r="C90" s="502" t="s">
        <v>295</v>
      </c>
      <c r="D90" s="1218" t="s">
        <v>116</v>
      </c>
      <c r="E90" s="1218"/>
      <c r="F90" s="1218"/>
      <c r="G90" s="1218"/>
      <c r="H90" s="472"/>
      <c r="I90" s="472"/>
      <c r="J90" s="487"/>
      <c r="K90" s="503" t="s">
        <v>452</v>
      </c>
      <c r="L90" s="504"/>
      <c r="M90" s="504"/>
      <c r="N90" s="505" t="e">
        <f>+N89-N88</f>
        <v>#N/A</v>
      </c>
      <c r="O90" s="4"/>
      <c r="P90" s="487"/>
    </row>
    <row r="91" spans="1:16" ht="13">
      <c r="C91" s="506"/>
      <c r="D91" s="507"/>
      <c r="E91" s="489"/>
      <c r="F91" s="489"/>
      <c r="G91" s="508"/>
      <c r="H91" s="472"/>
      <c r="I91" s="472"/>
      <c r="J91" s="487"/>
      <c r="K91" s="472"/>
      <c r="L91" s="472"/>
      <c r="M91" s="472"/>
      <c r="N91" s="472"/>
      <c r="O91" s="4"/>
      <c r="P91" s="487"/>
    </row>
    <row r="92" spans="1:16" ht="13.5" thickBot="1">
      <c r="C92" s="506"/>
      <c r="D92" s="4"/>
      <c r="E92" s="508"/>
      <c r="F92" s="508"/>
      <c r="G92" s="508"/>
      <c r="H92" s="508"/>
      <c r="I92" s="508"/>
      <c r="J92" s="508"/>
      <c r="K92" s="508"/>
      <c r="L92" s="508"/>
      <c r="M92" s="508"/>
      <c r="N92" s="508"/>
      <c r="O92" s="4"/>
      <c r="P92" s="508"/>
    </row>
    <row r="93" spans="1:16" ht="13" thickBot="1">
      <c r="B93" s="251"/>
      <c r="C93" s="509" t="s">
        <v>296</v>
      </c>
      <c r="D93" s="510"/>
      <c r="E93" s="510"/>
      <c r="F93" s="510"/>
      <c r="G93" s="510"/>
      <c r="H93" s="510"/>
      <c r="I93" s="511"/>
      <c r="K93" s="4"/>
      <c r="L93" s="4"/>
      <c r="M93" s="4"/>
      <c r="N93" s="4"/>
      <c r="O93" s="4"/>
    </row>
    <row r="94" spans="1:16" ht="16">
      <c r="B94" s="251"/>
      <c r="C94" s="512" t="s">
        <v>274</v>
      </c>
      <c r="D94" s="670">
        <v>0</v>
      </c>
      <c r="E94" s="4" t="s">
        <v>275</v>
      </c>
      <c r="G94" s="79"/>
      <c r="H94" s="79"/>
      <c r="I94" s="513">
        <f>TCOS!$L$4</f>
        <v>2024</v>
      </c>
      <c r="J94" s="140"/>
      <c r="K94" s="1219" t="s">
        <v>461</v>
      </c>
      <c r="L94" s="1219"/>
      <c r="M94" s="1219"/>
      <c r="N94" s="1219"/>
      <c r="O94" s="1219"/>
      <c r="P94" s="140"/>
    </row>
    <row r="95" spans="1:16" ht="15.5">
      <c r="B95" s="251"/>
      <c r="C95" s="512" t="s">
        <v>277</v>
      </c>
      <c r="D95" s="669"/>
      <c r="E95" s="512" t="s">
        <v>278</v>
      </c>
      <c r="F95" s="79"/>
      <c r="H95"/>
      <c r="I95" s="673">
        <f>IF(G88="",0,$F$17)</f>
        <v>0</v>
      </c>
      <c r="J95" s="514"/>
      <c r="K95" s="487" t="s">
        <v>461</v>
      </c>
      <c r="P95" s="514"/>
    </row>
    <row r="96" spans="1:16">
      <c r="B96" s="251"/>
      <c r="C96" s="512" t="s">
        <v>279</v>
      </c>
      <c r="D96" s="671">
        <v>0</v>
      </c>
      <c r="E96" s="512" t="s">
        <v>280</v>
      </c>
      <c r="F96" s="79"/>
      <c r="H96"/>
      <c r="I96" s="515">
        <f>$G$70</f>
        <v>0.11926778702071188</v>
      </c>
      <c r="J96" s="81"/>
      <c r="K96" t="str">
        <f>"          INPUT PROJECTED ARR (WITH &amp; WITHOUT INCENTIVES) FROM EACH PRIOR YEAR"</f>
        <v xml:space="preserve">          INPUT PROJECTED ARR (WITH &amp; WITHOUT INCENTIVES) FROM EACH PRIOR YEAR</v>
      </c>
      <c r="P96" s="81"/>
    </row>
    <row r="97" spans="1:16">
      <c r="B97" s="251"/>
      <c r="C97" s="512" t="s">
        <v>281</v>
      </c>
      <c r="D97" s="516">
        <f>G$79</f>
        <v>37</v>
      </c>
      <c r="E97" s="512" t="s">
        <v>282</v>
      </c>
      <c r="F97" s="79"/>
      <c r="H97"/>
      <c r="I97" s="515">
        <f>IF(G88="",I96,$G$69)</f>
        <v>0.11926778702071188</v>
      </c>
      <c r="J97" s="81"/>
      <c r="K97" t="s">
        <v>359</v>
      </c>
      <c r="P97" s="81"/>
    </row>
    <row r="98" spans="1:16" ht="13" thickBot="1">
      <c r="B98" s="251"/>
      <c r="C98" s="512" t="s">
        <v>283</v>
      </c>
      <c r="D98" s="672" t="s">
        <v>116</v>
      </c>
      <c r="E98" s="517" t="s">
        <v>284</v>
      </c>
      <c r="F98" s="518"/>
      <c r="G98" s="519"/>
      <c r="H98" s="519"/>
      <c r="I98" s="505">
        <f>IF(D94=0,0,D94/D97)</f>
        <v>0</v>
      </c>
      <c r="J98" s="487"/>
      <c r="K98" s="487" t="s">
        <v>365</v>
      </c>
      <c r="L98" s="487"/>
      <c r="M98" s="487"/>
      <c r="N98" s="487"/>
      <c r="O98" s="4"/>
      <c r="P98" s="487"/>
    </row>
    <row r="99" spans="1:16" ht="52">
      <c r="A99" s="12"/>
      <c r="B99" s="12"/>
      <c r="C99" s="520" t="s">
        <v>274</v>
      </c>
      <c r="D99" s="521" t="s">
        <v>285</v>
      </c>
      <c r="E99" s="522" t="s">
        <v>286</v>
      </c>
      <c r="F99" s="521" t="s">
        <v>287</v>
      </c>
      <c r="G99" s="522" t="s">
        <v>358</v>
      </c>
      <c r="H99" s="523" t="s">
        <v>358</v>
      </c>
      <c r="I99" s="520" t="s">
        <v>297</v>
      </c>
      <c r="J99" s="524"/>
      <c r="K99" s="522" t="s">
        <v>367</v>
      </c>
      <c r="L99" s="525"/>
      <c r="M99" s="522" t="s">
        <v>367</v>
      </c>
      <c r="N99" s="525"/>
      <c r="O99" s="525"/>
      <c r="P99" s="133"/>
    </row>
    <row r="100" spans="1:16" ht="13.5" thickBot="1">
      <c r="C100" s="526" t="s">
        <v>179</v>
      </c>
      <c r="D100" s="527" t="s">
        <v>180</v>
      </c>
      <c r="E100" s="526" t="s">
        <v>38</v>
      </c>
      <c r="F100" s="527" t="s">
        <v>180</v>
      </c>
      <c r="G100" s="528" t="s">
        <v>300</v>
      </c>
      <c r="H100" s="529" t="s">
        <v>302</v>
      </c>
      <c r="I100" s="526" t="s">
        <v>391</v>
      </c>
      <c r="J100" s="530"/>
      <c r="K100" s="528" t="s">
        <v>289</v>
      </c>
      <c r="L100" s="531"/>
      <c r="M100" s="528" t="s">
        <v>302</v>
      </c>
      <c r="N100" s="531"/>
      <c r="O100" s="531"/>
      <c r="P100" s="140"/>
    </row>
    <row r="101" spans="1:16">
      <c r="C101" s="532" t="str">
        <f>IF(D95= "","-",D95)</f>
        <v>-</v>
      </c>
      <c r="D101" s="489">
        <f>+D94</f>
        <v>0</v>
      </c>
      <c r="E101" s="533">
        <f>+I98/12*(12-D96)</f>
        <v>0</v>
      </c>
      <c r="F101" s="489">
        <f t="shared" ref="F101:F160" si="0">+D101-E101</f>
        <v>0</v>
      </c>
      <c r="G101" s="691">
        <f>+$I$96*((D101+F101)/2)+E101</f>
        <v>0</v>
      </c>
      <c r="H101" s="692">
        <f>+$I$97*((D101+F101)/2)+E101</f>
        <v>0</v>
      </c>
      <c r="I101" s="536">
        <f>+H101-G101</f>
        <v>0</v>
      </c>
      <c r="J101" s="536"/>
      <c r="K101" s="674"/>
      <c r="L101" s="538"/>
      <c r="M101" s="674"/>
      <c r="N101" s="538"/>
      <c r="O101" s="538"/>
      <c r="P101" s="491"/>
    </row>
    <row r="102" spans="1:16">
      <c r="C102" s="532" t="str">
        <f>IF(D95="","-",+C101+1)</f>
        <v>-</v>
      </c>
      <c r="D102" s="489">
        <f t="shared" ref="D102:D160" si="1">F101</f>
        <v>0</v>
      </c>
      <c r="E102" s="539">
        <f>IF(D102&gt;$I$98,$I$98,D102)</f>
        <v>0</v>
      </c>
      <c r="F102" s="489">
        <f t="shared" si="0"/>
        <v>0</v>
      </c>
      <c r="G102" s="533">
        <f t="shared" ref="G102:G160" si="2">+$I$96*((D102+F102)/2)+E102</f>
        <v>0</v>
      </c>
      <c r="H102" s="540">
        <f t="shared" ref="H102:H160" si="3">+$I$97*((D102+F102)/2)+E102</f>
        <v>0</v>
      </c>
      <c r="I102" s="536">
        <f t="shared" ref="I102:I160" si="4">+H102-G102</f>
        <v>0</v>
      </c>
      <c r="J102" s="536"/>
      <c r="K102" s="674"/>
      <c r="L102" s="542"/>
      <c r="M102" s="674"/>
      <c r="N102" s="542"/>
      <c r="O102" s="542"/>
      <c r="P102" s="491"/>
    </row>
    <row r="103" spans="1:16">
      <c r="C103" s="532" t="str">
        <f>IF(D95="","-",+C102+1)</f>
        <v>-</v>
      </c>
      <c r="D103" s="489">
        <f t="shared" si="1"/>
        <v>0</v>
      </c>
      <c r="E103" s="539">
        <f t="shared" ref="E103:E160" si="5">IF(D103&gt;$I$98,$I$98,D103)</f>
        <v>0</v>
      </c>
      <c r="F103" s="489">
        <f t="shared" si="0"/>
        <v>0</v>
      </c>
      <c r="G103" s="533">
        <f t="shared" si="2"/>
        <v>0</v>
      </c>
      <c r="H103" s="540">
        <f t="shared" si="3"/>
        <v>0</v>
      </c>
      <c r="I103" s="536">
        <f t="shared" si="4"/>
        <v>0</v>
      </c>
      <c r="J103" s="536"/>
      <c r="K103" s="674"/>
      <c r="L103" s="542"/>
      <c r="M103" s="674"/>
      <c r="N103" s="542"/>
      <c r="O103" s="542"/>
      <c r="P103" s="491"/>
    </row>
    <row r="104" spans="1:16">
      <c r="C104" s="532" t="str">
        <f>IF(D95="","-",+C103+1)</f>
        <v>-</v>
      </c>
      <c r="D104" s="489">
        <f t="shared" si="1"/>
        <v>0</v>
      </c>
      <c r="E104" s="539">
        <f t="shared" si="5"/>
        <v>0</v>
      </c>
      <c r="F104" s="489">
        <f t="shared" si="0"/>
        <v>0</v>
      </c>
      <c r="G104" s="533">
        <f t="shared" si="2"/>
        <v>0</v>
      </c>
      <c r="H104" s="540">
        <f t="shared" si="3"/>
        <v>0</v>
      </c>
      <c r="I104" s="536">
        <f t="shared" si="4"/>
        <v>0</v>
      </c>
      <c r="J104" s="536"/>
      <c r="K104" s="674"/>
      <c r="L104" s="542"/>
      <c r="M104" s="674"/>
      <c r="N104" s="542"/>
      <c r="O104" s="542"/>
      <c r="P104" s="491"/>
    </row>
    <row r="105" spans="1:16">
      <c r="C105" s="532" t="str">
        <f>IF(D95="","-",+C104+1)</f>
        <v>-</v>
      </c>
      <c r="D105" s="489">
        <f t="shared" si="1"/>
        <v>0</v>
      </c>
      <c r="E105" s="539">
        <f t="shared" si="5"/>
        <v>0</v>
      </c>
      <c r="F105" s="489">
        <f t="shared" si="0"/>
        <v>0</v>
      </c>
      <c r="G105" s="533">
        <f t="shared" si="2"/>
        <v>0</v>
      </c>
      <c r="H105" s="540">
        <f t="shared" si="3"/>
        <v>0</v>
      </c>
      <c r="I105" s="536">
        <f t="shared" si="4"/>
        <v>0</v>
      </c>
      <c r="J105" s="536"/>
      <c r="K105" s="674"/>
      <c r="L105" s="542"/>
      <c r="M105" s="674"/>
      <c r="N105" s="542"/>
      <c r="O105" s="542"/>
      <c r="P105" s="491"/>
    </row>
    <row r="106" spans="1:16">
      <c r="C106" s="532" t="str">
        <f>IF(D95="","-",+C105+1)</f>
        <v>-</v>
      </c>
      <c r="D106" s="489">
        <f t="shared" si="1"/>
        <v>0</v>
      </c>
      <c r="E106" s="539">
        <f t="shared" si="5"/>
        <v>0</v>
      </c>
      <c r="F106" s="489">
        <f t="shared" si="0"/>
        <v>0</v>
      </c>
      <c r="G106" s="533">
        <f t="shared" si="2"/>
        <v>0</v>
      </c>
      <c r="H106" s="540">
        <f t="shared" si="3"/>
        <v>0</v>
      </c>
      <c r="I106" s="536">
        <f t="shared" si="4"/>
        <v>0</v>
      </c>
      <c r="J106" s="536"/>
      <c r="K106" s="674"/>
      <c r="L106" s="542"/>
      <c r="M106" s="674"/>
      <c r="N106" s="542"/>
      <c r="O106" s="542"/>
      <c r="P106" s="491"/>
    </row>
    <row r="107" spans="1:16">
      <c r="C107" s="532" t="str">
        <f>IF(D95="","-",+C106+1)</f>
        <v>-</v>
      </c>
      <c r="D107" s="489">
        <f>F106</f>
        <v>0</v>
      </c>
      <c r="E107" s="539">
        <f t="shared" si="5"/>
        <v>0</v>
      </c>
      <c r="F107" s="489">
        <f t="shared" si="0"/>
        <v>0</v>
      </c>
      <c r="G107" s="533">
        <f t="shared" si="2"/>
        <v>0</v>
      </c>
      <c r="H107" s="540">
        <f t="shared" si="3"/>
        <v>0</v>
      </c>
      <c r="I107" s="536">
        <f t="shared" si="4"/>
        <v>0</v>
      </c>
      <c r="J107" s="536"/>
      <c r="K107" s="674"/>
      <c r="L107" s="542"/>
      <c r="M107" s="674"/>
      <c r="N107" s="542"/>
      <c r="O107" s="542"/>
      <c r="P107" s="491"/>
    </row>
    <row r="108" spans="1:16">
      <c r="C108" s="532" t="str">
        <f>IF(D95="","-",+C107+1)</f>
        <v>-</v>
      </c>
      <c r="D108" s="489">
        <f t="shared" si="1"/>
        <v>0</v>
      </c>
      <c r="E108" s="539">
        <f t="shared" si="5"/>
        <v>0</v>
      </c>
      <c r="F108" s="489">
        <f t="shared" si="0"/>
        <v>0</v>
      </c>
      <c r="G108" s="533">
        <f t="shared" si="2"/>
        <v>0</v>
      </c>
      <c r="H108" s="540">
        <f t="shared" si="3"/>
        <v>0</v>
      </c>
      <c r="I108" s="536">
        <f t="shared" si="4"/>
        <v>0</v>
      </c>
      <c r="J108" s="536"/>
      <c r="K108" s="674"/>
      <c r="L108" s="542"/>
      <c r="M108" s="674"/>
      <c r="N108" s="542"/>
      <c r="O108" s="542"/>
      <c r="P108" s="491"/>
    </row>
    <row r="109" spans="1:16">
      <c r="C109" s="532" t="str">
        <f>IF(D95="","-",+C108+1)</f>
        <v>-</v>
      </c>
      <c r="D109" s="489">
        <f t="shared" si="1"/>
        <v>0</v>
      </c>
      <c r="E109" s="539">
        <f t="shared" si="5"/>
        <v>0</v>
      </c>
      <c r="F109" s="489">
        <f t="shared" si="0"/>
        <v>0</v>
      </c>
      <c r="G109" s="533">
        <f t="shared" si="2"/>
        <v>0</v>
      </c>
      <c r="H109" s="540">
        <f t="shared" si="3"/>
        <v>0</v>
      </c>
      <c r="I109" s="536">
        <f t="shared" si="4"/>
        <v>0</v>
      </c>
      <c r="J109" s="536"/>
      <c r="K109" s="674"/>
      <c r="L109" s="542"/>
      <c r="M109" s="674"/>
      <c r="N109" s="542"/>
      <c r="O109" s="542"/>
      <c r="P109" s="491"/>
    </row>
    <row r="110" spans="1:16">
      <c r="C110" s="532" t="str">
        <f>IF(D95="","-",+C109+1)</f>
        <v>-</v>
      </c>
      <c r="D110" s="489">
        <f t="shared" si="1"/>
        <v>0</v>
      </c>
      <c r="E110" s="539">
        <f t="shared" si="5"/>
        <v>0</v>
      </c>
      <c r="F110" s="489">
        <f t="shared" si="0"/>
        <v>0</v>
      </c>
      <c r="G110" s="533">
        <f t="shared" si="2"/>
        <v>0</v>
      </c>
      <c r="H110" s="540">
        <f t="shared" si="3"/>
        <v>0</v>
      </c>
      <c r="I110" s="536">
        <f t="shared" si="4"/>
        <v>0</v>
      </c>
      <c r="J110" s="536"/>
      <c r="K110" s="674"/>
      <c r="L110" s="542"/>
      <c r="M110" s="674"/>
      <c r="N110" s="542"/>
      <c r="O110" s="542"/>
      <c r="P110" s="491"/>
    </row>
    <row r="111" spans="1:16">
      <c r="C111" s="532" t="str">
        <f>IF(D95="","-",+C110+1)</f>
        <v>-</v>
      </c>
      <c r="D111" s="489">
        <f t="shared" si="1"/>
        <v>0</v>
      </c>
      <c r="E111" s="539">
        <f t="shared" si="5"/>
        <v>0</v>
      </c>
      <c r="F111" s="489">
        <f t="shared" si="0"/>
        <v>0</v>
      </c>
      <c r="G111" s="533">
        <f t="shared" si="2"/>
        <v>0</v>
      </c>
      <c r="H111" s="540">
        <f t="shared" si="3"/>
        <v>0</v>
      </c>
      <c r="I111" s="536">
        <f t="shared" si="4"/>
        <v>0</v>
      </c>
      <c r="J111" s="536"/>
      <c r="K111" s="674"/>
      <c r="L111" s="542"/>
      <c r="M111" s="674"/>
      <c r="N111" s="542"/>
      <c r="O111" s="542"/>
      <c r="P111" s="491"/>
    </row>
    <row r="112" spans="1:16">
      <c r="C112" s="532" t="str">
        <f>IF(D95="","-",+C111+1)</f>
        <v>-</v>
      </c>
      <c r="D112" s="489">
        <f t="shared" si="1"/>
        <v>0</v>
      </c>
      <c r="E112" s="539">
        <f t="shared" si="5"/>
        <v>0</v>
      </c>
      <c r="F112" s="489">
        <f t="shared" si="0"/>
        <v>0</v>
      </c>
      <c r="G112" s="533">
        <f t="shared" si="2"/>
        <v>0</v>
      </c>
      <c r="H112" s="540">
        <f t="shared" si="3"/>
        <v>0</v>
      </c>
      <c r="I112" s="536">
        <f t="shared" si="4"/>
        <v>0</v>
      </c>
      <c r="J112" s="536"/>
      <c r="K112" s="674"/>
      <c r="L112" s="542"/>
      <c r="M112" s="674"/>
      <c r="N112" s="542"/>
      <c r="O112" s="542"/>
      <c r="P112" s="491"/>
    </row>
    <row r="113" spans="3:16">
      <c r="C113" s="532" t="str">
        <f>IF(D95="","-",+C112+1)</f>
        <v>-</v>
      </c>
      <c r="D113" s="489">
        <f t="shared" si="1"/>
        <v>0</v>
      </c>
      <c r="E113" s="539">
        <f t="shared" si="5"/>
        <v>0</v>
      </c>
      <c r="F113" s="489">
        <f t="shared" si="0"/>
        <v>0</v>
      </c>
      <c r="G113" s="533">
        <f t="shared" si="2"/>
        <v>0</v>
      </c>
      <c r="H113" s="540">
        <f t="shared" si="3"/>
        <v>0</v>
      </c>
      <c r="I113" s="536">
        <f t="shared" si="4"/>
        <v>0</v>
      </c>
      <c r="J113" s="536"/>
      <c r="K113" s="674"/>
      <c r="L113" s="542"/>
      <c r="M113" s="674"/>
      <c r="N113" s="543"/>
      <c r="O113" s="542"/>
      <c r="P113" s="491"/>
    </row>
    <row r="114" spans="3:16">
      <c r="C114" s="532" t="str">
        <f>IF(D95="","-",+C113+1)</f>
        <v>-</v>
      </c>
      <c r="D114" s="489">
        <f t="shared" si="1"/>
        <v>0</v>
      </c>
      <c r="E114" s="539">
        <f t="shared" si="5"/>
        <v>0</v>
      </c>
      <c r="F114" s="489">
        <f t="shared" si="0"/>
        <v>0</v>
      </c>
      <c r="G114" s="533">
        <f t="shared" si="2"/>
        <v>0</v>
      </c>
      <c r="H114" s="540">
        <f t="shared" si="3"/>
        <v>0</v>
      </c>
      <c r="I114" s="536">
        <f t="shared" si="4"/>
        <v>0</v>
      </c>
      <c r="J114" s="536"/>
      <c r="K114" s="674"/>
      <c r="L114" s="542"/>
      <c r="M114" s="674"/>
      <c r="N114" s="542"/>
      <c r="O114" s="542"/>
      <c r="P114" s="491"/>
    </row>
    <row r="115" spans="3:16">
      <c r="C115" s="532" t="str">
        <f>IF(D95="","-",+C114+1)</f>
        <v>-</v>
      </c>
      <c r="D115" s="489">
        <f t="shared" si="1"/>
        <v>0</v>
      </c>
      <c r="E115" s="539">
        <f t="shared" si="5"/>
        <v>0</v>
      </c>
      <c r="F115" s="489">
        <f t="shared" si="0"/>
        <v>0</v>
      </c>
      <c r="G115" s="533">
        <f t="shared" si="2"/>
        <v>0</v>
      </c>
      <c r="H115" s="540">
        <f t="shared" si="3"/>
        <v>0</v>
      </c>
      <c r="I115" s="536">
        <f t="shared" si="4"/>
        <v>0</v>
      </c>
      <c r="J115" s="536"/>
      <c r="K115" s="674"/>
      <c r="L115" s="542"/>
      <c r="M115" s="674"/>
      <c r="N115" s="542"/>
      <c r="O115" s="542"/>
      <c r="P115" s="491"/>
    </row>
    <row r="116" spans="3:16">
      <c r="C116" s="532" t="str">
        <f>IF(D95="","-",+C115+1)</f>
        <v>-</v>
      </c>
      <c r="D116" s="489">
        <f t="shared" si="1"/>
        <v>0</v>
      </c>
      <c r="E116" s="539">
        <f t="shared" si="5"/>
        <v>0</v>
      </c>
      <c r="F116" s="489">
        <f t="shared" si="0"/>
        <v>0</v>
      </c>
      <c r="G116" s="533">
        <f t="shared" si="2"/>
        <v>0</v>
      </c>
      <c r="H116" s="540">
        <f t="shared" si="3"/>
        <v>0</v>
      </c>
      <c r="I116" s="536">
        <f t="shared" si="4"/>
        <v>0</v>
      </c>
      <c r="J116" s="536"/>
      <c r="K116" s="674"/>
      <c r="L116" s="542"/>
      <c r="M116" s="674"/>
      <c r="N116" s="542"/>
      <c r="O116" s="542"/>
      <c r="P116" s="491"/>
    </row>
    <row r="117" spans="3:16">
      <c r="C117" s="532" t="str">
        <f>IF(D95="","-",+C116+1)</f>
        <v>-</v>
      </c>
      <c r="D117" s="489">
        <f t="shared" si="1"/>
        <v>0</v>
      </c>
      <c r="E117" s="539">
        <f t="shared" si="5"/>
        <v>0</v>
      </c>
      <c r="F117" s="489">
        <f t="shared" si="0"/>
        <v>0</v>
      </c>
      <c r="G117" s="533">
        <f t="shared" si="2"/>
        <v>0</v>
      </c>
      <c r="H117" s="540">
        <f t="shared" si="3"/>
        <v>0</v>
      </c>
      <c r="I117" s="536">
        <f t="shared" si="4"/>
        <v>0</v>
      </c>
      <c r="J117" s="536"/>
      <c r="K117" s="674"/>
      <c r="L117" s="542"/>
      <c r="M117" s="674"/>
      <c r="N117" s="542"/>
      <c r="O117" s="542"/>
      <c r="P117" s="491"/>
    </row>
    <row r="118" spans="3:16">
      <c r="C118" s="532" t="str">
        <f>IF(D95="","-",+C117+1)</f>
        <v>-</v>
      </c>
      <c r="D118" s="489">
        <f t="shared" si="1"/>
        <v>0</v>
      </c>
      <c r="E118" s="539">
        <f t="shared" si="5"/>
        <v>0</v>
      </c>
      <c r="F118" s="489">
        <f t="shared" si="0"/>
        <v>0</v>
      </c>
      <c r="G118" s="533">
        <f t="shared" si="2"/>
        <v>0</v>
      </c>
      <c r="H118" s="540">
        <f t="shared" si="3"/>
        <v>0</v>
      </c>
      <c r="I118" s="536">
        <f t="shared" si="4"/>
        <v>0</v>
      </c>
      <c r="J118" s="536"/>
      <c r="K118" s="674"/>
      <c r="L118" s="542"/>
      <c r="M118" s="674"/>
      <c r="N118" s="542"/>
      <c r="O118" s="542"/>
      <c r="P118" s="491"/>
    </row>
    <row r="119" spans="3:16">
      <c r="C119" s="532" t="str">
        <f>IF(D95="","-",+C118+1)</f>
        <v>-</v>
      </c>
      <c r="D119" s="489">
        <f t="shared" si="1"/>
        <v>0</v>
      </c>
      <c r="E119" s="539">
        <f t="shared" si="5"/>
        <v>0</v>
      </c>
      <c r="F119" s="489">
        <f t="shared" si="0"/>
        <v>0</v>
      </c>
      <c r="G119" s="533">
        <f t="shared" si="2"/>
        <v>0</v>
      </c>
      <c r="H119" s="540">
        <f t="shared" si="3"/>
        <v>0</v>
      </c>
      <c r="I119" s="536">
        <f t="shared" si="4"/>
        <v>0</v>
      </c>
      <c r="J119" s="536"/>
      <c r="K119" s="674"/>
      <c r="L119" s="542"/>
      <c r="M119" s="674"/>
      <c r="N119" s="542"/>
      <c r="O119" s="542"/>
      <c r="P119" s="491"/>
    </row>
    <row r="120" spans="3:16">
      <c r="C120" s="532" t="str">
        <f>IF(D95="","-",+C119+1)</f>
        <v>-</v>
      </c>
      <c r="D120" s="489">
        <f t="shared" si="1"/>
        <v>0</v>
      </c>
      <c r="E120" s="539">
        <f t="shared" si="5"/>
        <v>0</v>
      </c>
      <c r="F120" s="489">
        <f t="shared" si="0"/>
        <v>0</v>
      </c>
      <c r="G120" s="533">
        <f t="shared" si="2"/>
        <v>0</v>
      </c>
      <c r="H120" s="540">
        <f t="shared" si="3"/>
        <v>0</v>
      </c>
      <c r="I120" s="536">
        <f t="shared" si="4"/>
        <v>0</v>
      </c>
      <c r="J120" s="536"/>
      <c r="K120" s="674"/>
      <c r="L120" s="542"/>
      <c r="M120" s="674"/>
      <c r="N120" s="542"/>
      <c r="O120" s="542"/>
      <c r="P120" s="491"/>
    </row>
    <row r="121" spans="3:16">
      <c r="C121" s="532" t="str">
        <f>IF(D95="","-",+C120+1)</f>
        <v>-</v>
      </c>
      <c r="D121" s="489">
        <f t="shared" si="1"/>
        <v>0</v>
      </c>
      <c r="E121" s="539">
        <f t="shared" si="5"/>
        <v>0</v>
      </c>
      <c r="F121" s="489">
        <f t="shared" si="0"/>
        <v>0</v>
      </c>
      <c r="G121" s="533">
        <f t="shared" si="2"/>
        <v>0</v>
      </c>
      <c r="H121" s="540">
        <f t="shared" si="3"/>
        <v>0</v>
      </c>
      <c r="I121" s="536">
        <f t="shared" si="4"/>
        <v>0</v>
      </c>
      <c r="J121" s="536"/>
      <c r="K121" s="674"/>
      <c r="L121" s="542"/>
      <c r="M121" s="674"/>
      <c r="N121" s="542"/>
      <c r="O121" s="542"/>
      <c r="P121" s="491"/>
    </row>
    <row r="122" spans="3:16">
      <c r="C122" s="532" t="str">
        <f>IF(D95="","-",+C121+1)</f>
        <v>-</v>
      </c>
      <c r="D122" s="489">
        <f t="shared" si="1"/>
        <v>0</v>
      </c>
      <c r="E122" s="539">
        <f t="shared" si="5"/>
        <v>0</v>
      </c>
      <c r="F122" s="489">
        <f t="shared" si="0"/>
        <v>0</v>
      </c>
      <c r="G122" s="533">
        <f t="shared" si="2"/>
        <v>0</v>
      </c>
      <c r="H122" s="540">
        <f t="shared" si="3"/>
        <v>0</v>
      </c>
      <c r="I122" s="536">
        <f t="shared" si="4"/>
        <v>0</v>
      </c>
      <c r="J122" s="536"/>
      <c r="K122" s="674"/>
      <c r="L122" s="542"/>
      <c r="M122" s="674"/>
      <c r="N122" s="542"/>
      <c r="O122" s="542"/>
      <c r="P122" s="491"/>
    </row>
    <row r="123" spans="3:16">
      <c r="C123" s="532" t="str">
        <f>IF(D95="","-",+C122+1)</f>
        <v>-</v>
      </c>
      <c r="D123" s="489">
        <f t="shared" si="1"/>
        <v>0</v>
      </c>
      <c r="E123" s="539">
        <f t="shared" si="5"/>
        <v>0</v>
      </c>
      <c r="F123" s="489">
        <f t="shared" si="0"/>
        <v>0</v>
      </c>
      <c r="G123" s="533">
        <f t="shared" si="2"/>
        <v>0</v>
      </c>
      <c r="H123" s="540">
        <f t="shared" si="3"/>
        <v>0</v>
      </c>
      <c r="I123" s="536">
        <f t="shared" si="4"/>
        <v>0</v>
      </c>
      <c r="J123" s="536"/>
      <c r="K123" s="674"/>
      <c r="L123" s="542"/>
      <c r="M123" s="674"/>
      <c r="N123" s="542"/>
      <c r="O123" s="542"/>
      <c r="P123" s="491"/>
    </row>
    <row r="124" spans="3:16">
      <c r="C124" s="532" t="str">
        <f>IF(D95="","-",+C123+1)</f>
        <v>-</v>
      </c>
      <c r="D124" s="489">
        <f t="shared" si="1"/>
        <v>0</v>
      </c>
      <c r="E124" s="539">
        <f t="shared" si="5"/>
        <v>0</v>
      </c>
      <c r="F124" s="489">
        <f t="shared" si="0"/>
        <v>0</v>
      </c>
      <c r="G124" s="533">
        <f t="shared" si="2"/>
        <v>0</v>
      </c>
      <c r="H124" s="540">
        <f t="shared" si="3"/>
        <v>0</v>
      </c>
      <c r="I124" s="536">
        <f t="shared" si="4"/>
        <v>0</v>
      </c>
      <c r="J124" s="536"/>
      <c r="K124" s="674"/>
      <c r="L124" s="542"/>
      <c r="M124" s="674"/>
      <c r="N124" s="542"/>
      <c r="O124" s="542"/>
      <c r="P124" s="491"/>
    </row>
    <row r="125" spans="3:16">
      <c r="C125" s="532" t="str">
        <f>IF(D95="","-",+C124+1)</f>
        <v>-</v>
      </c>
      <c r="D125" s="489">
        <f t="shared" si="1"/>
        <v>0</v>
      </c>
      <c r="E125" s="539">
        <f t="shared" si="5"/>
        <v>0</v>
      </c>
      <c r="F125" s="489">
        <f t="shared" si="0"/>
        <v>0</v>
      </c>
      <c r="G125" s="533">
        <f t="shared" si="2"/>
        <v>0</v>
      </c>
      <c r="H125" s="540">
        <f t="shared" si="3"/>
        <v>0</v>
      </c>
      <c r="I125" s="536">
        <f t="shared" si="4"/>
        <v>0</v>
      </c>
      <c r="J125" s="536"/>
      <c r="K125" s="674"/>
      <c r="L125" s="542"/>
      <c r="M125" s="674"/>
      <c r="N125" s="542"/>
      <c r="O125" s="542"/>
      <c r="P125" s="491"/>
    </row>
    <row r="126" spans="3:16">
      <c r="C126" s="532" t="str">
        <f>IF(D95="","-",+C125+1)</f>
        <v>-</v>
      </c>
      <c r="D126" s="489">
        <f t="shared" si="1"/>
        <v>0</v>
      </c>
      <c r="E126" s="539">
        <f t="shared" si="5"/>
        <v>0</v>
      </c>
      <c r="F126" s="489">
        <f t="shared" si="0"/>
        <v>0</v>
      </c>
      <c r="G126" s="533">
        <f t="shared" si="2"/>
        <v>0</v>
      </c>
      <c r="H126" s="540">
        <f t="shared" si="3"/>
        <v>0</v>
      </c>
      <c r="I126" s="536">
        <f t="shared" si="4"/>
        <v>0</v>
      </c>
      <c r="J126" s="536"/>
      <c r="K126" s="674"/>
      <c r="L126" s="542"/>
      <c r="M126" s="674"/>
      <c r="N126" s="542"/>
      <c r="O126" s="542"/>
      <c r="P126" s="491"/>
    </row>
    <row r="127" spans="3:16">
      <c r="C127" s="532" t="str">
        <f>IF(D95="","-",+C126+1)</f>
        <v>-</v>
      </c>
      <c r="D127" s="489">
        <f t="shared" si="1"/>
        <v>0</v>
      </c>
      <c r="E127" s="539">
        <f t="shared" si="5"/>
        <v>0</v>
      </c>
      <c r="F127" s="489">
        <f t="shared" si="0"/>
        <v>0</v>
      </c>
      <c r="G127" s="533">
        <f t="shared" si="2"/>
        <v>0</v>
      </c>
      <c r="H127" s="540">
        <f t="shared" si="3"/>
        <v>0</v>
      </c>
      <c r="I127" s="536">
        <f t="shared" si="4"/>
        <v>0</v>
      </c>
      <c r="J127" s="536"/>
      <c r="K127" s="674"/>
      <c r="L127" s="542"/>
      <c r="M127" s="674"/>
      <c r="N127" s="542"/>
      <c r="O127" s="542"/>
      <c r="P127" s="491"/>
    </row>
    <row r="128" spans="3:16">
      <c r="C128" s="532" t="str">
        <f>IF(D95="","-",+C127+1)</f>
        <v>-</v>
      </c>
      <c r="D128" s="489">
        <f t="shared" si="1"/>
        <v>0</v>
      </c>
      <c r="E128" s="539">
        <f t="shared" si="5"/>
        <v>0</v>
      </c>
      <c r="F128" s="489">
        <f t="shared" si="0"/>
        <v>0</v>
      </c>
      <c r="G128" s="533">
        <f t="shared" si="2"/>
        <v>0</v>
      </c>
      <c r="H128" s="540">
        <f t="shared" si="3"/>
        <v>0</v>
      </c>
      <c r="I128" s="536">
        <f t="shared" si="4"/>
        <v>0</v>
      </c>
      <c r="J128" s="536"/>
      <c r="K128" s="674"/>
      <c r="L128" s="542"/>
      <c r="M128" s="674"/>
      <c r="N128" s="542"/>
      <c r="O128" s="542"/>
      <c r="P128" s="491"/>
    </row>
    <row r="129" spans="3:16">
      <c r="C129" s="532" t="str">
        <f>IF(D95="","-",+C128+1)</f>
        <v>-</v>
      </c>
      <c r="D129" s="489">
        <f t="shared" si="1"/>
        <v>0</v>
      </c>
      <c r="E129" s="539">
        <f t="shared" si="5"/>
        <v>0</v>
      </c>
      <c r="F129" s="489">
        <f t="shared" si="0"/>
        <v>0</v>
      </c>
      <c r="G129" s="534">
        <f t="shared" si="2"/>
        <v>0</v>
      </c>
      <c r="H129" s="540">
        <f t="shared" si="3"/>
        <v>0</v>
      </c>
      <c r="I129" s="536">
        <f t="shared" si="4"/>
        <v>0</v>
      </c>
      <c r="J129" s="536"/>
      <c r="K129" s="674"/>
      <c r="L129" s="542"/>
      <c r="M129" s="674"/>
      <c r="N129" s="542"/>
      <c r="O129" s="542"/>
      <c r="P129" s="491"/>
    </row>
    <row r="130" spans="3:16">
      <c r="C130" s="532" t="str">
        <f>IF(D95="","-",+C129+1)</f>
        <v>-</v>
      </c>
      <c r="D130" s="489">
        <f t="shared" si="1"/>
        <v>0</v>
      </c>
      <c r="E130" s="539">
        <f t="shared" si="5"/>
        <v>0</v>
      </c>
      <c r="F130" s="489">
        <f t="shared" si="0"/>
        <v>0</v>
      </c>
      <c r="G130" s="533">
        <f t="shared" si="2"/>
        <v>0</v>
      </c>
      <c r="H130" s="540">
        <f t="shared" si="3"/>
        <v>0</v>
      </c>
      <c r="I130" s="536">
        <f t="shared" si="4"/>
        <v>0</v>
      </c>
      <c r="J130" s="536"/>
      <c r="K130" s="674"/>
      <c r="L130" s="542"/>
      <c r="M130" s="674"/>
      <c r="N130" s="542"/>
      <c r="O130" s="542"/>
      <c r="P130" s="491"/>
    </row>
    <row r="131" spans="3:16">
      <c r="C131" s="532" t="str">
        <f>IF(D95="","-",+C130+1)</f>
        <v>-</v>
      </c>
      <c r="D131" s="489">
        <f t="shared" si="1"/>
        <v>0</v>
      </c>
      <c r="E131" s="539">
        <f t="shared" si="5"/>
        <v>0</v>
      </c>
      <c r="F131" s="489">
        <f t="shared" si="0"/>
        <v>0</v>
      </c>
      <c r="G131" s="533">
        <f t="shared" si="2"/>
        <v>0</v>
      </c>
      <c r="H131" s="540">
        <f t="shared" si="3"/>
        <v>0</v>
      </c>
      <c r="I131" s="536">
        <f t="shared" si="4"/>
        <v>0</v>
      </c>
      <c r="J131" s="536"/>
      <c r="K131" s="674"/>
      <c r="L131" s="542"/>
      <c r="M131" s="674"/>
      <c r="N131" s="542"/>
      <c r="O131" s="542"/>
      <c r="P131" s="491"/>
    </row>
    <row r="132" spans="3:16">
      <c r="C132" s="532" t="str">
        <f>IF(D95="","-",+C131+1)</f>
        <v>-</v>
      </c>
      <c r="D132" s="489">
        <f t="shared" si="1"/>
        <v>0</v>
      </c>
      <c r="E132" s="539">
        <f t="shared" si="5"/>
        <v>0</v>
      </c>
      <c r="F132" s="489">
        <f t="shared" si="0"/>
        <v>0</v>
      </c>
      <c r="G132" s="533">
        <f t="shared" si="2"/>
        <v>0</v>
      </c>
      <c r="H132" s="540">
        <f t="shared" si="3"/>
        <v>0</v>
      </c>
      <c r="I132" s="536">
        <f t="shared" si="4"/>
        <v>0</v>
      </c>
      <c r="J132" s="536"/>
      <c r="K132" s="674"/>
      <c r="L132" s="542"/>
      <c r="M132" s="674"/>
      <c r="N132" s="542"/>
      <c r="O132" s="542"/>
      <c r="P132" s="491"/>
    </row>
    <row r="133" spans="3:16">
      <c r="C133" s="532" t="str">
        <f>IF(D95="","-",+C132+1)</f>
        <v>-</v>
      </c>
      <c r="D133" s="489">
        <f t="shared" si="1"/>
        <v>0</v>
      </c>
      <c r="E133" s="539">
        <f t="shared" si="5"/>
        <v>0</v>
      </c>
      <c r="F133" s="489">
        <f t="shared" si="0"/>
        <v>0</v>
      </c>
      <c r="G133" s="533">
        <f t="shared" si="2"/>
        <v>0</v>
      </c>
      <c r="H133" s="540">
        <f t="shared" si="3"/>
        <v>0</v>
      </c>
      <c r="I133" s="536">
        <f t="shared" si="4"/>
        <v>0</v>
      </c>
      <c r="J133" s="536"/>
      <c r="K133" s="674"/>
      <c r="L133" s="542"/>
      <c r="M133" s="674"/>
      <c r="N133" s="542"/>
      <c r="O133" s="542"/>
      <c r="P133" s="491"/>
    </row>
    <row r="134" spans="3:16">
      <c r="C134" s="532" t="str">
        <f>IF(D95="","-",+C133+1)</f>
        <v>-</v>
      </c>
      <c r="D134" s="489">
        <f t="shared" si="1"/>
        <v>0</v>
      </c>
      <c r="E134" s="539">
        <f t="shared" si="5"/>
        <v>0</v>
      </c>
      <c r="F134" s="489">
        <f t="shared" si="0"/>
        <v>0</v>
      </c>
      <c r="G134" s="533">
        <f t="shared" si="2"/>
        <v>0</v>
      </c>
      <c r="H134" s="540">
        <f t="shared" si="3"/>
        <v>0</v>
      </c>
      <c r="I134" s="536">
        <f t="shared" si="4"/>
        <v>0</v>
      </c>
      <c r="J134" s="536"/>
      <c r="K134" s="674"/>
      <c r="L134" s="542"/>
      <c r="M134" s="674"/>
      <c r="N134" s="542"/>
      <c r="O134" s="542"/>
      <c r="P134" s="491"/>
    </row>
    <row r="135" spans="3:16">
      <c r="C135" s="532" t="str">
        <f>IF(D95="","-",+C134+1)</f>
        <v>-</v>
      </c>
      <c r="D135" s="489">
        <f t="shared" si="1"/>
        <v>0</v>
      </c>
      <c r="E135" s="539">
        <f t="shared" si="5"/>
        <v>0</v>
      </c>
      <c r="F135" s="489">
        <f t="shared" si="0"/>
        <v>0</v>
      </c>
      <c r="G135" s="533">
        <f t="shared" si="2"/>
        <v>0</v>
      </c>
      <c r="H135" s="540">
        <f t="shared" si="3"/>
        <v>0</v>
      </c>
      <c r="I135" s="536">
        <f t="shared" si="4"/>
        <v>0</v>
      </c>
      <c r="J135" s="536"/>
      <c r="K135" s="674"/>
      <c r="L135" s="542"/>
      <c r="M135" s="674"/>
      <c r="N135" s="542"/>
      <c r="O135" s="542"/>
      <c r="P135" s="491"/>
    </row>
    <row r="136" spans="3:16">
      <c r="C136" s="532" t="str">
        <f>IF(D95="","-",+C135+1)</f>
        <v>-</v>
      </c>
      <c r="D136" s="489">
        <f t="shared" si="1"/>
        <v>0</v>
      </c>
      <c r="E136" s="539">
        <f t="shared" si="5"/>
        <v>0</v>
      </c>
      <c r="F136" s="489">
        <f t="shared" si="0"/>
        <v>0</v>
      </c>
      <c r="G136" s="533">
        <f t="shared" si="2"/>
        <v>0</v>
      </c>
      <c r="H136" s="540">
        <f t="shared" si="3"/>
        <v>0</v>
      </c>
      <c r="I136" s="536">
        <f t="shared" si="4"/>
        <v>0</v>
      </c>
      <c r="J136" s="536"/>
      <c r="K136" s="674"/>
      <c r="L136" s="542"/>
      <c r="M136" s="674"/>
      <c r="N136" s="542"/>
      <c r="O136" s="542"/>
      <c r="P136" s="491"/>
    </row>
    <row r="137" spans="3:16">
      <c r="C137" s="532" t="str">
        <f>IF(D95="","-",+C136+1)</f>
        <v>-</v>
      </c>
      <c r="D137" s="489">
        <f t="shared" si="1"/>
        <v>0</v>
      </c>
      <c r="E137" s="539">
        <f t="shared" si="5"/>
        <v>0</v>
      </c>
      <c r="F137" s="489">
        <f t="shared" si="0"/>
        <v>0</v>
      </c>
      <c r="G137" s="533">
        <f t="shared" si="2"/>
        <v>0</v>
      </c>
      <c r="H137" s="540">
        <f t="shared" si="3"/>
        <v>0</v>
      </c>
      <c r="I137" s="536">
        <f t="shared" si="4"/>
        <v>0</v>
      </c>
      <c r="J137" s="536"/>
      <c r="K137" s="674"/>
      <c r="L137" s="542"/>
      <c r="M137" s="674"/>
      <c r="N137" s="542"/>
      <c r="O137" s="542"/>
      <c r="P137" s="491"/>
    </row>
    <row r="138" spans="3:16">
      <c r="C138" s="532" t="str">
        <f>IF(D95="","-",+C137+1)</f>
        <v>-</v>
      </c>
      <c r="D138" s="489">
        <f t="shared" si="1"/>
        <v>0</v>
      </c>
      <c r="E138" s="539">
        <f t="shared" si="5"/>
        <v>0</v>
      </c>
      <c r="F138" s="489">
        <f t="shared" si="0"/>
        <v>0</v>
      </c>
      <c r="G138" s="533">
        <f t="shared" si="2"/>
        <v>0</v>
      </c>
      <c r="H138" s="540">
        <f t="shared" si="3"/>
        <v>0</v>
      </c>
      <c r="I138" s="536">
        <f t="shared" si="4"/>
        <v>0</v>
      </c>
      <c r="J138" s="536"/>
      <c r="K138" s="674"/>
      <c r="L138" s="542"/>
      <c r="M138" s="674"/>
      <c r="N138" s="542"/>
      <c r="O138" s="542"/>
      <c r="P138" s="491"/>
    </row>
    <row r="139" spans="3:16">
      <c r="C139" s="532" t="str">
        <f>IF(D95="","-",+C138+1)</f>
        <v>-</v>
      </c>
      <c r="D139" s="489">
        <f t="shared" si="1"/>
        <v>0</v>
      </c>
      <c r="E139" s="539">
        <f t="shared" si="5"/>
        <v>0</v>
      </c>
      <c r="F139" s="489">
        <f t="shared" si="0"/>
        <v>0</v>
      </c>
      <c r="G139" s="533">
        <f t="shared" si="2"/>
        <v>0</v>
      </c>
      <c r="H139" s="540">
        <f t="shared" si="3"/>
        <v>0</v>
      </c>
      <c r="I139" s="536">
        <f t="shared" si="4"/>
        <v>0</v>
      </c>
      <c r="J139" s="536"/>
      <c r="K139" s="674"/>
      <c r="L139" s="542"/>
      <c r="M139" s="674"/>
      <c r="N139" s="542"/>
      <c r="O139" s="542"/>
      <c r="P139" s="491"/>
    </row>
    <row r="140" spans="3:16">
      <c r="C140" s="532" t="str">
        <f>IF(D95="","-",+C139+1)</f>
        <v>-</v>
      </c>
      <c r="D140" s="489">
        <f t="shared" si="1"/>
        <v>0</v>
      </c>
      <c r="E140" s="539">
        <f t="shared" si="5"/>
        <v>0</v>
      </c>
      <c r="F140" s="489">
        <f t="shared" si="0"/>
        <v>0</v>
      </c>
      <c r="G140" s="533">
        <f t="shared" si="2"/>
        <v>0</v>
      </c>
      <c r="H140" s="540">
        <f t="shared" si="3"/>
        <v>0</v>
      </c>
      <c r="I140" s="536">
        <f t="shared" si="4"/>
        <v>0</v>
      </c>
      <c r="J140" s="536"/>
      <c r="K140" s="674"/>
      <c r="L140" s="542"/>
      <c r="M140" s="674"/>
      <c r="N140" s="542"/>
      <c r="O140" s="542"/>
      <c r="P140" s="491"/>
    </row>
    <row r="141" spans="3:16">
      <c r="C141" s="532" t="str">
        <f>IF(D95="","-",+C140+1)</f>
        <v>-</v>
      </c>
      <c r="D141" s="489">
        <f t="shared" si="1"/>
        <v>0</v>
      </c>
      <c r="E141" s="539">
        <f t="shared" si="5"/>
        <v>0</v>
      </c>
      <c r="F141" s="489">
        <f t="shared" si="0"/>
        <v>0</v>
      </c>
      <c r="G141" s="533">
        <f t="shared" si="2"/>
        <v>0</v>
      </c>
      <c r="H141" s="540">
        <f t="shared" si="3"/>
        <v>0</v>
      </c>
      <c r="I141" s="536">
        <f t="shared" si="4"/>
        <v>0</v>
      </c>
      <c r="J141" s="536"/>
      <c r="K141" s="674"/>
      <c r="L141" s="542"/>
      <c r="M141" s="674"/>
      <c r="N141" s="542"/>
      <c r="O141" s="542"/>
      <c r="P141" s="491"/>
    </row>
    <row r="142" spans="3:16">
      <c r="C142" s="532" t="str">
        <f>IF(D95="","-",+C141+1)</f>
        <v>-</v>
      </c>
      <c r="D142" s="489">
        <f t="shared" si="1"/>
        <v>0</v>
      </c>
      <c r="E142" s="539">
        <f t="shared" si="5"/>
        <v>0</v>
      </c>
      <c r="F142" s="489">
        <f t="shared" si="0"/>
        <v>0</v>
      </c>
      <c r="G142" s="533">
        <v>0</v>
      </c>
      <c r="H142" s="540">
        <f t="shared" si="3"/>
        <v>0</v>
      </c>
      <c r="I142" s="536">
        <f t="shared" si="4"/>
        <v>0</v>
      </c>
      <c r="J142" s="536"/>
      <c r="K142" s="674"/>
      <c r="L142" s="542"/>
      <c r="M142" s="674"/>
      <c r="N142" s="542"/>
      <c r="O142" s="542"/>
      <c r="P142" s="491"/>
    </row>
    <row r="143" spans="3:16">
      <c r="C143" s="532" t="str">
        <f>IF(D95="","-",+C142+1)</f>
        <v>-</v>
      </c>
      <c r="D143" s="489">
        <f t="shared" si="1"/>
        <v>0</v>
      </c>
      <c r="E143" s="539">
        <f t="shared" si="5"/>
        <v>0</v>
      </c>
      <c r="F143" s="489">
        <f t="shared" si="0"/>
        <v>0</v>
      </c>
      <c r="G143" s="533">
        <f t="shared" si="2"/>
        <v>0</v>
      </c>
      <c r="H143" s="540">
        <f t="shared" si="3"/>
        <v>0</v>
      </c>
      <c r="I143" s="536">
        <f t="shared" si="4"/>
        <v>0</v>
      </c>
      <c r="J143" s="536"/>
      <c r="K143" s="674"/>
      <c r="L143" s="542"/>
      <c r="M143" s="674"/>
      <c r="N143" s="542"/>
      <c r="O143" s="542"/>
      <c r="P143" s="491"/>
    </row>
    <row r="144" spans="3:16">
      <c r="C144" s="532" t="str">
        <f>IF(D95="","-",+C143+1)</f>
        <v>-</v>
      </c>
      <c r="D144" s="489">
        <f t="shared" si="1"/>
        <v>0</v>
      </c>
      <c r="E144" s="539">
        <f t="shared" si="5"/>
        <v>0</v>
      </c>
      <c r="F144" s="489">
        <f t="shared" si="0"/>
        <v>0</v>
      </c>
      <c r="G144" s="533">
        <f t="shared" si="2"/>
        <v>0</v>
      </c>
      <c r="H144" s="540">
        <f t="shared" si="3"/>
        <v>0</v>
      </c>
      <c r="I144" s="536">
        <f t="shared" si="4"/>
        <v>0</v>
      </c>
      <c r="J144" s="536"/>
      <c r="K144" s="674"/>
      <c r="L144" s="542"/>
      <c r="M144" s="674"/>
      <c r="N144" s="542"/>
      <c r="O144" s="542"/>
      <c r="P144" s="491"/>
    </row>
    <row r="145" spans="3:16">
      <c r="C145" s="532" t="str">
        <f>IF(D95="","-",+C144+1)</f>
        <v>-</v>
      </c>
      <c r="D145" s="489">
        <f t="shared" si="1"/>
        <v>0</v>
      </c>
      <c r="E145" s="539">
        <f t="shared" si="5"/>
        <v>0</v>
      </c>
      <c r="F145" s="489">
        <f t="shared" si="0"/>
        <v>0</v>
      </c>
      <c r="G145" s="533">
        <f t="shared" si="2"/>
        <v>0</v>
      </c>
      <c r="H145" s="540">
        <f t="shared" si="3"/>
        <v>0</v>
      </c>
      <c r="I145" s="536">
        <f t="shared" si="4"/>
        <v>0</v>
      </c>
      <c r="J145" s="536"/>
      <c r="K145" s="674"/>
      <c r="L145" s="542"/>
      <c r="M145" s="674"/>
      <c r="N145" s="542"/>
      <c r="O145" s="542"/>
      <c r="P145" s="491"/>
    </row>
    <row r="146" spans="3:16">
      <c r="C146" s="532" t="str">
        <f>IF(D95="","-",+C145+1)</f>
        <v>-</v>
      </c>
      <c r="D146" s="489">
        <f t="shared" si="1"/>
        <v>0</v>
      </c>
      <c r="E146" s="539">
        <f t="shared" si="5"/>
        <v>0</v>
      </c>
      <c r="F146" s="489">
        <f t="shared" si="0"/>
        <v>0</v>
      </c>
      <c r="G146" s="533">
        <f t="shared" si="2"/>
        <v>0</v>
      </c>
      <c r="H146" s="540">
        <f t="shared" si="3"/>
        <v>0</v>
      </c>
      <c r="I146" s="536">
        <f t="shared" si="4"/>
        <v>0</v>
      </c>
      <c r="J146" s="536"/>
      <c r="K146" s="674"/>
      <c r="L146" s="542"/>
      <c r="M146" s="674"/>
      <c r="N146" s="542"/>
      <c r="O146" s="542"/>
      <c r="P146" s="491"/>
    </row>
    <row r="147" spans="3:16">
      <c r="C147" s="532" t="str">
        <f>IF(D95="","-",+C146+1)</f>
        <v>-</v>
      </c>
      <c r="D147" s="489">
        <f t="shared" si="1"/>
        <v>0</v>
      </c>
      <c r="E147" s="539">
        <f t="shared" si="5"/>
        <v>0</v>
      </c>
      <c r="F147" s="489">
        <f t="shared" si="0"/>
        <v>0</v>
      </c>
      <c r="G147" s="533">
        <f t="shared" si="2"/>
        <v>0</v>
      </c>
      <c r="H147" s="540">
        <f t="shared" si="3"/>
        <v>0</v>
      </c>
      <c r="I147" s="536">
        <f t="shared" si="4"/>
        <v>0</v>
      </c>
      <c r="J147" s="536"/>
      <c r="K147" s="674"/>
      <c r="L147" s="542"/>
      <c r="M147" s="674"/>
      <c r="N147" s="542"/>
      <c r="O147" s="542"/>
      <c r="P147" s="491"/>
    </row>
    <row r="148" spans="3:16">
      <c r="C148" s="532" t="str">
        <f>IF(D95="","-",+C147+1)</f>
        <v>-</v>
      </c>
      <c r="D148" s="489">
        <f t="shared" si="1"/>
        <v>0</v>
      </c>
      <c r="E148" s="539">
        <f t="shared" si="5"/>
        <v>0</v>
      </c>
      <c r="F148" s="489">
        <f t="shared" si="0"/>
        <v>0</v>
      </c>
      <c r="G148" s="533">
        <f t="shared" si="2"/>
        <v>0</v>
      </c>
      <c r="H148" s="540">
        <f t="shared" si="3"/>
        <v>0</v>
      </c>
      <c r="I148" s="536">
        <f t="shared" si="4"/>
        <v>0</v>
      </c>
      <c r="J148" s="536"/>
      <c r="K148" s="674"/>
      <c r="L148" s="542"/>
      <c r="M148" s="674"/>
      <c r="N148" s="542"/>
      <c r="O148" s="542"/>
      <c r="P148" s="491"/>
    </row>
    <row r="149" spans="3:16">
      <c r="C149" s="532" t="str">
        <f>IF(D95="","-",+C148+1)</f>
        <v>-</v>
      </c>
      <c r="D149" s="489">
        <f t="shared" si="1"/>
        <v>0</v>
      </c>
      <c r="E149" s="539">
        <f t="shared" si="5"/>
        <v>0</v>
      </c>
      <c r="F149" s="489">
        <f t="shared" si="0"/>
        <v>0</v>
      </c>
      <c r="G149" s="533">
        <f t="shared" si="2"/>
        <v>0</v>
      </c>
      <c r="H149" s="540">
        <f t="shared" si="3"/>
        <v>0</v>
      </c>
      <c r="I149" s="536">
        <f t="shared" si="4"/>
        <v>0</v>
      </c>
      <c r="J149" s="536"/>
      <c r="K149" s="674"/>
      <c r="L149" s="542"/>
      <c r="M149" s="674"/>
      <c r="N149" s="542"/>
      <c r="O149" s="542"/>
      <c r="P149" s="491"/>
    </row>
    <row r="150" spans="3:16">
      <c r="C150" s="532" t="str">
        <f>IF(D95="","-",+C149+1)</f>
        <v>-</v>
      </c>
      <c r="D150" s="489">
        <f t="shared" si="1"/>
        <v>0</v>
      </c>
      <c r="E150" s="539">
        <f t="shared" si="5"/>
        <v>0</v>
      </c>
      <c r="F150" s="489">
        <f t="shared" si="0"/>
        <v>0</v>
      </c>
      <c r="G150" s="533">
        <f t="shared" si="2"/>
        <v>0</v>
      </c>
      <c r="H150" s="540">
        <f t="shared" si="3"/>
        <v>0</v>
      </c>
      <c r="I150" s="536">
        <f t="shared" si="4"/>
        <v>0</v>
      </c>
      <c r="J150" s="536"/>
      <c r="K150" s="674"/>
      <c r="L150" s="542"/>
      <c r="M150" s="674"/>
      <c r="N150" s="542"/>
      <c r="O150" s="542"/>
      <c r="P150" s="491"/>
    </row>
    <row r="151" spans="3:16">
      <c r="C151" s="532" t="str">
        <f>IF(D95="","-",+C150+1)</f>
        <v>-</v>
      </c>
      <c r="D151" s="489">
        <f t="shared" si="1"/>
        <v>0</v>
      </c>
      <c r="E151" s="539">
        <f t="shared" si="5"/>
        <v>0</v>
      </c>
      <c r="F151" s="489">
        <f t="shared" si="0"/>
        <v>0</v>
      </c>
      <c r="G151" s="533">
        <f t="shared" si="2"/>
        <v>0</v>
      </c>
      <c r="H151" s="540">
        <f t="shared" si="3"/>
        <v>0</v>
      </c>
      <c r="I151" s="536">
        <f t="shared" si="4"/>
        <v>0</v>
      </c>
      <c r="J151" s="536"/>
      <c r="K151" s="674"/>
      <c r="L151" s="542"/>
      <c r="M151" s="674"/>
      <c r="N151" s="542"/>
      <c r="O151" s="542"/>
      <c r="P151" s="491"/>
    </row>
    <row r="152" spans="3:16">
      <c r="C152" s="532" t="str">
        <f>IF(D95="","-",+C151+1)</f>
        <v>-</v>
      </c>
      <c r="D152" s="489">
        <f t="shared" si="1"/>
        <v>0</v>
      </c>
      <c r="E152" s="539">
        <f t="shared" si="5"/>
        <v>0</v>
      </c>
      <c r="F152" s="489">
        <f t="shared" si="0"/>
        <v>0</v>
      </c>
      <c r="G152" s="533">
        <f t="shared" si="2"/>
        <v>0</v>
      </c>
      <c r="H152" s="540">
        <f t="shared" si="3"/>
        <v>0</v>
      </c>
      <c r="I152" s="536">
        <f t="shared" si="4"/>
        <v>0</v>
      </c>
      <c r="J152" s="536"/>
      <c r="K152" s="674"/>
      <c r="L152" s="542"/>
      <c r="M152" s="674"/>
      <c r="N152" s="542"/>
      <c r="O152" s="542"/>
      <c r="P152" s="491"/>
    </row>
    <row r="153" spans="3:16">
      <c r="C153" s="532" t="str">
        <f>IF(D95="","-",+C152+1)</f>
        <v>-</v>
      </c>
      <c r="D153" s="489">
        <f t="shared" si="1"/>
        <v>0</v>
      </c>
      <c r="E153" s="539">
        <f t="shared" si="5"/>
        <v>0</v>
      </c>
      <c r="F153" s="489">
        <f t="shared" si="0"/>
        <v>0</v>
      </c>
      <c r="G153" s="533">
        <f t="shared" si="2"/>
        <v>0</v>
      </c>
      <c r="H153" s="540">
        <f t="shared" si="3"/>
        <v>0</v>
      </c>
      <c r="I153" s="536">
        <f t="shared" si="4"/>
        <v>0</v>
      </c>
      <c r="J153" s="536"/>
      <c r="K153" s="674"/>
      <c r="L153" s="542"/>
      <c r="M153" s="674"/>
      <c r="N153" s="542"/>
      <c r="O153" s="542"/>
      <c r="P153" s="491"/>
    </row>
    <row r="154" spans="3:16">
      <c r="C154" s="532" t="str">
        <f>IF(D95="","-",+C153+1)</f>
        <v>-</v>
      </c>
      <c r="D154" s="489">
        <f t="shared" si="1"/>
        <v>0</v>
      </c>
      <c r="E154" s="539">
        <f t="shared" si="5"/>
        <v>0</v>
      </c>
      <c r="F154" s="489">
        <f t="shared" si="0"/>
        <v>0</v>
      </c>
      <c r="G154" s="533">
        <f t="shared" si="2"/>
        <v>0</v>
      </c>
      <c r="H154" s="540">
        <f t="shared" si="3"/>
        <v>0</v>
      </c>
      <c r="I154" s="536">
        <f t="shared" si="4"/>
        <v>0</v>
      </c>
      <c r="J154" s="536"/>
      <c r="K154" s="674"/>
      <c r="L154" s="542"/>
      <c r="M154" s="674"/>
      <c r="N154" s="542"/>
      <c r="O154" s="542"/>
      <c r="P154" s="491"/>
    </row>
    <row r="155" spans="3:16">
      <c r="C155" s="532" t="str">
        <f>IF(D95="","-",+C154+1)</f>
        <v>-</v>
      </c>
      <c r="D155" s="489">
        <f t="shared" si="1"/>
        <v>0</v>
      </c>
      <c r="E155" s="539">
        <f t="shared" si="5"/>
        <v>0</v>
      </c>
      <c r="F155" s="489">
        <f t="shared" si="0"/>
        <v>0</v>
      </c>
      <c r="G155" s="533">
        <f t="shared" si="2"/>
        <v>0</v>
      </c>
      <c r="H155" s="540">
        <f t="shared" si="3"/>
        <v>0</v>
      </c>
      <c r="I155" s="536">
        <f t="shared" si="4"/>
        <v>0</v>
      </c>
      <c r="J155" s="536"/>
      <c r="K155" s="674"/>
      <c r="L155" s="542"/>
      <c r="M155" s="674"/>
      <c r="N155" s="542"/>
      <c r="O155" s="542"/>
      <c r="P155" s="491"/>
    </row>
    <row r="156" spans="3:16">
      <c r="C156" s="532" t="str">
        <f>IF(D95="","-",+C155+1)</f>
        <v>-</v>
      </c>
      <c r="D156" s="489">
        <f t="shared" si="1"/>
        <v>0</v>
      </c>
      <c r="E156" s="539">
        <f t="shared" si="5"/>
        <v>0</v>
      </c>
      <c r="F156" s="489">
        <f t="shared" si="0"/>
        <v>0</v>
      </c>
      <c r="G156" s="533">
        <f t="shared" si="2"/>
        <v>0</v>
      </c>
      <c r="H156" s="540">
        <f t="shared" si="3"/>
        <v>0</v>
      </c>
      <c r="I156" s="536">
        <f t="shared" si="4"/>
        <v>0</v>
      </c>
      <c r="J156" s="536"/>
      <c r="K156" s="674"/>
      <c r="L156" s="542"/>
      <c r="M156" s="674"/>
      <c r="N156" s="542"/>
      <c r="O156" s="542"/>
      <c r="P156" s="491"/>
    </row>
    <row r="157" spans="3:16">
      <c r="C157" s="532" t="str">
        <f>IF(D95="","-",+C156+1)</f>
        <v>-</v>
      </c>
      <c r="D157" s="489">
        <f t="shared" si="1"/>
        <v>0</v>
      </c>
      <c r="E157" s="539">
        <f t="shared" si="5"/>
        <v>0</v>
      </c>
      <c r="F157" s="489">
        <f t="shared" si="0"/>
        <v>0</v>
      </c>
      <c r="G157" s="533">
        <f t="shared" si="2"/>
        <v>0</v>
      </c>
      <c r="H157" s="540">
        <f t="shared" si="3"/>
        <v>0</v>
      </c>
      <c r="I157" s="536">
        <f t="shared" si="4"/>
        <v>0</v>
      </c>
      <c r="J157" s="536"/>
      <c r="K157" s="674"/>
      <c r="L157" s="542"/>
      <c r="M157" s="674"/>
      <c r="N157" s="542"/>
      <c r="O157" s="542"/>
      <c r="P157" s="491"/>
    </row>
    <row r="158" spans="3:16">
      <c r="C158" s="532" t="str">
        <f>IF(D95="","-",+C157+1)</f>
        <v>-</v>
      </c>
      <c r="D158" s="489">
        <f t="shared" si="1"/>
        <v>0</v>
      </c>
      <c r="E158" s="539">
        <f t="shared" si="5"/>
        <v>0</v>
      </c>
      <c r="F158" s="489">
        <f t="shared" si="0"/>
        <v>0</v>
      </c>
      <c r="G158" s="533">
        <f t="shared" si="2"/>
        <v>0</v>
      </c>
      <c r="H158" s="540">
        <f t="shared" si="3"/>
        <v>0</v>
      </c>
      <c r="I158" s="536">
        <f t="shared" si="4"/>
        <v>0</v>
      </c>
      <c r="J158" s="536"/>
      <c r="K158" s="674"/>
      <c r="L158" s="542"/>
      <c r="M158" s="674"/>
      <c r="N158" s="542"/>
      <c r="O158" s="542"/>
      <c r="P158" s="491"/>
    </row>
    <row r="159" spans="3:16">
      <c r="C159" s="532" t="str">
        <f>IF(D95="","-",+C158+1)</f>
        <v>-</v>
      </c>
      <c r="D159" s="489">
        <f t="shared" si="1"/>
        <v>0</v>
      </c>
      <c r="E159" s="539">
        <f t="shared" si="5"/>
        <v>0</v>
      </c>
      <c r="F159" s="489">
        <f t="shared" si="0"/>
        <v>0</v>
      </c>
      <c r="G159" s="533">
        <f t="shared" si="2"/>
        <v>0</v>
      </c>
      <c r="H159" s="540">
        <f t="shared" si="3"/>
        <v>0</v>
      </c>
      <c r="I159" s="536">
        <f t="shared" si="4"/>
        <v>0</v>
      </c>
      <c r="J159" s="536"/>
      <c r="K159" s="674"/>
      <c r="L159" s="542"/>
      <c r="M159" s="674"/>
      <c r="N159" s="542"/>
      <c r="O159" s="542"/>
      <c r="P159" s="491"/>
    </row>
    <row r="160" spans="3:16" ht="13" thickBot="1">
      <c r="C160" s="544" t="str">
        <f>IF(D95="","-",+C159+1)</f>
        <v>-</v>
      </c>
      <c r="D160" s="545">
        <f t="shared" si="1"/>
        <v>0</v>
      </c>
      <c r="E160" s="546">
        <f t="shared" si="5"/>
        <v>0</v>
      </c>
      <c r="F160" s="545">
        <f t="shared" si="0"/>
        <v>0</v>
      </c>
      <c r="G160" s="547">
        <f t="shared" si="2"/>
        <v>0</v>
      </c>
      <c r="H160" s="547">
        <f t="shared" si="3"/>
        <v>0</v>
      </c>
      <c r="I160" s="548">
        <f t="shared" si="4"/>
        <v>0</v>
      </c>
      <c r="J160" s="536"/>
      <c r="K160" s="675"/>
      <c r="L160" s="550"/>
      <c r="M160" s="675"/>
      <c r="N160" s="550"/>
      <c r="O160" s="550"/>
      <c r="P160" s="491"/>
    </row>
    <row r="161" spans="3:16">
      <c r="C161" s="489" t="s">
        <v>290</v>
      </c>
      <c r="D161" s="487"/>
      <c r="E161" s="487">
        <f>SUM(E101:E160)</f>
        <v>0</v>
      </c>
      <c r="F161" s="487"/>
      <c r="G161" s="487">
        <f>SUM(G101:G160)</f>
        <v>0</v>
      </c>
      <c r="H161" s="487">
        <f>SUM(H101:H160)</f>
        <v>0</v>
      </c>
      <c r="I161" s="487">
        <f>SUM(I101:I160)</f>
        <v>0</v>
      </c>
      <c r="J161" s="487"/>
      <c r="K161" s="487"/>
      <c r="L161" s="487"/>
      <c r="M161" s="487"/>
      <c r="N161" s="487"/>
      <c r="O161" s="4"/>
      <c r="P161" s="487"/>
    </row>
    <row r="162" spans="3:16">
      <c r="D162" s="79"/>
      <c r="E162" s="4"/>
      <c r="F162" s="4"/>
      <c r="G162" s="4"/>
      <c r="H162" s="472"/>
      <c r="I162" s="472"/>
      <c r="J162" s="487"/>
      <c r="K162" s="472"/>
      <c r="L162" s="472"/>
      <c r="M162" s="472"/>
      <c r="N162" s="472"/>
      <c r="O162" s="4"/>
      <c r="P162" s="487"/>
    </row>
    <row r="163" spans="3:16">
      <c r="C163" s="4" t="s">
        <v>601</v>
      </c>
      <c r="D163" s="79"/>
      <c r="E163" s="4"/>
      <c r="F163" s="4"/>
      <c r="G163" s="4"/>
      <c r="H163" s="472"/>
      <c r="I163" s="472"/>
      <c r="J163" s="487"/>
      <c r="K163" s="472"/>
      <c r="L163" s="472"/>
      <c r="M163" s="472"/>
      <c r="N163" s="472"/>
      <c r="O163" s="4"/>
      <c r="P163" s="487"/>
    </row>
    <row r="164" spans="3:16">
      <c r="D164" s="79"/>
      <c r="E164" s="4"/>
      <c r="F164" s="4"/>
      <c r="G164" s="4"/>
      <c r="H164" s="472"/>
      <c r="I164" s="472"/>
      <c r="J164" s="487"/>
      <c r="K164" s="472"/>
      <c r="L164" s="472"/>
      <c r="M164" s="472"/>
      <c r="N164" s="472"/>
      <c r="O164" s="4"/>
      <c r="P164" s="487"/>
    </row>
    <row r="165" spans="3:16">
      <c r="C165" s="4" t="s">
        <v>602</v>
      </c>
      <c r="D165" s="489"/>
      <c r="E165" s="489"/>
      <c r="F165" s="489"/>
      <c r="G165" s="487"/>
      <c r="H165" s="487"/>
      <c r="I165" s="491"/>
      <c r="J165" s="491"/>
      <c r="K165" s="491"/>
      <c r="L165" s="491"/>
      <c r="M165" s="491"/>
      <c r="N165" s="491"/>
      <c r="O165" s="4"/>
      <c r="P165" s="491"/>
    </row>
    <row r="166" spans="3:16">
      <c r="C166" s="4" t="s">
        <v>478</v>
      </c>
      <c r="D166" s="489"/>
      <c r="E166" s="489"/>
      <c r="F166" s="489"/>
      <c r="G166" s="487"/>
      <c r="H166" s="487"/>
      <c r="I166" s="491"/>
      <c r="J166" s="491"/>
      <c r="K166" s="491"/>
      <c r="L166" s="491"/>
      <c r="M166" s="491"/>
      <c r="N166" s="491"/>
      <c r="O166" s="4"/>
      <c r="P166" s="491"/>
    </row>
    <row r="167" spans="3:16">
      <c r="C167" s="4" t="s">
        <v>291</v>
      </c>
      <c r="D167" s="489"/>
      <c r="E167" s="489"/>
      <c r="F167" s="489"/>
      <c r="G167" s="487"/>
      <c r="H167" s="487"/>
      <c r="I167" s="491"/>
      <c r="J167" s="491"/>
      <c r="K167" s="491"/>
      <c r="L167" s="491"/>
      <c r="M167" s="491"/>
      <c r="N167" s="491"/>
      <c r="O167" s="4"/>
      <c r="P167" s="491"/>
    </row>
    <row r="168" spans="3:16" ht="13">
      <c r="C168" s="490"/>
      <c r="D168" s="489"/>
      <c r="E168" s="489"/>
      <c r="F168" s="489"/>
      <c r="G168" s="487"/>
      <c r="H168" s="487"/>
      <c r="I168" s="491"/>
      <c r="J168" s="491"/>
      <c r="K168" s="491"/>
      <c r="L168" s="491"/>
      <c r="M168" s="491"/>
      <c r="N168" s="491"/>
      <c r="O168" s="4"/>
      <c r="P168" s="491"/>
    </row>
    <row r="169" spans="3:16">
      <c r="C169" s="1220" t="s">
        <v>462</v>
      </c>
      <c r="D169" s="1220"/>
      <c r="E169" s="1220"/>
      <c r="F169" s="1220"/>
      <c r="G169" s="1220"/>
      <c r="H169" s="1220"/>
      <c r="I169" s="1220"/>
      <c r="J169" s="1220"/>
      <c r="K169" s="1220"/>
      <c r="L169" s="1220"/>
      <c r="M169" s="1220"/>
      <c r="N169" s="1220"/>
      <c r="O169" s="1220"/>
    </row>
    <row r="170" spans="3:16">
      <c r="C170" s="1220"/>
      <c r="D170" s="1220"/>
      <c r="E170" s="1220"/>
      <c r="F170" s="1220"/>
      <c r="G170" s="1220"/>
      <c r="H170" s="1220"/>
      <c r="I170" s="1220"/>
      <c r="J170" s="1220"/>
      <c r="K170" s="1220"/>
      <c r="L170" s="1220"/>
      <c r="M170" s="1220"/>
      <c r="N170" s="1220"/>
      <c r="O170" s="1220"/>
    </row>
  </sheetData>
  <mergeCells count="9">
    <mergeCell ref="D90:G90"/>
    <mergeCell ref="K94:O94"/>
    <mergeCell ref="C169:O170"/>
    <mergeCell ref="K22:O23"/>
    <mergeCell ref="A3:O3"/>
    <mergeCell ref="C11:H12"/>
    <mergeCell ref="A4:O4"/>
    <mergeCell ref="A5:O5"/>
    <mergeCell ref="A6:O6"/>
  </mergeCells>
  <phoneticPr fontId="0" type="noConversion"/>
  <conditionalFormatting sqref="C101:C160">
    <cfRule type="cellIs" dxfId="14" priority="11" stopIfTrue="1" operator="equal">
      <formula>$I$92</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1" max="14" man="1"/>
    <brk id="1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9"/>
  <sheetViews>
    <sheetView view="pageBreakPreview" topLeftCell="A82" zoomScale="85" zoomScaleNormal="100" zoomScaleSheetLayoutView="85" workbookViewId="0">
      <selection activeCell="G152" sqref="G152:G159"/>
    </sheetView>
  </sheetViews>
  <sheetFormatPr defaultColWidth="8.81640625" defaultRowHeight="12.5"/>
  <cols>
    <col min="1" max="1" width="4.7265625" customWidth="1"/>
    <col min="2" max="2" width="6.7265625" customWidth="1"/>
    <col min="3" max="3" width="32.26953125" customWidth="1"/>
    <col min="4" max="4" width="17.7265625" style="1" customWidth="1"/>
    <col min="5" max="8" width="17.7265625" customWidth="1"/>
    <col min="9" max="9" width="17.7265625" style="430" customWidth="1"/>
    <col min="10" max="10" width="17.7265625" bestFit="1" customWidth="1"/>
    <col min="11" max="11" width="2.1796875" customWidth="1"/>
    <col min="12" max="12" width="17.7265625" style="4" customWidth="1"/>
    <col min="13" max="13" width="31.81640625" style="4" customWidth="1"/>
    <col min="14" max="15" width="17.7265625" style="4" customWidth="1"/>
    <col min="16" max="16" width="16.7265625" style="4" customWidth="1"/>
    <col min="17" max="17" width="2.1796875" style="4" customWidth="1"/>
  </cols>
  <sheetData>
    <row r="1" spans="1:17" ht="15.5">
      <c r="A1" s="694" t="s">
        <v>630</v>
      </c>
    </row>
    <row r="2" spans="1:17" ht="15.5">
      <c r="A2" s="694" t="s">
        <v>631</v>
      </c>
    </row>
    <row r="3" spans="1:17" ht="15.5">
      <c r="A3" s="1176" t="s">
        <v>389</v>
      </c>
      <c r="B3" s="1176"/>
      <c r="C3" s="1176"/>
      <c r="D3" s="1176"/>
      <c r="E3" s="1176"/>
      <c r="F3" s="1176"/>
      <c r="G3" s="1176"/>
      <c r="H3" s="1176"/>
      <c r="I3" s="1176"/>
      <c r="J3" s="1176"/>
      <c r="K3" s="1176"/>
      <c r="L3" s="1176"/>
      <c r="M3" s="1176"/>
      <c r="N3" s="1176"/>
      <c r="O3" s="1176"/>
      <c r="P3" s="1176"/>
    </row>
    <row r="4" spans="1:17" ht="15.5">
      <c r="A4" s="1177" t="str">
        <f>"Cost of Service Formula Rate Using "&amp;TCOS!L4&amp;" FF1 Balances"</f>
        <v>Cost of Service Formula Rate Using 2024 FF1 Balances</v>
      </c>
      <c r="B4" s="1177"/>
      <c r="C4" s="1177"/>
      <c r="D4" s="1177"/>
      <c r="E4" s="1177"/>
      <c r="F4" s="1177"/>
      <c r="G4" s="1177"/>
      <c r="H4" s="1177"/>
      <c r="I4" s="1177"/>
      <c r="J4" s="1177"/>
      <c r="K4" s="1177"/>
      <c r="L4" s="1177"/>
      <c r="M4" s="1177"/>
      <c r="N4" s="1177"/>
      <c r="O4" s="1177"/>
      <c r="P4" s="1177"/>
    </row>
    <row r="5" spans="1:17" ht="15.5">
      <c r="A5" s="1177" t="s">
        <v>471</v>
      </c>
      <c r="B5" s="1177"/>
      <c r="C5" s="1177"/>
      <c r="D5" s="1177"/>
      <c r="E5" s="1177"/>
      <c r="F5" s="1177"/>
      <c r="G5" s="1177"/>
      <c r="H5" s="1177"/>
      <c r="I5" s="1177"/>
      <c r="J5" s="1177"/>
      <c r="K5" s="1177"/>
      <c r="L5" s="1177"/>
      <c r="M5" s="1177"/>
      <c r="N5" s="1177"/>
      <c r="O5" s="1177"/>
      <c r="P5" s="1177"/>
    </row>
    <row r="6" spans="1:17" ht="15.5">
      <c r="A6" s="1188" t="str">
        <f>TCOS!F9</f>
        <v>KENTUCKY POWER COMPANY</v>
      </c>
      <c r="B6" s="1188"/>
      <c r="C6" s="1188"/>
      <c r="D6" s="1188"/>
      <c r="E6" s="1188"/>
      <c r="F6" s="1188"/>
      <c r="G6" s="1188"/>
      <c r="H6" s="1188"/>
      <c r="I6" s="1188"/>
      <c r="J6" s="1188"/>
      <c r="K6" s="1188"/>
      <c r="L6" s="1188"/>
      <c r="M6" s="1188"/>
      <c r="N6" s="1188"/>
      <c r="O6" s="1188"/>
      <c r="P6" s="1188"/>
    </row>
    <row r="8" spans="1:17" ht="20">
      <c r="A8" s="431"/>
      <c r="O8" s="11" t="str">
        <f>"Page "&amp;Q8&amp;" of "</f>
        <v xml:space="preserve">Page 1 of </v>
      </c>
      <c r="P8" s="432">
        <f>COUNT(Q$8:Q$58122)</f>
        <v>2</v>
      </c>
      <c r="Q8" s="11">
        <v>1</v>
      </c>
    </row>
    <row r="9" spans="1:17" ht="18">
      <c r="C9" s="13"/>
    </row>
    <row r="11" spans="1:17" ht="17">
      <c r="B11" s="433" t="s">
        <v>173</v>
      </c>
      <c r="C11" s="1227" t="str">
        <f>"Calculate Return and Income Taxes with "&amp;F17&amp;" basis point ROE increase for Projects Qualified for Regional Billing."</f>
        <v>Calculate Return and Income Taxes with 0 basis point ROE increase for Projects Qualified for Regional Billing.</v>
      </c>
      <c r="D11" s="1228"/>
      <c r="E11" s="1228"/>
      <c r="F11" s="1228"/>
      <c r="G11" s="1228"/>
      <c r="H11" s="1228"/>
      <c r="I11" s="1228"/>
    </row>
    <row r="12" spans="1:17" ht="18.75" customHeight="1">
      <c r="C12" s="1228"/>
      <c r="D12" s="1228"/>
      <c r="E12" s="1228"/>
      <c r="F12" s="1228"/>
      <c r="G12" s="1228"/>
      <c r="H12" s="1228"/>
      <c r="I12" s="1228"/>
    </row>
    <row r="13" spans="1:17" ht="15.75" customHeight="1">
      <c r="C13" s="12"/>
      <c r="D13" s="12"/>
      <c r="E13" s="12"/>
      <c r="F13" s="12"/>
      <c r="G13" s="12"/>
      <c r="H13" s="12"/>
      <c r="I13" s="12"/>
    </row>
    <row r="14" spans="1:17" ht="15.5">
      <c r="C14" s="434" t="str">
        <f>"A.   Determine 'R' with hypothetical "&amp;F17&amp;" basis point increase in ROE for Identified Projects"</f>
        <v>A.   Determine 'R' with hypothetical 0 basis point increase in ROE for Identified Projects</v>
      </c>
      <c r="D14" s="303"/>
    </row>
    <row r="15" spans="1:17">
      <c r="C15" s="70"/>
      <c r="D15" s="303"/>
    </row>
    <row r="16" spans="1:17">
      <c r="C16" s="435" t="str">
        <f>"   ROE w/o incentives  (TCOS, ln "&amp;TCOS!B257&amp;")"</f>
        <v xml:space="preserve">   ROE w/o incentives  (TCOS, ln 156)</v>
      </c>
      <c r="D16" s="303"/>
      <c r="E16" s="436"/>
      <c r="F16" s="552">
        <f>TCOS!J257</f>
        <v>0.10349999999999999</v>
      </c>
      <c r="G16" s="552"/>
      <c r="H16" s="436"/>
      <c r="I16" s="438"/>
      <c r="J16" s="438"/>
      <c r="K16" s="438"/>
      <c r="L16" s="438"/>
      <c r="M16" s="438"/>
      <c r="N16" s="438"/>
      <c r="O16" s="438"/>
      <c r="P16" s="438"/>
      <c r="Q16" s="438"/>
    </row>
    <row r="17" spans="3:17" ht="13" thickBot="1">
      <c r="C17" s="435" t="s">
        <v>254</v>
      </c>
      <c r="D17" s="303"/>
      <c r="E17" s="436"/>
      <c r="F17" s="667">
        <v>0</v>
      </c>
      <c r="G17" s="436"/>
      <c r="H17" s="436"/>
      <c r="I17" s="438"/>
      <c r="J17" s="438"/>
      <c r="K17" s="438"/>
      <c r="L17" s="438"/>
      <c r="M17" s="438"/>
      <c r="N17" s="438"/>
      <c r="O17" s="438"/>
      <c r="P17" s="438"/>
      <c r="Q17" s="438"/>
    </row>
    <row r="18" spans="3:17" ht="13">
      <c r="C18" s="435" t="str">
        <f>"   ROE with additional "&amp;F17&amp;" basis point incentive"</f>
        <v xml:space="preserve">   ROE with additional 0 basis point incentive</v>
      </c>
      <c r="D18" s="436"/>
      <c r="E18" s="436"/>
      <c r="F18" s="439">
        <f>IF((F16+(F17/10000)&gt;0.125),"ERROR",F16+(F17/10000))</f>
        <v>0.10349999999999999</v>
      </c>
      <c r="G18" s="440"/>
      <c r="H18" s="436"/>
      <c r="I18" s="438"/>
      <c r="J18" s="438"/>
      <c r="K18" s="438"/>
      <c r="L18" s="553" t="s">
        <v>456</v>
      </c>
      <c r="M18" s="554"/>
      <c r="N18" s="554"/>
      <c r="O18" s="554"/>
      <c r="P18" s="555"/>
      <c r="Q18" s="438"/>
    </row>
    <row r="19" spans="3:17">
      <c r="C19" s="435" t="str">
        <f>"   Determine R  ( cost of long term debt, cost of preferred stock and equity percentage is from the TCOS, lns "&amp;TCOS!B255&amp;" through"&amp;TCOS!B257&amp;")"</f>
        <v xml:space="preserve">   Determine R  ( cost of long term debt, cost of preferred stock and equity percentage is from the TCOS, lns 154 through156)</v>
      </c>
      <c r="D19" s="303"/>
      <c r="E19" s="436"/>
      <c r="F19" s="441"/>
      <c r="G19" s="441"/>
      <c r="H19" s="436"/>
      <c r="I19" s="438"/>
      <c r="J19" s="438"/>
      <c r="K19" s="438"/>
      <c r="L19" s="556"/>
      <c r="M19" s="438"/>
      <c r="N19" s="438" t="s">
        <v>256</v>
      </c>
      <c r="O19" s="438" t="s">
        <v>257</v>
      </c>
      <c r="P19" s="557" t="s">
        <v>258</v>
      </c>
      <c r="Q19" s="438"/>
    </row>
    <row r="20" spans="3:17">
      <c r="C20" s="438"/>
      <c r="D20" s="442" t="s">
        <v>148</v>
      </c>
      <c r="E20" s="442" t="s">
        <v>147</v>
      </c>
      <c r="F20" s="443" t="s">
        <v>255</v>
      </c>
      <c r="G20" s="443"/>
      <c r="H20" s="436"/>
      <c r="I20" s="438"/>
      <c r="J20" s="438"/>
      <c r="K20" s="438"/>
      <c r="L20" s="556" t="s">
        <v>454</v>
      </c>
      <c r="M20" s="558">
        <f>+TCOS!L4</f>
        <v>2024</v>
      </c>
      <c r="P20" s="559"/>
      <c r="Q20" s="438"/>
    </row>
    <row r="21" spans="3:17">
      <c r="C21" s="444" t="s">
        <v>259</v>
      </c>
      <c r="D21" s="560">
        <f>TCOS!H255</f>
        <v>0.57572171222088686</v>
      </c>
      <c r="E21" s="445">
        <f>TCOS!J255</f>
        <v>5.4907157126244735E-2</v>
      </c>
      <c r="F21" s="446">
        <f>E21*D21</f>
        <v>3.161124251390289E-2</v>
      </c>
      <c r="G21" s="446"/>
      <c r="H21" s="436"/>
      <c r="I21" s="438"/>
      <c r="J21" s="447"/>
      <c r="K21" s="447"/>
      <c r="L21" s="512"/>
      <c r="M21" s="561" t="s">
        <v>455</v>
      </c>
      <c r="N21" s="676" t="e">
        <f>M90+#REF!+#REF!+#REF!+#REF!+#REF!+#REF!+#REF!+#REF!</f>
        <v>#N/A</v>
      </c>
      <c r="O21" s="676" t="e">
        <f>N90+#REF!+#REF!+#REF!+#REF!+#REF!+#REF!+#REF!+#REF!</f>
        <v>#N/A</v>
      </c>
      <c r="P21" s="562" t="e">
        <f>+O21-N21</f>
        <v>#N/A</v>
      </c>
      <c r="Q21" s="447"/>
    </row>
    <row r="22" spans="3:17" ht="13" thickBot="1">
      <c r="C22" s="444" t="s">
        <v>260</v>
      </c>
      <c r="D22" s="560">
        <f>TCOS!H256</f>
        <v>0</v>
      </c>
      <c r="E22" s="445">
        <f>TCOS!J256</f>
        <v>0</v>
      </c>
      <c r="F22" s="446">
        <f>E22*D22</f>
        <v>0</v>
      </c>
      <c r="G22" s="446"/>
      <c r="H22" s="448"/>
      <c r="I22" s="448"/>
      <c r="J22" s="449"/>
      <c r="K22" s="449"/>
      <c r="L22" s="512"/>
      <c r="M22" s="561" t="s">
        <v>261</v>
      </c>
      <c r="N22" s="677" t="e">
        <f>M91+#REF!+#REF!+#REF!+#REF!+#REF!+#REF!+#REF!+#REF!</f>
        <v>#N/A</v>
      </c>
      <c r="O22" s="677" t="e">
        <f>N91+#REF!+#REF!+#REF!+#REF!+#REF!+#REF!+#REF!+#REF!</f>
        <v>#N/A</v>
      </c>
      <c r="P22" s="563" t="e">
        <f>+O22-N22</f>
        <v>#N/A</v>
      </c>
      <c r="Q22" s="449"/>
    </row>
    <row r="23" spans="3:17">
      <c r="C23" s="444" t="s">
        <v>246</v>
      </c>
      <c r="D23" s="560">
        <f>TCOS!H257</f>
        <v>0.42427828777911325</v>
      </c>
      <c r="E23" s="445">
        <f>+F18</f>
        <v>0.10349999999999999</v>
      </c>
      <c r="F23" s="450">
        <f>E23*D23</f>
        <v>4.3912802785138219E-2</v>
      </c>
      <c r="G23" s="450"/>
      <c r="H23" s="448"/>
      <c r="I23" s="448"/>
      <c r="J23" s="449"/>
      <c r="K23" s="449"/>
      <c r="L23" s="512"/>
      <c r="M23" s="561" t="str">
        <f>"True-up of ARR For "&amp;TCOS!L4&amp;""</f>
        <v>True-up of ARR For 2024</v>
      </c>
      <c r="N23" s="489" t="e">
        <f>+N22-N21</f>
        <v>#N/A</v>
      </c>
      <c r="O23" s="489" t="e">
        <f>+O22-O21</f>
        <v>#N/A</v>
      </c>
      <c r="P23" s="564" t="e">
        <f>+P22-P21</f>
        <v>#N/A</v>
      </c>
      <c r="Q23" s="449"/>
    </row>
    <row r="24" spans="3:17">
      <c r="C24" s="435"/>
      <c r="D24"/>
      <c r="E24" s="451" t="s">
        <v>262</v>
      </c>
      <c r="F24" s="446">
        <f>SUM(F21:F23)</f>
        <v>7.5524045299041109E-2</v>
      </c>
      <c r="G24" s="446"/>
      <c r="H24" s="448"/>
      <c r="I24" s="448"/>
      <c r="J24" s="449"/>
      <c r="K24" s="449"/>
      <c r="L24" s="512"/>
      <c r="P24" s="559"/>
      <c r="Q24" s="449"/>
    </row>
    <row r="25" spans="3:17" ht="13" thickBot="1">
      <c r="C25" s="70"/>
      <c r="D25" s="456"/>
      <c r="E25" s="456"/>
      <c r="F25" s="448"/>
      <c r="G25" s="448"/>
      <c r="H25" s="448"/>
      <c r="I25" s="448"/>
      <c r="J25" s="448"/>
      <c r="K25" s="448"/>
      <c r="L25" s="565"/>
      <c r="M25" s="566"/>
      <c r="N25" s="567"/>
      <c r="O25" s="567"/>
      <c r="P25" s="563"/>
      <c r="Q25" s="448"/>
    </row>
    <row r="26" spans="3:17" ht="15.5">
      <c r="C26" s="434" t="str">
        <f>"B.   Determine Return using 'R' with hypothetical "&amp;F17&amp;" basis point ROE increase for Identified Projects."</f>
        <v>B.   Determine Return using 'R' with hypothetical 0 basis point ROE increase for Identified Projects.</v>
      </c>
      <c r="D26" s="456"/>
      <c r="E26" s="456"/>
      <c r="F26" s="448"/>
      <c r="G26" s="448"/>
      <c r="H26" s="448"/>
      <c r="I26" s="436"/>
      <c r="J26" s="448"/>
      <c r="K26" s="448"/>
      <c r="L26" s="448"/>
      <c r="M26" s="448"/>
      <c r="N26" s="448"/>
      <c r="O26" s="448"/>
      <c r="P26" s="448"/>
      <c r="Q26" s="448"/>
    </row>
    <row r="27" spans="3:17">
      <c r="C27" s="438"/>
      <c r="D27" s="456"/>
      <c r="E27" s="456"/>
      <c r="F27" s="448"/>
      <c r="G27" s="448"/>
      <c r="H27" s="448"/>
      <c r="I27" s="448"/>
      <c r="J27" s="448"/>
      <c r="K27" s="448"/>
      <c r="L27" s="448"/>
      <c r="M27" s="448"/>
      <c r="N27" s="448"/>
      <c r="O27" s="448"/>
      <c r="P27" s="448"/>
      <c r="Q27" s="448"/>
    </row>
    <row r="28" spans="3:17">
      <c r="C28" s="463" t="str">
        <f>"   Rate Base  (TCOS, ln "&amp;TCOS!B125&amp;")"</f>
        <v xml:space="preserve">   Rate Base  (TCOS, ln 68)</v>
      </c>
      <c r="D28" s="436"/>
      <c r="E28" s="464">
        <f>TCOS!L125</f>
        <v>533975291.8200447</v>
      </c>
      <c r="F28" s="471"/>
      <c r="G28" s="471"/>
      <c r="H28" s="448"/>
      <c r="I28" s="448"/>
      <c r="J28" s="448"/>
      <c r="K28" s="448"/>
      <c r="L28" s="448"/>
      <c r="M28" s="448"/>
      <c r="N28" s="448"/>
      <c r="O28" s="448"/>
      <c r="P28" s="471"/>
      <c r="Q28" s="448"/>
    </row>
    <row r="29" spans="3:17">
      <c r="C29" s="438" t="s">
        <v>476</v>
      </c>
      <c r="D29" s="466"/>
      <c r="E29" s="446">
        <f>F24</f>
        <v>7.5524045299041109E-2</v>
      </c>
      <c r="F29" s="448"/>
      <c r="G29" s="448"/>
      <c r="H29" s="448"/>
      <c r="I29" s="448"/>
      <c r="J29" s="448"/>
      <c r="K29" s="448"/>
      <c r="L29" s="448"/>
      <c r="M29" s="448"/>
      <c r="N29" s="448"/>
      <c r="O29" s="448"/>
      <c r="P29" s="448"/>
      <c r="Q29" s="448"/>
    </row>
    <row r="30" spans="3:17">
      <c r="C30" s="467" t="s">
        <v>264</v>
      </c>
      <c r="D30" s="467"/>
      <c r="E30" s="449">
        <f>E28*E29</f>
        <v>40327974.127985753</v>
      </c>
      <c r="F30" s="448"/>
      <c r="G30" s="448"/>
      <c r="H30" s="448"/>
      <c r="I30" s="448"/>
      <c r="J30" s="449"/>
      <c r="K30" s="449"/>
      <c r="L30" s="449"/>
      <c r="M30" s="449"/>
      <c r="N30" s="449"/>
      <c r="O30" s="449"/>
      <c r="P30" s="448"/>
      <c r="Q30" s="449"/>
    </row>
    <row r="31" spans="3:17">
      <c r="C31" s="467"/>
      <c r="D31" s="438"/>
      <c r="E31" s="438"/>
      <c r="F31" s="448"/>
      <c r="G31" s="448"/>
      <c r="H31" s="448"/>
      <c r="I31" s="448"/>
      <c r="J31" s="449"/>
      <c r="K31" s="449"/>
      <c r="L31" s="449"/>
      <c r="M31" s="449"/>
      <c r="N31" s="449"/>
      <c r="O31" s="449"/>
      <c r="P31" s="448"/>
      <c r="Q31" s="449"/>
    </row>
    <row r="32" spans="3:17" ht="15.5">
      <c r="C32" s="434" t="str">
        <f>"C.   Determine Income Taxes using Return with hypothetical "&amp;F17&amp;" basis point ROE increase for Identified Projects."</f>
        <v>C.   Determine Income Taxes using Return with hypothetical 0 basis point ROE increase for Identified Projects.</v>
      </c>
      <c r="D32" s="468"/>
      <c r="E32" s="468"/>
      <c r="F32" s="469"/>
      <c r="G32" s="469"/>
      <c r="H32" s="469"/>
      <c r="I32" s="469"/>
      <c r="J32" s="470"/>
      <c r="K32" s="470"/>
      <c r="L32" s="470"/>
      <c r="M32" s="470"/>
      <c r="N32" s="470"/>
      <c r="O32" s="470"/>
      <c r="P32" s="469"/>
      <c r="Q32" s="470"/>
    </row>
    <row r="33" spans="2:17">
      <c r="C33" s="435"/>
      <c r="D33" s="438"/>
      <c r="E33" s="438"/>
      <c r="F33" s="448"/>
      <c r="G33" s="448"/>
      <c r="H33" s="448"/>
      <c r="I33" s="448"/>
      <c r="J33" s="449"/>
      <c r="K33" s="449"/>
      <c r="L33" s="449"/>
      <c r="M33" s="449"/>
      <c r="N33" s="449"/>
      <c r="O33" s="449"/>
      <c r="P33" s="448"/>
      <c r="Q33" s="449"/>
    </row>
    <row r="34" spans="2:17">
      <c r="C34" s="438" t="s">
        <v>265</v>
      </c>
      <c r="D34" s="451"/>
      <c r="E34" s="471">
        <f>E30</f>
        <v>40327974.127985753</v>
      </c>
      <c r="F34" s="448"/>
      <c r="G34" s="448"/>
      <c r="H34" s="448"/>
      <c r="I34" s="448"/>
      <c r="J34" s="448"/>
      <c r="K34" s="448"/>
      <c r="L34" s="448"/>
      <c r="M34" s="448"/>
      <c r="N34" s="448"/>
      <c r="O34" s="448"/>
      <c r="P34" s="448"/>
      <c r="Q34" s="448"/>
    </row>
    <row r="35" spans="2:17">
      <c r="C35" s="463" t="str">
        <f>"   Effective Tax Rate  (TCOS, ln "&amp;TCOS!B190&amp;")"</f>
        <v xml:space="preserve">   Effective Tax Rate  (TCOS, ln 114)</v>
      </c>
      <c r="D35" s="79"/>
      <c r="E35" s="81">
        <f>TCOS!G190</f>
        <v>0.19337885061456153</v>
      </c>
      <c r="F35" s="4"/>
      <c r="G35" s="4"/>
      <c r="H35" s="4"/>
      <c r="I35" s="472"/>
      <c r="J35" s="4"/>
      <c r="K35" s="4"/>
    </row>
    <row r="36" spans="2:17">
      <c r="C36" s="467" t="s">
        <v>266</v>
      </c>
      <c r="D36" s="79"/>
      <c r="E36" s="473">
        <f>E34*E35</f>
        <v>7798577.2844836591</v>
      </c>
      <c r="F36" s="4"/>
      <c r="G36" s="4"/>
      <c r="H36" s="4"/>
      <c r="I36" s="472"/>
      <c r="J36" s="4"/>
      <c r="K36" s="4"/>
    </row>
    <row r="37" spans="2:17" ht="15.5">
      <c r="C37" s="435" t="s">
        <v>304</v>
      </c>
      <c r="D37" s="270"/>
      <c r="E37" s="448">
        <f>TCOS!L199</f>
        <v>0</v>
      </c>
      <c r="F37" s="270"/>
      <c r="G37" s="270"/>
      <c r="H37" s="270"/>
      <c r="I37" s="270"/>
      <c r="J37" s="270"/>
      <c r="K37" s="270"/>
      <c r="L37" s="270"/>
      <c r="M37" s="270"/>
      <c r="N37" s="270"/>
      <c r="O37" s="270"/>
      <c r="P37" s="284"/>
      <c r="Q37" s="270"/>
    </row>
    <row r="38" spans="2:17" ht="15.5">
      <c r="C38" s="435" t="s">
        <v>534</v>
      </c>
      <c r="D38" s="270"/>
      <c r="E38" s="448">
        <f>TCOS!L200</f>
        <v>-1537227.3013168322</v>
      </c>
      <c r="F38" s="270"/>
      <c r="G38" s="270"/>
      <c r="H38" s="270"/>
      <c r="I38" s="270"/>
      <c r="J38" s="270"/>
      <c r="K38" s="270"/>
      <c r="L38" s="270"/>
      <c r="M38" s="270"/>
      <c r="N38" s="270"/>
      <c r="O38" s="270"/>
      <c r="P38" s="284"/>
      <c r="Q38" s="270"/>
    </row>
    <row r="39" spans="2:17" ht="15.5">
      <c r="C39" s="435" t="s">
        <v>535</v>
      </c>
      <c r="D39" s="270"/>
      <c r="E39" s="474">
        <f>TCOS!L201</f>
        <v>779446.58824846253</v>
      </c>
      <c r="F39" s="270"/>
      <c r="G39" s="270"/>
      <c r="H39" s="270"/>
      <c r="I39" s="270"/>
      <c r="J39" s="270"/>
      <c r="K39" s="270"/>
      <c r="L39" s="270"/>
      <c r="M39" s="270"/>
      <c r="N39" s="270"/>
      <c r="O39" s="270"/>
      <c r="P39" s="284"/>
      <c r="Q39" s="270"/>
    </row>
    <row r="40" spans="2:17" ht="15.5">
      <c r="C40" s="467" t="s">
        <v>267</v>
      </c>
      <c r="D40" s="270"/>
      <c r="E40" s="448">
        <f>E36+E37+E38+E39</f>
        <v>7040796.5714152893</v>
      </c>
      <c r="F40" s="270"/>
      <c r="G40" s="270"/>
      <c r="H40" s="270"/>
      <c r="I40" s="270"/>
      <c r="J40" s="270"/>
      <c r="K40" s="270"/>
      <c r="L40" s="270"/>
      <c r="M40" s="270"/>
      <c r="N40" s="270"/>
      <c r="O40" s="270"/>
      <c r="P40" s="283"/>
      <c r="Q40" s="270"/>
    </row>
    <row r="41" spans="2:17" ht="12.75" customHeight="1">
      <c r="C41" s="267"/>
      <c r="D41" s="270"/>
      <c r="E41" s="270"/>
      <c r="F41" s="270"/>
      <c r="G41" s="270"/>
      <c r="H41" s="270"/>
      <c r="I41" s="270"/>
      <c r="J41" s="270"/>
      <c r="K41" s="270"/>
      <c r="L41" s="270"/>
      <c r="M41" s="270"/>
      <c r="N41" s="270"/>
      <c r="O41" s="270"/>
      <c r="P41" s="283"/>
      <c r="Q41" s="270"/>
    </row>
    <row r="42" spans="2:17" ht="18">
      <c r="B42" s="433" t="s">
        <v>174</v>
      </c>
      <c r="C42" s="13" t="str">
        <f>"Calculate Net Plant Carrying Charge Rate (Fixed Charge Rate or FCR) with hypothetical "&amp;F17&amp;""</f>
        <v>Calculate Net Plant Carrying Charge Rate (Fixed Charge Rate or FCR) with hypothetical 0</v>
      </c>
      <c r="D42" s="270"/>
      <c r="E42" s="270"/>
      <c r="F42" s="270"/>
      <c r="G42" s="270"/>
      <c r="H42" s="270"/>
      <c r="I42" s="270"/>
      <c r="J42" s="270"/>
      <c r="K42" s="270"/>
      <c r="L42" s="270"/>
      <c r="M42" s="270"/>
      <c r="N42" s="270"/>
      <c r="O42" s="270"/>
      <c r="P42" s="283"/>
      <c r="Q42" s="270"/>
    </row>
    <row r="43" spans="2:17" ht="18.75" customHeight="1">
      <c r="C43" s="13" t="str">
        <f>"basis point ROE increase."</f>
        <v>basis point ROE increase.</v>
      </c>
      <c r="D43" s="270"/>
      <c r="E43" s="270"/>
      <c r="F43" s="270"/>
      <c r="G43" s="270"/>
      <c r="H43" s="270"/>
      <c r="I43" s="270"/>
      <c r="J43" s="270"/>
      <c r="K43" s="270"/>
      <c r="L43" s="270"/>
      <c r="M43" s="270"/>
      <c r="N43" s="270"/>
      <c r="O43" s="270"/>
      <c r="P43" s="283"/>
      <c r="Q43" s="270"/>
    </row>
    <row r="44" spans="2:17" ht="12.75" customHeight="1">
      <c r="C44" s="13"/>
      <c r="D44" s="270"/>
      <c r="E44" s="270"/>
      <c r="F44" s="270"/>
      <c r="G44" s="270"/>
      <c r="H44" s="270"/>
      <c r="I44" s="270"/>
      <c r="J44" s="270"/>
      <c r="K44" s="270"/>
      <c r="L44" s="270"/>
      <c r="M44" s="270"/>
      <c r="N44" s="270"/>
      <c r="O44" s="270"/>
      <c r="P44" s="283"/>
      <c r="Q44" s="270"/>
    </row>
    <row r="45" spans="2:17" ht="15.5">
      <c r="C45" s="434" t="s">
        <v>467</v>
      </c>
      <c r="D45" s="270"/>
      <c r="E45" s="270"/>
      <c r="F45" s="267"/>
      <c r="G45" s="267"/>
      <c r="H45" s="270"/>
      <c r="I45" s="270"/>
      <c r="J45" s="270"/>
      <c r="K45" s="270"/>
      <c r="L45" s="270"/>
      <c r="M45" s="270"/>
      <c r="N45" s="270"/>
      <c r="O45" s="270"/>
      <c r="P45" s="283"/>
      <c r="Q45" s="270"/>
    </row>
    <row r="46" spans="2:17">
      <c r="B46" s="4"/>
      <c r="C46" s="435"/>
      <c r="D46" s="436"/>
      <c r="E46" s="436"/>
      <c r="F46" s="436"/>
      <c r="G46" s="436"/>
      <c r="H46" s="436"/>
      <c r="I46" s="436"/>
      <c r="J46" s="436"/>
      <c r="K46" s="436"/>
      <c r="L46" s="436"/>
      <c r="M46" s="436"/>
      <c r="N46" s="436"/>
      <c r="O46" s="436"/>
      <c r="P46" s="448"/>
      <c r="Q46" s="436"/>
    </row>
    <row r="47" spans="2:17" ht="12.75" customHeight="1">
      <c r="B47" s="4"/>
      <c r="C47" s="463" t="str">
        <f>"   Annual Revenue Requirement  (TCOS, ln "&amp;TCOS!B13&amp;")"</f>
        <v xml:space="preserve">   Annual Revenue Requirement  (TCOS, ln 1)</v>
      </c>
      <c r="D47" s="436"/>
      <c r="E47" s="436"/>
      <c r="F47" s="448">
        <f>TCOS!L13</f>
        <v>94527053.690176606</v>
      </c>
      <c r="G47" s="448"/>
      <c r="H47" s="568" t="s">
        <v>116</v>
      </c>
      <c r="I47" s="436"/>
      <c r="J47" s="436"/>
      <c r="K47" s="436"/>
      <c r="L47" s="436"/>
      <c r="M47" s="436"/>
      <c r="N47" s="436"/>
      <c r="O47" s="436"/>
      <c r="P47" s="448"/>
      <c r="Q47" s="436"/>
    </row>
    <row r="48" spans="2:17" ht="12.75" customHeight="1">
      <c r="B48" s="4"/>
      <c r="C48" s="463" t="str">
        <f>"   Lease Payments (TCOS, Ln "&amp;TCOS!B168&amp;")"</f>
        <v xml:space="preserve">   Lease Payments (TCOS, Ln 95)</v>
      </c>
      <c r="D48" s="436"/>
      <c r="E48" s="436"/>
      <c r="F48" s="448">
        <f>TCOS!L168</f>
        <v>0</v>
      </c>
      <c r="G48" s="448"/>
      <c r="H48" s="568"/>
      <c r="I48" s="436"/>
      <c r="J48" s="436"/>
      <c r="K48" s="436"/>
      <c r="L48" s="436"/>
      <c r="M48" s="436"/>
      <c r="N48" s="436"/>
      <c r="O48" s="436"/>
      <c r="P48" s="448"/>
      <c r="Q48" s="436"/>
    </row>
    <row r="49" spans="2:17">
      <c r="B49" s="4"/>
      <c r="C49" s="463" t="str">
        <f>"   Return  (TCOS, ln "&amp;TCOS!B205&amp;")"</f>
        <v xml:space="preserve">   Return  (TCOS, ln 126)</v>
      </c>
      <c r="D49" s="436"/>
      <c r="E49" s="436"/>
      <c r="F49" s="449">
        <f>TCOS!L205</f>
        <v>40327974.127985753</v>
      </c>
      <c r="G49" s="449"/>
      <c r="H49" s="435"/>
      <c r="I49" s="435"/>
      <c r="J49" s="435"/>
      <c r="K49" s="435"/>
      <c r="L49" s="435"/>
      <c r="M49" s="435"/>
      <c r="N49" s="435"/>
      <c r="O49" s="435"/>
      <c r="P49" s="448"/>
      <c r="Q49" s="435"/>
    </row>
    <row r="50" spans="2:17">
      <c r="B50" s="4"/>
      <c r="C50" s="463" t="str">
        <f>"   Income Taxes  (TCOS, ln "&amp;TCOS!B203&amp;")"</f>
        <v xml:space="preserve">   Income Taxes  (TCOS, ln 125)</v>
      </c>
      <c r="D50" s="436"/>
      <c r="E50" s="436"/>
      <c r="F50" s="475">
        <f>TCOS!L203</f>
        <v>7040796.5714152893</v>
      </c>
      <c r="G50" s="475"/>
      <c r="H50" s="436"/>
      <c r="I50" s="436"/>
      <c r="J50" s="476"/>
      <c r="K50" s="476"/>
      <c r="L50" s="476"/>
      <c r="M50" s="476"/>
      <c r="N50" s="476"/>
      <c r="O50" s="476"/>
      <c r="P50" s="436"/>
      <c r="Q50" s="476"/>
    </row>
    <row r="51" spans="2:17">
      <c r="B51" s="4"/>
      <c r="C51" s="1166" t="s">
        <v>592</v>
      </c>
      <c r="D51" s="1228"/>
      <c r="E51" s="436"/>
      <c r="F51" s="449">
        <f>F47-F49-F50-F48</f>
        <v>47158282.990775563</v>
      </c>
      <c r="G51" s="449"/>
      <c r="H51" s="477"/>
      <c r="I51" s="436"/>
      <c r="J51" s="477"/>
      <c r="K51" s="477"/>
      <c r="L51" s="477"/>
      <c r="M51" s="477"/>
      <c r="N51" s="477"/>
      <c r="O51" s="477"/>
      <c r="P51" s="477"/>
      <c r="Q51" s="477"/>
    </row>
    <row r="52" spans="2:17">
      <c r="B52" s="4"/>
      <c r="C52" s="1228"/>
      <c r="D52" s="1228"/>
      <c r="E52" s="436"/>
      <c r="F52" s="448"/>
      <c r="G52" s="448"/>
      <c r="H52" s="478"/>
      <c r="I52" s="479"/>
      <c r="J52" s="479"/>
      <c r="K52" s="479"/>
      <c r="L52" s="479"/>
      <c r="M52" s="479"/>
      <c r="N52" s="479"/>
      <c r="O52" s="479"/>
      <c r="P52" s="479"/>
      <c r="Q52" s="479"/>
    </row>
    <row r="53" spans="2:17" ht="15.5">
      <c r="B53" s="4"/>
      <c r="C53" s="434" t="str">
        <f>"B.   Determine Annual Revenue Requirement with hypothetical "&amp;F17&amp;" basis point increase in ROE."</f>
        <v>B.   Determine Annual Revenue Requirement with hypothetical 0 basis point increase in ROE.</v>
      </c>
      <c r="D53" s="438"/>
      <c r="E53" s="438"/>
      <c r="F53" s="448"/>
      <c r="G53" s="448"/>
      <c r="H53" s="478"/>
      <c r="I53" s="479"/>
      <c r="J53" s="479"/>
      <c r="K53" s="479"/>
      <c r="L53" s="479"/>
      <c r="M53" s="479"/>
      <c r="N53" s="479"/>
      <c r="O53" s="479"/>
      <c r="P53" s="479"/>
      <c r="Q53" s="479"/>
    </row>
    <row r="54" spans="2:17">
      <c r="B54" s="4"/>
      <c r="C54" s="435"/>
      <c r="D54" s="438"/>
      <c r="E54" s="438"/>
      <c r="F54" s="448"/>
      <c r="G54" s="448"/>
      <c r="H54" s="478"/>
      <c r="I54" s="479"/>
      <c r="J54" s="479"/>
      <c r="K54" s="479"/>
      <c r="L54" s="479"/>
      <c r="M54" s="479"/>
      <c r="N54" s="479"/>
      <c r="O54" s="479"/>
      <c r="P54" s="479"/>
      <c r="Q54" s="479"/>
    </row>
    <row r="55" spans="2:17" ht="13">
      <c r="B55" s="4"/>
      <c r="C55" s="435" t="str">
        <f>C51</f>
        <v xml:space="preserve">   Annual Revenue Requirement, Less Lease Payments, Return and Taxes</v>
      </c>
      <c r="D55" s="438"/>
      <c r="E55" s="438"/>
      <c r="F55" s="448">
        <f>F51</f>
        <v>47158282.990775563</v>
      </c>
      <c r="G55" s="448"/>
      <c r="H55" s="436"/>
      <c r="I55" s="436"/>
      <c r="J55" s="436"/>
      <c r="K55" s="436"/>
      <c r="L55" s="436"/>
      <c r="M55" s="436"/>
      <c r="N55" s="436"/>
      <c r="O55" s="436"/>
      <c r="P55" s="480"/>
      <c r="Q55" s="436"/>
    </row>
    <row r="56" spans="2:17" ht="13">
      <c r="B56" s="4"/>
      <c r="C56" s="438" t="s">
        <v>301</v>
      </c>
      <c r="D56" s="79"/>
      <c r="E56" s="4"/>
      <c r="F56" s="473">
        <f>E30</f>
        <v>40327974.127985753</v>
      </c>
      <c r="G56" s="473"/>
      <c r="H56" s="4"/>
      <c r="I56" s="481"/>
      <c r="J56" s="4"/>
      <c r="K56" s="4"/>
    </row>
    <row r="57" spans="2:17" ht="12.75" customHeight="1">
      <c r="B57" s="4"/>
      <c r="C57" s="435" t="s">
        <v>268</v>
      </c>
      <c r="D57" s="436"/>
      <c r="E57" s="436"/>
      <c r="F57" s="475">
        <f>E40</f>
        <v>7040796.5714152893</v>
      </c>
      <c r="G57" s="475"/>
      <c r="H57" s="4"/>
      <c r="I57" s="472"/>
      <c r="J57" s="4"/>
      <c r="K57" s="4"/>
    </row>
    <row r="58" spans="2:17">
      <c r="B58" s="4"/>
      <c r="C58" s="4" t="str">
        <f>"   Annual Revenue Requirement, with "&amp;F17&amp;" Basis Point ROE increase"</f>
        <v xml:space="preserve">   Annual Revenue Requirement, with 0 Basis Point ROE increase</v>
      </c>
      <c r="D58" s="79"/>
      <c r="E58" s="4"/>
      <c r="F58" s="473">
        <f>SUM(F55:F57)</f>
        <v>94527053.690176606</v>
      </c>
      <c r="G58" s="473"/>
      <c r="H58" s="4"/>
      <c r="I58" s="472"/>
      <c r="J58" s="4"/>
      <c r="K58" s="4"/>
    </row>
    <row r="59" spans="2:17">
      <c r="B59" s="4"/>
      <c r="C59" s="463" t="str">
        <f>"   Depreciation  (TCOS, ln "&amp;TCOS!B174&amp;")"</f>
        <v xml:space="preserve">   Depreciation  (TCOS, ln 100)</v>
      </c>
      <c r="D59" s="79"/>
      <c r="E59" s="4"/>
      <c r="F59" s="482">
        <f>TCOS!L174</f>
        <v>23456240.050535426</v>
      </c>
      <c r="G59" s="482"/>
      <c r="H59" s="473"/>
      <c r="I59" s="472"/>
      <c r="J59" s="4"/>
      <c r="K59" s="4"/>
    </row>
    <row r="60" spans="2:17">
      <c r="B60" s="4"/>
      <c r="C60" s="1166" t="str">
        <f>"   Annual Rev. Req, w/ "&amp;F17&amp;" Basis Point ROE increase, less Depreciation"</f>
        <v xml:space="preserve">   Annual Rev. Req, w/ 0 Basis Point ROE increase, less Depreciation</v>
      </c>
      <c r="D60" s="1228"/>
      <c r="E60" s="4"/>
      <c r="F60" s="473">
        <f>F58-F59</f>
        <v>71070813.639641181</v>
      </c>
      <c r="G60" s="473"/>
      <c r="H60" s="4"/>
      <c r="I60" s="472"/>
      <c r="J60" s="4"/>
      <c r="K60" s="4"/>
    </row>
    <row r="61" spans="2:17">
      <c r="B61" s="4"/>
      <c r="C61" s="1228"/>
      <c r="D61" s="1228"/>
      <c r="E61" s="4"/>
      <c r="F61" s="4"/>
      <c r="G61" s="4"/>
      <c r="H61" s="4"/>
      <c r="I61" s="472"/>
      <c r="J61" s="4"/>
      <c r="K61" s="4"/>
    </row>
    <row r="62" spans="2:17" ht="15.5">
      <c r="B62" s="4"/>
      <c r="C62" s="434" t="str">
        <f>"C.   Determine FCR with hypothetical "&amp;F17&amp;" basis point ROE increase."</f>
        <v>C.   Determine FCR with hypothetical 0 basis point ROE increase.</v>
      </c>
      <c r="D62" s="79"/>
      <c r="E62" s="4"/>
      <c r="F62" s="4"/>
      <c r="G62" s="4"/>
      <c r="H62" s="4"/>
      <c r="I62" s="472"/>
      <c r="J62" s="4"/>
      <c r="K62" s="4"/>
    </row>
    <row r="63" spans="2:17">
      <c r="B63" s="4"/>
      <c r="C63" s="4"/>
      <c r="D63" s="79"/>
      <c r="E63" s="4"/>
      <c r="F63" s="4"/>
      <c r="G63" s="4"/>
      <c r="H63" s="4"/>
      <c r="I63" s="472"/>
      <c r="J63" s="4"/>
      <c r="K63" s="4"/>
    </row>
    <row r="64" spans="2:17">
      <c r="B64" s="4"/>
      <c r="C64" s="463" t="str">
        <f>"   Net Transmission Plant  (TCOS, ln "&amp;TCOS!B91&amp;")"</f>
        <v xml:space="preserve">   Net Transmission Plant  (TCOS, ln 42)</v>
      </c>
      <c r="D64" s="79"/>
      <c r="E64" s="4"/>
      <c r="F64" s="473">
        <f>TCOS!L91</f>
        <v>595892783.91909063</v>
      </c>
      <c r="G64" s="473"/>
      <c r="H64" s="473"/>
      <c r="I64" s="483"/>
      <c r="J64" s="4"/>
      <c r="K64" s="4"/>
    </row>
    <row r="65" spans="2:11">
      <c r="B65" s="4"/>
      <c r="C65" s="4" t="str">
        <f>"   Annual Revenue Requirement, with "&amp;F17&amp;" Basis Point ROE increase"</f>
        <v xml:space="preserve">   Annual Revenue Requirement, with 0 Basis Point ROE increase</v>
      </c>
      <c r="D65" s="79"/>
      <c r="E65" s="4"/>
      <c r="F65" s="473">
        <f>F58</f>
        <v>94527053.690176606</v>
      </c>
      <c r="G65" s="473"/>
      <c r="H65" s="4"/>
      <c r="I65" s="472"/>
      <c r="J65" s="4"/>
      <c r="K65" s="4"/>
    </row>
    <row r="66" spans="2:11">
      <c r="B66" s="4"/>
      <c r="C66" s="4" t="str">
        <f>"   FCR with "&amp;F17&amp;" Basis Point increase in ROE"</f>
        <v xml:space="preserve">   FCR with 0 Basis Point increase in ROE</v>
      </c>
      <c r="D66" s="79"/>
      <c r="E66" s="4"/>
      <c r="F66" s="81">
        <f>F65/F64</f>
        <v>0.15863097564042886</v>
      </c>
      <c r="G66" s="81"/>
      <c r="H66" s="81"/>
      <c r="I66" s="472"/>
      <c r="J66" s="4"/>
      <c r="K66" s="4"/>
    </row>
    <row r="67" spans="2:11">
      <c r="B67" s="4"/>
      <c r="C67" s="70"/>
      <c r="D67" s="79"/>
      <c r="E67" s="4"/>
      <c r="F67" s="4"/>
      <c r="G67" s="4"/>
      <c r="H67" s="4"/>
      <c r="I67" s="472"/>
      <c r="J67" s="4"/>
      <c r="K67" s="4"/>
    </row>
    <row r="68" spans="2:11">
      <c r="B68" s="4"/>
      <c r="C68" s="4" t="str">
        <f>"   Annual Rev. Req, w / "&amp;F17&amp;" Basis Point ROE increase, less Dep."</f>
        <v xml:space="preserve">   Annual Rev. Req, w / 0 Basis Point ROE increase, less Dep.</v>
      </c>
      <c r="D68" s="79"/>
      <c r="E68" s="4"/>
      <c r="F68" s="473">
        <f>F60</f>
        <v>71070813.639641181</v>
      </c>
      <c r="G68" s="473"/>
      <c r="H68" s="4"/>
      <c r="I68" s="472"/>
      <c r="J68" s="4"/>
      <c r="K68" s="4"/>
    </row>
    <row r="69" spans="2:11">
      <c r="B69" s="4"/>
      <c r="C69" s="4" t="str">
        <f>"   FCR with "&amp;F17&amp;" Basis Point ROE increase, less Depreciation"</f>
        <v xml:space="preserve">   FCR with 0 Basis Point ROE increase, less Depreciation</v>
      </c>
      <c r="D69" s="79"/>
      <c r="E69" s="4"/>
      <c r="F69" s="81">
        <f>F68/F64</f>
        <v>0.11926778702071188</v>
      </c>
      <c r="G69" s="81"/>
      <c r="H69" s="4"/>
      <c r="I69" s="472"/>
      <c r="J69" s="4"/>
      <c r="K69" s="4"/>
    </row>
    <row r="70" spans="2:11">
      <c r="B70" s="4"/>
      <c r="C70" s="463" t="str">
        <f>"   FCR less Depreciation  (TCOS, ln "&amp;TCOS!B34&amp;")"</f>
        <v xml:space="preserve">   FCR less Depreciation  (TCOS, ln 10)</v>
      </c>
      <c r="D70" s="79"/>
      <c r="E70" s="4"/>
      <c r="F70" s="484">
        <f>TCOS!L34</f>
        <v>0.11926778702071188</v>
      </c>
      <c r="G70" s="484"/>
      <c r="H70" s="4"/>
      <c r="I70" s="472"/>
      <c r="J70" s="4"/>
      <c r="K70" s="4"/>
    </row>
    <row r="71" spans="2:11">
      <c r="B71" s="4"/>
      <c r="C71" s="1166" t="str">
        <f>"   Incremental FCR with "&amp;F17&amp;" Basis Point ROE increase, less Depreciation"</f>
        <v xml:space="preserve">   Incremental FCR with 0 Basis Point ROE increase, less Depreciation</v>
      </c>
      <c r="D71" s="1228"/>
      <c r="E71" s="4"/>
      <c r="F71" s="81">
        <f>F69-F70</f>
        <v>0</v>
      </c>
      <c r="G71" s="81"/>
      <c r="H71" s="4"/>
      <c r="I71" s="472"/>
      <c r="J71" s="4"/>
      <c r="K71" s="4"/>
    </row>
    <row r="72" spans="2:11">
      <c r="B72" s="4"/>
      <c r="C72" s="1228"/>
      <c r="D72" s="1228"/>
      <c r="E72" s="4"/>
      <c r="F72" s="81"/>
      <c r="G72" s="81"/>
      <c r="H72" s="4"/>
      <c r="I72" s="472"/>
      <c r="J72" s="4"/>
      <c r="K72" s="4"/>
    </row>
    <row r="73" spans="2:11" ht="18">
      <c r="B73" s="433" t="s">
        <v>175</v>
      </c>
      <c r="C73" s="13" t="s">
        <v>269</v>
      </c>
      <c r="D73" s="79"/>
      <c r="E73" s="4"/>
      <c r="F73" s="81"/>
      <c r="G73" s="81"/>
      <c r="H73" s="4"/>
      <c r="I73" s="472"/>
      <c r="J73" s="4"/>
      <c r="K73" s="4"/>
    </row>
    <row r="74" spans="2:11">
      <c r="B74" s="4"/>
      <c r="C74" s="4"/>
      <c r="D74" s="79"/>
      <c r="E74" s="4"/>
      <c r="F74" s="81"/>
      <c r="G74" s="81"/>
      <c r="H74" s="4"/>
      <c r="I74" s="472"/>
      <c r="J74" s="4"/>
      <c r="K74" s="4"/>
    </row>
    <row r="75" spans="2:11">
      <c r="B75" s="4"/>
      <c r="C75" s="4" t="str">
        <f>+"Average Transmission Plant Balance for "&amp;TCOS!L4&amp;" (TCOS, ln "&amp;TCOS!B68&amp;")"</f>
        <v>Average Transmission Plant Balance for 2024 (TCOS, ln 21)</v>
      </c>
      <c r="D75" s="79"/>
      <c r="H75" s="472">
        <f>TCOS!L68</f>
        <v>872265686.31911373</v>
      </c>
      <c r="J75" s="4"/>
      <c r="K75" s="4"/>
    </row>
    <row r="76" spans="2:11">
      <c r="B76" s="4"/>
      <c r="C76" s="485" t="str">
        <f>"Annual Depreciation and Amortization Expense (TCOS, ln "&amp;TCOS!B174&amp;")"</f>
        <v>Annual Depreciation and Amortization Expense (TCOS, ln 100)</v>
      </c>
      <c r="D76" s="79"/>
      <c r="E76" s="4"/>
      <c r="H76" s="486">
        <f>TCOS!L174</f>
        <v>23456240.050535426</v>
      </c>
      <c r="I76" s="472"/>
      <c r="J76" s="4"/>
      <c r="K76" s="4"/>
    </row>
    <row r="77" spans="2:11">
      <c r="B77" s="4"/>
      <c r="C77" s="4" t="s">
        <v>270</v>
      </c>
      <c r="D77" s="79"/>
      <c r="E77" s="4"/>
      <c r="H77" s="81">
        <f>+H76/H75</f>
        <v>2.689116449085455E-2</v>
      </c>
      <c r="I77" s="488"/>
      <c r="J77" s="4"/>
      <c r="K77" s="4"/>
    </row>
    <row r="78" spans="2:11">
      <c r="B78" s="4"/>
      <c r="C78" s="4" t="s">
        <v>271</v>
      </c>
      <c r="D78" s="79"/>
      <c r="E78" s="4"/>
      <c r="H78" s="488">
        <f>1/H77</f>
        <v>37.186935520776395</v>
      </c>
      <c r="I78" s="472"/>
      <c r="J78" s="4"/>
      <c r="K78" s="4"/>
    </row>
    <row r="79" spans="2:11">
      <c r="B79" s="4"/>
      <c r="C79" s="4" t="s">
        <v>272</v>
      </c>
      <c r="D79" s="79"/>
      <c r="E79" s="4"/>
      <c r="H79" s="489">
        <f>ROUND(H78,0)</f>
        <v>37</v>
      </c>
      <c r="I79" s="472"/>
      <c r="J79" s="4"/>
      <c r="K79" s="4"/>
    </row>
    <row r="80" spans="2:11">
      <c r="B80" s="4"/>
      <c r="C80" s="4"/>
      <c r="D80" s="79"/>
      <c r="E80" s="4"/>
      <c r="H80" s="489"/>
      <c r="I80" s="472"/>
      <c r="J80" s="4"/>
      <c r="K80" s="4"/>
    </row>
    <row r="81" spans="1:17" ht="13">
      <c r="C81" s="490"/>
      <c r="D81" s="489"/>
      <c r="E81" s="489"/>
      <c r="F81" s="489"/>
      <c r="G81" s="489"/>
      <c r="H81" s="487"/>
      <c r="I81" s="487"/>
      <c r="J81" s="491"/>
      <c r="K81" s="491"/>
      <c r="L81" s="491"/>
      <c r="M81" s="491"/>
      <c r="N81" s="491"/>
      <c r="O81" s="491"/>
      <c r="Q81" s="491"/>
    </row>
    <row r="82" spans="1:17" ht="13">
      <c r="C82" s="490"/>
      <c r="D82" s="489"/>
      <c r="E82" s="489"/>
      <c r="F82" s="489"/>
      <c r="G82" s="489"/>
      <c r="H82" s="487"/>
      <c r="I82" s="487"/>
      <c r="J82" s="491"/>
      <c r="K82" s="491"/>
      <c r="L82" s="491"/>
      <c r="M82" s="491"/>
      <c r="N82" s="491"/>
      <c r="O82" s="491"/>
      <c r="Q82" s="491"/>
    </row>
    <row r="83" spans="1:17" ht="20">
      <c r="A83" s="431" t="s">
        <v>774</v>
      </c>
      <c r="B83" s="4"/>
      <c r="C83" s="4"/>
      <c r="D83" s="79"/>
      <c r="E83" s="4"/>
      <c r="F83" s="81"/>
      <c r="G83" s="81"/>
      <c r="H83" s="4"/>
      <c r="I83" s="472"/>
      <c r="L83" s="11"/>
      <c r="M83" s="11"/>
      <c r="N83" s="11"/>
      <c r="O83" s="11" t="str">
        <f>"Page "&amp;SUM(Q$3:Q83)&amp;" of "</f>
        <v xml:space="preserve">Page 2 of </v>
      </c>
      <c r="P83" s="432">
        <f>COUNT(Q$8:Q$58122)</f>
        <v>2</v>
      </c>
      <c r="Q83" s="569">
        <v>1</v>
      </c>
    </row>
    <row r="84" spans="1:17">
      <c r="B84" s="4"/>
      <c r="C84" s="4"/>
      <c r="D84" s="79"/>
      <c r="E84" s="4"/>
      <c r="F84" s="4"/>
      <c r="G84" s="4"/>
      <c r="H84" s="4"/>
      <c r="I84" s="472"/>
      <c r="J84" s="4"/>
      <c r="K84" s="4"/>
    </row>
    <row r="85" spans="1:17" ht="17">
      <c r="B85" s="433" t="s">
        <v>176</v>
      </c>
      <c r="C85" s="492" t="s">
        <v>292</v>
      </c>
      <c r="D85" s="79"/>
      <c r="E85" s="4"/>
      <c r="F85" s="4"/>
      <c r="G85" s="4"/>
      <c r="H85" s="4"/>
      <c r="I85" s="472"/>
      <c r="J85" s="472"/>
      <c r="K85" s="487"/>
      <c r="L85" s="472"/>
      <c r="M85" s="472"/>
      <c r="N85" s="472"/>
      <c r="O85" s="472"/>
      <c r="Q85" s="487"/>
    </row>
    <row r="86" spans="1:17" ht="18">
      <c r="B86" s="433"/>
      <c r="C86" s="13"/>
      <c r="D86" s="79"/>
      <c r="E86" s="4"/>
      <c r="F86" s="4"/>
      <c r="G86" s="4"/>
      <c r="H86" s="4"/>
      <c r="I86" s="472"/>
      <c r="J86" s="472"/>
      <c r="K86" s="487"/>
      <c r="L86" s="472"/>
      <c r="M86" s="472"/>
      <c r="N86" s="472"/>
      <c r="O86" s="472"/>
      <c r="Q86" s="487"/>
    </row>
    <row r="87" spans="1:17" ht="18">
      <c r="B87" s="433"/>
      <c r="C87" s="13" t="s">
        <v>293</v>
      </c>
      <c r="D87" s="79"/>
      <c r="E87" s="4"/>
      <c r="F87" s="4"/>
      <c r="G87" s="4"/>
      <c r="H87" s="4"/>
      <c r="I87" s="472"/>
      <c r="J87" s="472"/>
      <c r="K87" s="487"/>
      <c r="L87" s="472"/>
      <c r="M87" s="472"/>
      <c r="N87" s="472"/>
      <c r="O87" s="472"/>
      <c r="Q87" s="487"/>
    </row>
    <row r="88" spans="1:17" ht="16" thickBot="1">
      <c r="C88" s="267"/>
      <c r="D88" s="79"/>
      <c r="E88" s="4"/>
      <c r="F88" s="4"/>
      <c r="G88" s="4"/>
      <c r="H88" s="4"/>
      <c r="I88" s="472"/>
      <c r="J88" s="472"/>
      <c r="K88" s="487"/>
      <c r="L88" s="472"/>
      <c r="M88" s="472"/>
      <c r="N88" s="472"/>
      <c r="O88" s="472"/>
      <c r="Q88" s="487"/>
    </row>
    <row r="89" spans="1:17" ht="15.5">
      <c r="C89" s="434" t="s">
        <v>294</v>
      </c>
      <c r="D89" s="79"/>
      <c r="E89" s="4"/>
      <c r="F89" s="4"/>
      <c r="G89" s="4"/>
      <c r="H89" s="669"/>
      <c r="I89" s="4" t="s">
        <v>273</v>
      </c>
      <c r="J89" s="4"/>
      <c r="K89" s="4"/>
      <c r="L89" s="570">
        <f>+J95</f>
        <v>2016</v>
      </c>
      <c r="M89" s="554" t="s">
        <v>256</v>
      </c>
      <c r="N89" s="554" t="s">
        <v>257</v>
      </c>
      <c r="O89" s="555" t="s">
        <v>258</v>
      </c>
    </row>
    <row r="90" spans="1:17" ht="15.5">
      <c r="C90" s="434"/>
      <c r="D90" s="79"/>
      <c r="E90" s="4"/>
      <c r="F90" s="4"/>
      <c r="H90" s="4"/>
      <c r="I90" s="497"/>
      <c r="J90" s="497"/>
      <c r="K90" s="498"/>
      <c r="L90" s="571" t="s">
        <v>457</v>
      </c>
      <c r="M90" s="572" t="e">
        <f>VLOOKUP(J95,C102:P161,10)</f>
        <v>#N/A</v>
      </c>
      <c r="N90" s="572" t="e">
        <f>VLOOKUP(J95,C102:P161,12)</f>
        <v>#N/A</v>
      </c>
      <c r="O90" s="573" t="e">
        <f>+N90-M90</f>
        <v>#N/A</v>
      </c>
      <c r="Q90" s="498"/>
    </row>
    <row r="91" spans="1:17" ht="13">
      <c r="C91" s="502" t="s">
        <v>295</v>
      </c>
      <c r="D91" s="678"/>
      <c r="E91" s="678"/>
      <c r="F91" s="678"/>
      <c r="G91" s="678"/>
      <c r="H91" s="678"/>
      <c r="I91" s="472"/>
      <c r="J91" s="472"/>
      <c r="K91" s="487"/>
      <c r="L91" s="571" t="s">
        <v>458</v>
      </c>
      <c r="M91" s="574" t="e">
        <f>VLOOKUP(J95,C102:P161,6)</f>
        <v>#N/A</v>
      </c>
      <c r="N91" s="574" t="e">
        <f>VLOOKUP(J95,C102:P161,7)</f>
        <v>#N/A</v>
      </c>
      <c r="O91" s="575" t="e">
        <f>+N91-M91</f>
        <v>#N/A</v>
      </c>
      <c r="Q91" s="487"/>
    </row>
    <row r="92" spans="1:17" ht="13.5" thickBot="1">
      <c r="C92" s="506"/>
      <c r="D92" s="507"/>
      <c r="E92" s="489"/>
      <c r="F92" s="489"/>
      <c r="G92" s="489"/>
      <c r="H92" s="508"/>
      <c r="I92" s="472"/>
      <c r="J92" s="472"/>
      <c r="K92" s="487"/>
      <c r="L92" s="517" t="s">
        <v>459</v>
      </c>
      <c r="M92" s="576" t="e">
        <f>+M91-M90</f>
        <v>#N/A</v>
      </c>
      <c r="N92" s="576" t="e">
        <f>+N91-N90</f>
        <v>#N/A</v>
      </c>
      <c r="O92" s="577" t="e">
        <f>+O91-O90</f>
        <v>#N/A</v>
      </c>
      <c r="Q92" s="487"/>
    </row>
    <row r="93" spans="1:17" ht="13.5" thickBot="1">
      <c r="C93" s="506"/>
      <c r="D93" s="4"/>
      <c r="E93" s="508"/>
      <c r="F93" s="508"/>
      <c r="G93" s="508"/>
      <c r="H93" s="508"/>
      <c r="I93" s="508"/>
      <c r="J93" s="508"/>
      <c r="K93" s="508"/>
      <c r="L93" s="508"/>
      <c r="M93" s="508"/>
      <c r="N93" s="508"/>
      <c r="O93" s="508"/>
      <c r="Q93" s="508"/>
    </row>
    <row r="94" spans="1:17" ht="13" thickBot="1">
      <c r="C94" s="509" t="s">
        <v>296</v>
      </c>
      <c r="D94" s="510"/>
      <c r="E94" s="510"/>
      <c r="F94" s="510"/>
      <c r="G94" s="510"/>
      <c r="H94" s="510"/>
      <c r="I94" s="510"/>
      <c r="J94" s="510"/>
      <c r="Q94"/>
    </row>
    <row r="95" spans="1:17" ht="16">
      <c r="A95" s="551"/>
      <c r="C95" s="512" t="s">
        <v>274</v>
      </c>
      <c r="D95" s="670"/>
      <c r="E95" s="4" t="s">
        <v>275</v>
      </c>
      <c r="H95" s="79"/>
      <c r="I95" s="79"/>
      <c r="J95" s="513">
        <v>2016</v>
      </c>
      <c r="K95" s="140"/>
      <c r="L95" s="1219" t="s">
        <v>276</v>
      </c>
      <c r="M95" s="1219"/>
      <c r="N95" s="1219"/>
      <c r="O95" s="1219"/>
      <c r="Q95" s="140"/>
    </row>
    <row r="96" spans="1:17">
      <c r="A96" s="551"/>
      <c r="C96" s="512" t="s">
        <v>277</v>
      </c>
      <c r="D96" s="679"/>
      <c r="E96" s="512" t="s">
        <v>278</v>
      </c>
      <c r="F96" s="79"/>
      <c r="G96" s="79"/>
      <c r="I96"/>
      <c r="J96" s="673">
        <v>0</v>
      </c>
      <c r="K96" s="514"/>
      <c r="L96" s="487" t="s">
        <v>477</v>
      </c>
      <c r="Q96" s="514"/>
    </row>
    <row r="97" spans="1:17">
      <c r="A97" s="551"/>
      <c r="C97" s="512" t="s">
        <v>279</v>
      </c>
      <c r="D97" s="671"/>
      <c r="E97" s="512" t="s">
        <v>280</v>
      </c>
      <c r="F97" s="79"/>
      <c r="G97" s="79"/>
      <c r="I97"/>
      <c r="J97" s="515">
        <f>$F$70</f>
        <v>0.11926778702071188</v>
      </c>
      <c r="K97" s="81"/>
      <c r="L97" s="4" t="str">
        <f>"          INPUT TRUE-UP ARR (WITH &amp; WITHOUT INCENTIVES) FROM EACH PRIOR YEAR"</f>
        <v xml:space="preserve">          INPUT TRUE-UP ARR (WITH &amp; WITHOUT INCENTIVES) FROM EACH PRIOR YEAR</v>
      </c>
      <c r="Q97" s="81"/>
    </row>
    <row r="98" spans="1:17">
      <c r="A98" s="551"/>
      <c r="C98" s="512" t="s">
        <v>281</v>
      </c>
      <c r="D98" s="516">
        <f>H79</f>
        <v>37</v>
      </c>
      <c r="E98" s="512" t="s">
        <v>282</v>
      </c>
      <c r="F98" s="79"/>
      <c r="G98" s="79"/>
      <c r="I98"/>
      <c r="J98" s="515">
        <f>IF(H89="",J97,$F$69)</f>
        <v>0.11926778702071188</v>
      </c>
      <c r="K98" s="81"/>
      <c r="L98" s="4" t="s">
        <v>364</v>
      </c>
      <c r="M98" s="81"/>
      <c r="N98" s="81"/>
      <c r="O98" s="81"/>
      <c r="Q98" s="81"/>
    </row>
    <row r="99" spans="1:17" ht="13" thickBot="1">
      <c r="A99" s="551"/>
      <c r="C99" s="512" t="s">
        <v>283</v>
      </c>
      <c r="D99" s="672"/>
      <c r="E99" s="517" t="s">
        <v>284</v>
      </c>
      <c r="F99" s="518"/>
      <c r="G99" s="518"/>
      <c r="H99" s="519"/>
      <c r="I99" s="519"/>
      <c r="J99" s="505">
        <f>IF(D95=0,0,D95/D98)</f>
        <v>0</v>
      </c>
      <c r="K99" s="487"/>
      <c r="L99" s="487" t="s">
        <v>365</v>
      </c>
      <c r="M99" s="487"/>
      <c r="N99" s="487"/>
      <c r="O99" s="487"/>
      <c r="Q99" s="487"/>
    </row>
    <row r="100" spans="1:17" ht="39">
      <c r="A100" s="12"/>
      <c r="B100" s="12"/>
      <c r="C100" s="520" t="s">
        <v>274</v>
      </c>
      <c r="D100" s="521" t="s">
        <v>285</v>
      </c>
      <c r="E100" s="522" t="s">
        <v>286</v>
      </c>
      <c r="F100" s="521" t="s">
        <v>287</v>
      </c>
      <c r="G100" s="521" t="s">
        <v>460</v>
      </c>
      <c r="H100" s="522" t="s">
        <v>358</v>
      </c>
      <c r="I100" s="523" t="s">
        <v>358</v>
      </c>
      <c r="J100" s="520" t="s">
        <v>297</v>
      </c>
      <c r="K100" s="524"/>
      <c r="L100" s="522" t="s">
        <v>360</v>
      </c>
      <c r="M100" s="522" t="s">
        <v>366</v>
      </c>
      <c r="N100" s="522" t="s">
        <v>360</v>
      </c>
      <c r="O100" s="522" t="s">
        <v>368</v>
      </c>
      <c r="P100" s="522" t="s">
        <v>288</v>
      </c>
      <c r="Q100" s="133"/>
    </row>
    <row r="101" spans="1:17" ht="13.5" thickBot="1">
      <c r="C101" s="526" t="s">
        <v>179</v>
      </c>
      <c r="D101" s="527" t="s">
        <v>180</v>
      </c>
      <c r="E101" s="526" t="s">
        <v>38</v>
      </c>
      <c r="F101" s="527" t="s">
        <v>180</v>
      </c>
      <c r="G101" s="527" t="s">
        <v>180</v>
      </c>
      <c r="H101" s="528" t="s">
        <v>300</v>
      </c>
      <c r="I101" s="529" t="s">
        <v>302</v>
      </c>
      <c r="J101" s="526" t="s">
        <v>391</v>
      </c>
      <c r="K101" s="530"/>
      <c r="L101" s="528" t="s">
        <v>289</v>
      </c>
      <c r="M101" s="528" t="s">
        <v>289</v>
      </c>
      <c r="N101" s="528" t="s">
        <v>469</v>
      </c>
      <c r="O101" s="528" t="s">
        <v>469</v>
      </c>
      <c r="P101" s="528" t="s">
        <v>469</v>
      </c>
      <c r="Q101" s="140"/>
    </row>
    <row r="102" spans="1:17">
      <c r="C102" s="532" t="str">
        <f>IF(D96= "","-",D96)</f>
        <v>-</v>
      </c>
      <c r="D102" s="489">
        <f>+D95</f>
        <v>0</v>
      </c>
      <c r="E102" s="533">
        <f>+J99/12*(12-D97)</f>
        <v>0</v>
      </c>
      <c r="F102" s="578">
        <f t="shared" ref="F102:F133" si="0">+D102-E102</f>
        <v>0</v>
      </c>
      <c r="G102" s="489">
        <f t="shared" ref="G102:G133" si="1">+(D102+F102)/2</f>
        <v>0</v>
      </c>
      <c r="H102" s="534">
        <f>+J97*G102+E102</f>
        <v>0</v>
      </c>
      <c r="I102" s="535">
        <f>+J98*G102+E102</f>
        <v>0</v>
      </c>
      <c r="J102" s="536">
        <f t="shared" ref="J102:J133" si="2">+I102-H102</f>
        <v>0</v>
      </c>
      <c r="K102" s="536"/>
      <c r="L102" s="537"/>
      <c r="M102" s="579">
        <f t="shared" ref="M102:M133" si="3">IF(L102&lt;&gt;0,+H102-L102,0)</f>
        <v>0</v>
      </c>
      <c r="N102" s="537"/>
      <c r="O102" s="579">
        <f t="shared" ref="O102:O133" si="4">IF(N102&lt;&gt;0,+I102-N102,0)</f>
        <v>0</v>
      </c>
      <c r="P102" s="579">
        <f t="shared" ref="P102:P133" si="5">+O102-M102</f>
        <v>0</v>
      </c>
      <c r="Q102" s="491"/>
    </row>
    <row r="103" spans="1:17">
      <c r="C103" s="532" t="str">
        <f>IF(D96="","-",+C102+1)</f>
        <v>-</v>
      </c>
      <c r="D103" s="489">
        <f t="shared" ref="D103:D134" si="6">F102</f>
        <v>0</v>
      </c>
      <c r="E103" s="539">
        <f t="shared" ref="E103:E134" si="7">IF(D103&gt;$J$99,$J$99,D103)</f>
        <v>0</v>
      </c>
      <c r="F103" s="539">
        <f t="shared" si="0"/>
        <v>0</v>
      </c>
      <c r="G103" s="489">
        <f t="shared" si="1"/>
        <v>0</v>
      </c>
      <c r="H103" s="533">
        <f>+J97*G103+E103</f>
        <v>0</v>
      </c>
      <c r="I103" s="540">
        <f>+J98*G103+E103</f>
        <v>0</v>
      </c>
      <c r="J103" s="536">
        <f t="shared" si="2"/>
        <v>0</v>
      </c>
      <c r="K103" s="536"/>
      <c r="L103" s="541"/>
      <c r="M103" s="536">
        <f t="shared" si="3"/>
        <v>0</v>
      </c>
      <c r="N103" s="541"/>
      <c r="O103" s="536">
        <f t="shared" si="4"/>
        <v>0</v>
      </c>
      <c r="P103" s="536">
        <f t="shared" si="5"/>
        <v>0</v>
      </c>
      <c r="Q103" s="491"/>
    </row>
    <row r="104" spans="1:17">
      <c r="C104" s="532" t="str">
        <f>IF(D96="","-",+C103+1)</f>
        <v>-</v>
      </c>
      <c r="D104" s="489">
        <f t="shared" si="6"/>
        <v>0</v>
      </c>
      <c r="E104" s="539">
        <f t="shared" si="7"/>
        <v>0</v>
      </c>
      <c r="F104" s="539">
        <f t="shared" si="0"/>
        <v>0</v>
      </c>
      <c r="G104" s="489">
        <f t="shared" si="1"/>
        <v>0</v>
      </c>
      <c r="H104" s="533">
        <f>+J97*G104+E104</f>
        <v>0</v>
      </c>
      <c r="I104" s="540">
        <f>+J98*G104+E104</f>
        <v>0</v>
      </c>
      <c r="J104" s="536">
        <f t="shared" si="2"/>
        <v>0</v>
      </c>
      <c r="K104" s="536"/>
      <c r="L104" s="541"/>
      <c r="M104" s="536">
        <f t="shared" si="3"/>
        <v>0</v>
      </c>
      <c r="N104" s="541"/>
      <c r="O104" s="536">
        <f t="shared" si="4"/>
        <v>0</v>
      </c>
      <c r="P104" s="536">
        <f t="shared" si="5"/>
        <v>0</v>
      </c>
      <c r="Q104" s="491"/>
    </row>
    <row r="105" spans="1:17">
      <c r="C105" s="532" t="str">
        <f>IF(D96="","-",+C104+1)</f>
        <v>-</v>
      </c>
      <c r="D105" s="489">
        <f t="shared" si="6"/>
        <v>0</v>
      </c>
      <c r="E105" s="539">
        <f t="shared" si="7"/>
        <v>0</v>
      </c>
      <c r="F105" s="539">
        <f t="shared" si="0"/>
        <v>0</v>
      </c>
      <c r="G105" s="489">
        <f t="shared" si="1"/>
        <v>0</v>
      </c>
      <c r="H105" s="533">
        <f>+J97*G105+E105</f>
        <v>0</v>
      </c>
      <c r="I105" s="540">
        <f>+J98*G105+E105</f>
        <v>0</v>
      </c>
      <c r="J105" s="536">
        <f t="shared" si="2"/>
        <v>0</v>
      </c>
      <c r="K105" s="536"/>
      <c r="L105" s="541"/>
      <c r="M105" s="536">
        <f t="shared" si="3"/>
        <v>0</v>
      </c>
      <c r="N105" s="541"/>
      <c r="O105" s="536">
        <f t="shared" si="4"/>
        <v>0</v>
      </c>
      <c r="P105" s="536">
        <f t="shared" si="5"/>
        <v>0</v>
      </c>
      <c r="Q105" s="491"/>
    </row>
    <row r="106" spans="1:17">
      <c r="C106" s="532" t="str">
        <f>IF(D96="","-",+C105+1)</f>
        <v>-</v>
      </c>
      <c r="D106" s="489">
        <f t="shared" si="6"/>
        <v>0</v>
      </c>
      <c r="E106" s="539">
        <f t="shared" si="7"/>
        <v>0</v>
      </c>
      <c r="F106" s="539">
        <f t="shared" si="0"/>
        <v>0</v>
      </c>
      <c r="G106" s="489">
        <f t="shared" si="1"/>
        <v>0</v>
      </c>
      <c r="H106" s="533">
        <f>+J97*G106+E106</f>
        <v>0</v>
      </c>
      <c r="I106" s="540">
        <f>+J98*G106+E106</f>
        <v>0</v>
      </c>
      <c r="J106" s="536">
        <f t="shared" si="2"/>
        <v>0</v>
      </c>
      <c r="K106" s="536"/>
      <c r="L106" s="541"/>
      <c r="M106" s="536">
        <f t="shared" si="3"/>
        <v>0</v>
      </c>
      <c r="N106" s="541"/>
      <c r="O106" s="536">
        <f t="shared" si="4"/>
        <v>0</v>
      </c>
      <c r="P106" s="536">
        <f t="shared" si="5"/>
        <v>0</v>
      </c>
      <c r="Q106" s="491"/>
    </row>
    <row r="107" spans="1:17">
      <c r="C107" s="532" t="str">
        <f>IF(D96="","-",+C106+1)</f>
        <v>-</v>
      </c>
      <c r="D107" s="489">
        <f t="shared" si="6"/>
        <v>0</v>
      </c>
      <c r="E107" s="539">
        <f t="shared" si="7"/>
        <v>0</v>
      </c>
      <c r="F107" s="539">
        <f t="shared" si="0"/>
        <v>0</v>
      </c>
      <c r="G107" s="489">
        <f t="shared" si="1"/>
        <v>0</v>
      </c>
      <c r="H107" s="533">
        <f>+J97*G107+E107</f>
        <v>0</v>
      </c>
      <c r="I107" s="540">
        <f>+J98*G107+E107</f>
        <v>0</v>
      </c>
      <c r="J107" s="536">
        <f t="shared" si="2"/>
        <v>0</v>
      </c>
      <c r="K107" s="536"/>
      <c r="L107" s="541"/>
      <c r="M107" s="536">
        <f t="shared" si="3"/>
        <v>0</v>
      </c>
      <c r="N107" s="541"/>
      <c r="O107" s="536">
        <f t="shared" si="4"/>
        <v>0</v>
      </c>
      <c r="P107" s="536">
        <f t="shared" si="5"/>
        <v>0</v>
      </c>
      <c r="Q107" s="491"/>
    </row>
    <row r="108" spans="1:17">
      <c r="C108" s="532" t="str">
        <f>IF(D96="","-",+C107+1)</f>
        <v>-</v>
      </c>
      <c r="D108" s="489">
        <f t="shared" si="6"/>
        <v>0</v>
      </c>
      <c r="E108" s="539">
        <f t="shared" si="7"/>
        <v>0</v>
      </c>
      <c r="F108" s="539">
        <f t="shared" si="0"/>
        <v>0</v>
      </c>
      <c r="G108" s="489">
        <f t="shared" si="1"/>
        <v>0</v>
      </c>
      <c r="H108" s="533">
        <f>+J97*G108+E108</f>
        <v>0</v>
      </c>
      <c r="I108" s="540">
        <f>+J98*G108+E108</f>
        <v>0</v>
      </c>
      <c r="J108" s="536">
        <f t="shared" si="2"/>
        <v>0</v>
      </c>
      <c r="K108" s="536"/>
      <c r="L108" s="541"/>
      <c r="M108" s="536">
        <f t="shared" si="3"/>
        <v>0</v>
      </c>
      <c r="N108" s="541"/>
      <c r="O108" s="536">
        <f t="shared" si="4"/>
        <v>0</v>
      </c>
      <c r="P108" s="536">
        <f t="shared" si="5"/>
        <v>0</v>
      </c>
      <c r="Q108" s="491"/>
    </row>
    <row r="109" spans="1:17">
      <c r="C109" s="532" t="str">
        <f>IF(D96="","-",+C108+1)</f>
        <v>-</v>
      </c>
      <c r="D109" s="489">
        <f t="shared" si="6"/>
        <v>0</v>
      </c>
      <c r="E109" s="539">
        <f t="shared" si="7"/>
        <v>0</v>
      </c>
      <c r="F109" s="539">
        <f t="shared" si="0"/>
        <v>0</v>
      </c>
      <c r="G109" s="489">
        <f t="shared" si="1"/>
        <v>0</v>
      </c>
      <c r="H109" s="533">
        <f>+J97*G109+E109</f>
        <v>0</v>
      </c>
      <c r="I109" s="540">
        <f>+J98*G109+E109</f>
        <v>0</v>
      </c>
      <c r="J109" s="536">
        <f t="shared" si="2"/>
        <v>0</v>
      </c>
      <c r="K109" s="536"/>
      <c r="L109" s="541"/>
      <c r="M109" s="536">
        <f t="shared" si="3"/>
        <v>0</v>
      </c>
      <c r="N109" s="541"/>
      <c r="O109" s="536">
        <f t="shared" si="4"/>
        <v>0</v>
      </c>
      <c r="P109" s="536">
        <f t="shared" si="5"/>
        <v>0</v>
      </c>
      <c r="Q109" s="491"/>
    </row>
    <row r="110" spans="1:17">
      <c r="C110" s="532" t="str">
        <f>IF(D96="","-",+C109+1)</f>
        <v>-</v>
      </c>
      <c r="D110" s="489">
        <f t="shared" si="6"/>
        <v>0</v>
      </c>
      <c r="E110" s="539">
        <f t="shared" si="7"/>
        <v>0</v>
      </c>
      <c r="F110" s="539">
        <f t="shared" si="0"/>
        <v>0</v>
      </c>
      <c r="G110" s="489">
        <f t="shared" si="1"/>
        <v>0</v>
      </c>
      <c r="H110" s="533">
        <f>+J97*G110+E110</f>
        <v>0</v>
      </c>
      <c r="I110" s="540">
        <f>+J98*G110+E110</f>
        <v>0</v>
      </c>
      <c r="J110" s="536">
        <f t="shared" si="2"/>
        <v>0</v>
      </c>
      <c r="K110" s="536"/>
      <c r="L110" s="541"/>
      <c r="M110" s="536">
        <f t="shared" si="3"/>
        <v>0</v>
      </c>
      <c r="N110" s="541"/>
      <c r="O110" s="536">
        <f t="shared" si="4"/>
        <v>0</v>
      </c>
      <c r="P110" s="536">
        <f t="shared" si="5"/>
        <v>0</v>
      </c>
      <c r="Q110" s="491"/>
    </row>
    <row r="111" spans="1:17">
      <c r="C111" s="532" t="str">
        <f>IF(D96="","-",+C110+1)</f>
        <v>-</v>
      </c>
      <c r="D111" s="489">
        <f t="shared" si="6"/>
        <v>0</v>
      </c>
      <c r="E111" s="539">
        <f t="shared" si="7"/>
        <v>0</v>
      </c>
      <c r="F111" s="539">
        <f t="shared" si="0"/>
        <v>0</v>
      </c>
      <c r="G111" s="489">
        <f t="shared" si="1"/>
        <v>0</v>
      </c>
      <c r="H111" s="533">
        <f>+J97*G111+E111</f>
        <v>0</v>
      </c>
      <c r="I111" s="540">
        <f>+J98*G111+E111</f>
        <v>0</v>
      </c>
      <c r="J111" s="536">
        <f t="shared" si="2"/>
        <v>0</v>
      </c>
      <c r="K111" s="536"/>
      <c r="L111" s="541"/>
      <c r="M111" s="536">
        <f t="shared" si="3"/>
        <v>0</v>
      </c>
      <c r="N111" s="541"/>
      <c r="O111" s="536">
        <f t="shared" si="4"/>
        <v>0</v>
      </c>
      <c r="P111" s="536">
        <f t="shared" si="5"/>
        <v>0</v>
      </c>
      <c r="Q111" s="491"/>
    </row>
    <row r="112" spans="1:17">
      <c r="C112" s="532" t="str">
        <f>IF(D96="","-",+C111+1)</f>
        <v>-</v>
      </c>
      <c r="D112" s="489">
        <f t="shared" si="6"/>
        <v>0</v>
      </c>
      <c r="E112" s="539">
        <f t="shared" si="7"/>
        <v>0</v>
      </c>
      <c r="F112" s="539">
        <f t="shared" si="0"/>
        <v>0</v>
      </c>
      <c r="G112" s="489">
        <f t="shared" si="1"/>
        <v>0</v>
      </c>
      <c r="H112" s="533">
        <f>+J97*G112+E112</f>
        <v>0</v>
      </c>
      <c r="I112" s="540">
        <f>+J98*G112+E112</f>
        <v>0</v>
      </c>
      <c r="J112" s="536">
        <f t="shared" si="2"/>
        <v>0</v>
      </c>
      <c r="K112" s="536"/>
      <c r="L112" s="541"/>
      <c r="M112" s="536">
        <f t="shared" si="3"/>
        <v>0</v>
      </c>
      <c r="N112" s="541"/>
      <c r="O112" s="536">
        <f t="shared" si="4"/>
        <v>0</v>
      </c>
      <c r="P112" s="536">
        <f t="shared" si="5"/>
        <v>0</v>
      </c>
      <c r="Q112" s="491"/>
    </row>
    <row r="113" spans="3:17">
      <c r="C113" s="532" t="str">
        <f>IF(D96="","-",+C112+1)</f>
        <v>-</v>
      </c>
      <c r="D113" s="489">
        <f t="shared" si="6"/>
        <v>0</v>
      </c>
      <c r="E113" s="539">
        <f t="shared" si="7"/>
        <v>0</v>
      </c>
      <c r="F113" s="539">
        <f t="shared" si="0"/>
        <v>0</v>
      </c>
      <c r="G113" s="489">
        <f t="shared" si="1"/>
        <v>0</v>
      </c>
      <c r="H113" s="533">
        <f>+J97*G113+E113</f>
        <v>0</v>
      </c>
      <c r="I113" s="540">
        <f>+J98*G113+E113</f>
        <v>0</v>
      </c>
      <c r="J113" s="536">
        <f t="shared" si="2"/>
        <v>0</v>
      </c>
      <c r="K113" s="536"/>
      <c r="L113" s="541"/>
      <c r="M113" s="536">
        <f t="shared" si="3"/>
        <v>0</v>
      </c>
      <c r="N113" s="541"/>
      <c r="O113" s="536">
        <f t="shared" si="4"/>
        <v>0</v>
      </c>
      <c r="P113" s="536">
        <f t="shared" si="5"/>
        <v>0</v>
      </c>
      <c r="Q113" s="491"/>
    </row>
    <row r="114" spans="3:17">
      <c r="C114" s="532" t="str">
        <f>IF(D96="","-",+C113+1)</f>
        <v>-</v>
      </c>
      <c r="D114" s="489">
        <f t="shared" si="6"/>
        <v>0</v>
      </c>
      <c r="E114" s="539">
        <f t="shared" si="7"/>
        <v>0</v>
      </c>
      <c r="F114" s="539">
        <f t="shared" si="0"/>
        <v>0</v>
      </c>
      <c r="G114" s="489">
        <f t="shared" si="1"/>
        <v>0</v>
      </c>
      <c r="H114" s="533">
        <f>+J97*G114+E114</f>
        <v>0</v>
      </c>
      <c r="I114" s="540">
        <f>+J98*G114+E114</f>
        <v>0</v>
      </c>
      <c r="J114" s="536">
        <f t="shared" si="2"/>
        <v>0</v>
      </c>
      <c r="K114" s="536"/>
      <c r="L114" s="541"/>
      <c r="M114" s="536">
        <f t="shared" si="3"/>
        <v>0</v>
      </c>
      <c r="N114" s="541"/>
      <c r="O114" s="536">
        <f t="shared" si="4"/>
        <v>0</v>
      </c>
      <c r="P114" s="536">
        <f t="shared" si="5"/>
        <v>0</v>
      </c>
      <c r="Q114" s="491"/>
    </row>
    <row r="115" spans="3:17">
      <c r="C115" s="532" t="str">
        <f>IF(D96="","-",+C114+1)</f>
        <v>-</v>
      </c>
      <c r="D115" s="489">
        <f t="shared" si="6"/>
        <v>0</v>
      </c>
      <c r="E115" s="539">
        <f t="shared" si="7"/>
        <v>0</v>
      </c>
      <c r="F115" s="539">
        <f t="shared" si="0"/>
        <v>0</v>
      </c>
      <c r="G115" s="489">
        <f t="shared" si="1"/>
        <v>0</v>
      </c>
      <c r="H115" s="533">
        <f>+J97*G115+E115</f>
        <v>0</v>
      </c>
      <c r="I115" s="540">
        <f>+J98*G115+E115</f>
        <v>0</v>
      </c>
      <c r="J115" s="536">
        <f t="shared" si="2"/>
        <v>0</v>
      </c>
      <c r="K115" s="536"/>
      <c r="L115" s="541"/>
      <c r="M115" s="536">
        <f t="shared" si="3"/>
        <v>0</v>
      </c>
      <c r="N115" s="541"/>
      <c r="O115" s="536">
        <f t="shared" si="4"/>
        <v>0</v>
      </c>
      <c r="P115" s="536">
        <f t="shared" si="5"/>
        <v>0</v>
      </c>
      <c r="Q115" s="491"/>
    </row>
    <row r="116" spans="3:17">
      <c r="C116" s="532" t="str">
        <f>IF(D96="","-",+C115+1)</f>
        <v>-</v>
      </c>
      <c r="D116" s="489">
        <f t="shared" si="6"/>
        <v>0</v>
      </c>
      <c r="E116" s="539">
        <f t="shared" si="7"/>
        <v>0</v>
      </c>
      <c r="F116" s="539">
        <f t="shared" si="0"/>
        <v>0</v>
      </c>
      <c r="G116" s="489">
        <f t="shared" si="1"/>
        <v>0</v>
      </c>
      <c r="H116" s="533">
        <f>+J97*G116+E116</f>
        <v>0</v>
      </c>
      <c r="I116" s="540">
        <f>+J98*G116+E116</f>
        <v>0</v>
      </c>
      <c r="J116" s="536">
        <f t="shared" si="2"/>
        <v>0</v>
      </c>
      <c r="K116" s="536"/>
      <c r="L116" s="541"/>
      <c r="M116" s="536">
        <f t="shared" si="3"/>
        <v>0</v>
      </c>
      <c r="N116" s="541"/>
      <c r="O116" s="536">
        <f t="shared" si="4"/>
        <v>0</v>
      </c>
      <c r="P116" s="536">
        <f t="shared" si="5"/>
        <v>0</v>
      </c>
      <c r="Q116" s="491"/>
    </row>
    <row r="117" spans="3:17">
      <c r="C117" s="532" t="str">
        <f>IF(D96="","-",+C116+1)</f>
        <v>-</v>
      </c>
      <c r="D117" s="489">
        <f t="shared" si="6"/>
        <v>0</v>
      </c>
      <c r="E117" s="539">
        <f t="shared" si="7"/>
        <v>0</v>
      </c>
      <c r="F117" s="539">
        <f t="shared" si="0"/>
        <v>0</v>
      </c>
      <c r="G117" s="489">
        <f t="shared" si="1"/>
        <v>0</v>
      </c>
      <c r="H117" s="533">
        <f>+J97*G117+E117</f>
        <v>0</v>
      </c>
      <c r="I117" s="540">
        <f>+J98*G117+E117</f>
        <v>0</v>
      </c>
      <c r="J117" s="536">
        <f t="shared" si="2"/>
        <v>0</v>
      </c>
      <c r="K117" s="536"/>
      <c r="L117" s="541"/>
      <c r="M117" s="536">
        <f t="shared" si="3"/>
        <v>0</v>
      </c>
      <c r="N117" s="541"/>
      <c r="O117" s="536">
        <f t="shared" si="4"/>
        <v>0</v>
      </c>
      <c r="P117" s="536">
        <f t="shared" si="5"/>
        <v>0</v>
      </c>
      <c r="Q117" s="491"/>
    </row>
    <row r="118" spans="3:17">
      <c r="C118" s="532" t="str">
        <f>IF(D96="","-",+C117+1)</f>
        <v>-</v>
      </c>
      <c r="D118" s="489">
        <f t="shared" si="6"/>
        <v>0</v>
      </c>
      <c r="E118" s="539">
        <f t="shared" si="7"/>
        <v>0</v>
      </c>
      <c r="F118" s="539">
        <f t="shared" si="0"/>
        <v>0</v>
      </c>
      <c r="G118" s="489">
        <f t="shared" si="1"/>
        <v>0</v>
      </c>
      <c r="H118" s="533">
        <f>+J97*G118+E118</f>
        <v>0</v>
      </c>
      <c r="I118" s="540">
        <f>+J98*G118+E118</f>
        <v>0</v>
      </c>
      <c r="J118" s="536">
        <f t="shared" si="2"/>
        <v>0</v>
      </c>
      <c r="K118" s="536"/>
      <c r="L118" s="541"/>
      <c r="M118" s="536">
        <f t="shared" si="3"/>
        <v>0</v>
      </c>
      <c r="N118" s="541"/>
      <c r="O118" s="536">
        <f t="shared" si="4"/>
        <v>0</v>
      </c>
      <c r="P118" s="536">
        <f t="shared" si="5"/>
        <v>0</v>
      </c>
      <c r="Q118" s="491"/>
    </row>
    <row r="119" spans="3:17">
      <c r="C119" s="532" t="str">
        <f>IF(D96="","-",+C118+1)</f>
        <v>-</v>
      </c>
      <c r="D119" s="489">
        <f t="shared" si="6"/>
        <v>0</v>
      </c>
      <c r="E119" s="539">
        <f t="shared" si="7"/>
        <v>0</v>
      </c>
      <c r="F119" s="539">
        <f t="shared" si="0"/>
        <v>0</v>
      </c>
      <c r="G119" s="489">
        <f t="shared" si="1"/>
        <v>0</v>
      </c>
      <c r="H119" s="533">
        <f>+J97*G119+E119</f>
        <v>0</v>
      </c>
      <c r="I119" s="540">
        <f>+J98*G119+E119</f>
        <v>0</v>
      </c>
      <c r="J119" s="536">
        <f t="shared" si="2"/>
        <v>0</v>
      </c>
      <c r="K119" s="536"/>
      <c r="L119" s="541"/>
      <c r="M119" s="536">
        <f t="shared" si="3"/>
        <v>0</v>
      </c>
      <c r="N119" s="541"/>
      <c r="O119" s="536">
        <f t="shared" si="4"/>
        <v>0</v>
      </c>
      <c r="P119" s="536">
        <f t="shared" si="5"/>
        <v>0</v>
      </c>
      <c r="Q119" s="491"/>
    </row>
    <row r="120" spans="3:17">
      <c r="C120" s="532" t="str">
        <f>IF(D96="","-",+C119+1)</f>
        <v>-</v>
      </c>
      <c r="D120" s="489">
        <f t="shared" si="6"/>
        <v>0</v>
      </c>
      <c r="E120" s="539">
        <f t="shared" si="7"/>
        <v>0</v>
      </c>
      <c r="F120" s="539">
        <f t="shared" si="0"/>
        <v>0</v>
      </c>
      <c r="G120" s="489">
        <f t="shared" si="1"/>
        <v>0</v>
      </c>
      <c r="H120" s="533">
        <f>+J97*G120+E120</f>
        <v>0</v>
      </c>
      <c r="I120" s="540">
        <f>+J98*G120+E120</f>
        <v>0</v>
      </c>
      <c r="J120" s="536">
        <f t="shared" si="2"/>
        <v>0</v>
      </c>
      <c r="K120" s="536"/>
      <c r="L120" s="541"/>
      <c r="M120" s="536">
        <f t="shared" si="3"/>
        <v>0</v>
      </c>
      <c r="N120" s="541"/>
      <c r="O120" s="536">
        <f t="shared" si="4"/>
        <v>0</v>
      </c>
      <c r="P120" s="536">
        <f t="shared" si="5"/>
        <v>0</v>
      </c>
      <c r="Q120" s="491"/>
    </row>
    <row r="121" spans="3:17">
      <c r="C121" s="532" t="str">
        <f>IF(D96="","-",+C120+1)</f>
        <v>-</v>
      </c>
      <c r="D121" s="489">
        <f t="shared" si="6"/>
        <v>0</v>
      </c>
      <c r="E121" s="539">
        <f t="shared" si="7"/>
        <v>0</v>
      </c>
      <c r="F121" s="539">
        <f t="shared" si="0"/>
        <v>0</v>
      </c>
      <c r="G121" s="489">
        <f t="shared" si="1"/>
        <v>0</v>
      </c>
      <c r="H121" s="533">
        <f>+J97*G121+E121</f>
        <v>0</v>
      </c>
      <c r="I121" s="540">
        <f>+J98*G121+E121</f>
        <v>0</v>
      </c>
      <c r="J121" s="536">
        <f t="shared" si="2"/>
        <v>0</v>
      </c>
      <c r="K121" s="536"/>
      <c r="L121" s="541"/>
      <c r="M121" s="536">
        <f t="shared" si="3"/>
        <v>0</v>
      </c>
      <c r="N121" s="541"/>
      <c r="O121" s="536">
        <f t="shared" si="4"/>
        <v>0</v>
      </c>
      <c r="P121" s="536">
        <f t="shared" si="5"/>
        <v>0</v>
      </c>
      <c r="Q121" s="491"/>
    </row>
    <row r="122" spans="3:17">
      <c r="C122" s="532" t="str">
        <f>IF(D96="","-",+C121+1)</f>
        <v>-</v>
      </c>
      <c r="D122" s="489">
        <f t="shared" si="6"/>
        <v>0</v>
      </c>
      <c r="E122" s="539">
        <f t="shared" si="7"/>
        <v>0</v>
      </c>
      <c r="F122" s="539">
        <f t="shared" si="0"/>
        <v>0</v>
      </c>
      <c r="G122" s="489">
        <f t="shared" si="1"/>
        <v>0</v>
      </c>
      <c r="H122" s="533">
        <f>+J97*G122+E122</f>
        <v>0</v>
      </c>
      <c r="I122" s="540">
        <f>+J98*G122+E122</f>
        <v>0</v>
      </c>
      <c r="J122" s="536">
        <f t="shared" si="2"/>
        <v>0</v>
      </c>
      <c r="K122" s="536"/>
      <c r="L122" s="541"/>
      <c r="M122" s="536">
        <f t="shared" si="3"/>
        <v>0</v>
      </c>
      <c r="N122" s="541"/>
      <c r="O122" s="536">
        <f t="shared" si="4"/>
        <v>0</v>
      </c>
      <c r="P122" s="536">
        <f t="shared" si="5"/>
        <v>0</v>
      </c>
      <c r="Q122" s="491"/>
    </row>
    <row r="123" spans="3:17">
      <c r="C123" s="532" t="str">
        <f>IF(D96="","-",+C122+1)</f>
        <v>-</v>
      </c>
      <c r="D123" s="489">
        <f t="shared" si="6"/>
        <v>0</v>
      </c>
      <c r="E123" s="539">
        <f t="shared" si="7"/>
        <v>0</v>
      </c>
      <c r="F123" s="539">
        <f t="shared" si="0"/>
        <v>0</v>
      </c>
      <c r="G123" s="489">
        <f t="shared" si="1"/>
        <v>0</v>
      </c>
      <c r="H123" s="533">
        <f>+J97*G123+E123</f>
        <v>0</v>
      </c>
      <c r="I123" s="540">
        <f>+J98*G123+E123</f>
        <v>0</v>
      </c>
      <c r="J123" s="536">
        <f t="shared" si="2"/>
        <v>0</v>
      </c>
      <c r="K123" s="536"/>
      <c r="L123" s="541"/>
      <c r="M123" s="536">
        <f t="shared" si="3"/>
        <v>0</v>
      </c>
      <c r="N123" s="541"/>
      <c r="O123" s="536">
        <f t="shared" si="4"/>
        <v>0</v>
      </c>
      <c r="P123" s="536">
        <f t="shared" si="5"/>
        <v>0</v>
      </c>
      <c r="Q123" s="491"/>
    </row>
    <row r="124" spans="3:17">
      <c r="C124" s="532" t="str">
        <f>IF(D96="","-",+C123+1)</f>
        <v>-</v>
      </c>
      <c r="D124" s="489">
        <f t="shared" si="6"/>
        <v>0</v>
      </c>
      <c r="E124" s="539">
        <f t="shared" si="7"/>
        <v>0</v>
      </c>
      <c r="F124" s="539">
        <f t="shared" si="0"/>
        <v>0</v>
      </c>
      <c r="G124" s="489">
        <f t="shared" si="1"/>
        <v>0</v>
      </c>
      <c r="H124" s="533">
        <f>+J97*G124+E124</f>
        <v>0</v>
      </c>
      <c r="I124" s="540">
        <f>+J98*G124+E124</f>
        <v>0</v>
      </c>
      <c r="J124" s="536">
        <f t="shared" si="2"/>
        <v>0</v>
      </c>
      <c r="K124" s="536"/>
      <c r="L124" s="541"/>
      <c r="M124" s="536">
        <f t="shared" si="3"/>
        <v>0</v>
      </c>
      <c r="N124" s="541"/>
      <c r="O124" s="536">
        <f t="shared" si="4"/>
        <v>0</v>
      </c>
      <c r="P124" s="536">
        <f t="shared" si="5"/>
        <v>0</v>
      </c>
      <c r="Q124" s="491"/>
    </row>
    <row r="125" spans="3:17">
      <c r="C125" s="532" t="str">
        <f>IF(D96="","-",+C124+1)</f>
        <v>-</v>
      </c>
      <c r="D125" s="489">
        <f t="shared" si="6"/>
        <v>0</v>
      </c>
      <c r="E125" s="539">
        <f t="shared" si="7"/>
        <v>0</v>
      </c>
      <c r="F125" s="539">
        <f t="shared" si="0"/>
        <v>0</v>
      </c>
      <c r="G125" s="489">
        <f t="shared" si="1"/>
        <v>0</v>
      </c>
      <c r="H125" s="533">
        <f>+J97*G125+E125</f>
        <v>0</v>
      </c>
      <c r="I125" s="540">
        <f>+J98*G125+E125</f>
        <v>0</v>
      </c>
      <c r="J125" s="536">
        <f t="shared" si="2"/>
        <v>0</v>
      </c>
      <c r="K125" s="536"/>
      <c r="L125" s="541"/>
      <c r="M125" s="536">
        <f t="shared" si="3"/>
        <v>0</v>
      </c>
      <c r="N125" s="541"/>
      <c r="O125" s="536">
        <f t="shared" si="4"/>
        <v>0</v>
      </c>
      <c r="P125" s="536">
        <f t="shared" si="5"/>
        <v>0</v>
      </c>
      <c r="Q125" s="491"/>
    </row>
    <row r="126" spans="3:17">
      <c r="C126" s="532" t="str">
        <f>IF(D96="","-",+C125+1)</f>
        <v>-</v>
      </c>
      <c r="D126" s="489">
        <f t="shared" si="6"/>
        <v>0</v>
      </c>
      <c r="E126" s="539">
        <f t="shared" si="7"/>
        <v>0</v>
      </c>
      <c r="F126" s="539">
        <f t="shared" si="0"/>
        <v>0</v>
      </c>
      <c r="G126" s="489">
        <f t="shared" si="1"/>
        <v>0</v>
      </c>
      <c r="H126" s="533">
        <f>+J97*G126+E126</f>
        <v>0</v>
      </c>
      <c r="I126" s="540">
        <f>+J98*G126+E126</f>
        <v>0</v>
      </c>
      <c r="J126" s="536">
        <f t="shared" si="2"/>
        <v>0</v>
      </c>
      <c r="K126" s="536"/>
      <c r="L126" s="541"/>
      <c r="M126" s="536">
        <f t="shared" si="3"/>
        <v>0</v>
      </c>
      <c r="N126" s="541"/>
      <c r="O126" s="536">
        <f t="shared" si="4"/>
        <v>0</v>
      </c>
      <c r="P126" s="536">
        <f t="shared" si="5"/>
        <v>0</v>
      </c>
      <c r="Q126" s="491"/>
    </row>
    <row r="127" spans="3:17">
      <c r="C127" s="532" t="str">
        <f>IF(D96="","-",+C126+1)</f>
        <v>-</v>
      </c>
      <c r="D127" s="489">
        <f t="shared" si="6"/>
        <v>0</v>
      </c>
      <c r="E127" s="539">
        <f t="shared" si="7"/>
        <v>0</v>
      </c>
      <c r="F127" s="539">
        <f t="shared" si="0"/>
        <v>0</v>
      </c>
      <c r="G127" s="489">
        <f t="shared" si="1"/>
        <v>0</v>
      </c>
      <c r="H127" s="533">
        <f>+J97*G127+E127</f>
        <v>0</v>
      </c>
      <c r="I127" s="540">
        <f>+J98*G127+E127</f>
        <v>0</v>
      </c>
      <c r="J127" s="536">
        <f t="shared" si="2"/>
        <v>0</v>
      </c>
      <c r="K127" s="536"/>
      <c r="L127" s="541"/>
      <c r="M127" s="536">
        <f t="shared" si="3"/>
        <v>0</v>
      </c>
      <c r="N127" s="541"/>
      <c r="O127" s="536">
        <f t="shared" si="4"/>
        <v>0</v>
      </c>
      <c r="P127" s="536">
        <f t="shared" si="5"/>
        <v>0</v>
      </c>
      <c r="Q127" s="491"/>
    </row>
    <row r="128" spans="3:17">
      <c r="C128" s="532" t="str">
        <f>IF(D96="","-",+C127+1)</f>
        <v>-</v>
      </c>
      <c r="D128" s="489">
        <f t="shared" si="6"/>
        <v>0</v>
      </c>
      <c r="E128" s="539">
        <f t="shared" si="7"/>
        <v>0</v>
      </c>
      <c r="F128" s="539">
        <f t="shared" si="0"/>
        <v>0</v>
      </c>
      <c r="G128" s="489">
        <f t="shared" si="1"/>
        <v>0</v>
      </c>
      <c r="H128" s="533">
        <f>+J97*G128+E128</f>
        <v>0</v>
      </c>
      <c r="I128" s="540">
        <f>+J98*G128+E128</f>
        <v>0</v>
      </c>
      <c r="J128" s="536">
        <f t="shared" si="2"/>
        <v>0</v>
      </c>
      <c r="K128" s="536"/>
      <c r="L128" s="541"/>
      <c r="M128" s="536">
        <f t="shared" si="3"/>
        <v>0</v>
      </c>
      <c r="N128" s="541"/>
      <c r="O128" s="536">
        <f t="shared" si="4"/>
        <v>0</v>
      </c>
      <c r="P128" s="536">
        <f t="shared" si="5"/>
        <v>0</v>
      </c>
      <c r="Q128" s="491"/>
    </row>
    <row r="129" spans="3:17">
      <c r="C129" s="532" t="str">
        <f>IF(D96="","-",+C128+1)</f>
        <v>-</v>
      </c>
      <c r="D129" s="489">
        <f t="shared" si="6"/>
        <v>0</v>
      </c>
      <c r="E129" s="539">
        <f t="shared" si="7"/>
        <v>0</v>
      </c>
      <c r="F129" s="539">
        <f t="shared" si="0"/>
        <v>0</v>
      </c>
      <c r="G129" s="489">
        <f t="shared" si="1"/>
        <v>0</v>
      </c>
      <c r="H129" s="533">
        <f>+J97*G129+E129</f>
        <v>0</v>
      </c>
      <c r="I129" s="540">
        <f>+J98*G129+E129</f>
        <v>0</v>
      </c>
      <c r="J129" s="536">
        <f t="shared" si="2"/>
        <v>0</v>
      </c>
      <c r="K129" s="536"/>
      <c r="L129" s="541"/>
      <c r="M129" s="536">
        <f t="shared" si="3"/>
        <v>0</v>
      </c>
      <c r="N129" s="541"/>
      <c r="O129" s="536">
        <f t="shared" si="4"/>
        <v>0</v>
      </c>
      <c r="P129" s="536">
        <f t="shared" si="5"/>
        <v>0</v>
      </c>
      <c r="Q129" s="491"/>
    </row>
    <row r="130" spans="3:17">
      <c r="C130" s="532" t="str">
        <f>IF(D96="","-",+C129+1)</f>
        <v>-</v>
      </c>
      <c r="D130" s="489">
        <f t="shared" si="6"/>
        <v>0</v>
      </c>
      <c r="E130" s="539">
        <f t="shared" si="7"/>
        <v>0</v>
      </c>
      <c r="F130" s="539">
        <f t="shared" si="0"/>
        <v>0</v>
      </c>
      <c r="G130" s="489">
        <f t="shared" si="1"/>
        <v>0</v>
      </c>
      <c r="H130" s="533">
        <f>+J97*G130+E130</f>
        <v>0</v>
      </c>
      <c r="I130" s="540">
        <f>+J98*G130+E130</f>
        <v>0</v>
      </c>
      <c r="J130" s="536">
        <f t="shared" si="2"/>
        <v>0</v>
      </c>
      <c r="K130" s="536"/>
      <c r="L130" s="541"/>
      <c r="M130" s="536">
        <f t="shared" si="3"/>
        <v>0</v>
      </c>
      <c r="N130" s="541"/>
      <c r="O130" s="536">
        <f t="shared" si="4"/>
        <v>0</v>
      </c>
      <c r="P130" s="536">
        <f t="shared" si="5"/>
        <v>0</v>
      </c>
      <c r="Q130" s="491"/>
    </row>
    <row r="131" spans="3:17">
      <c r="C131" s="532" t="str">
        <f>IF(D96="","-",+C130+1)</f>
        <v>-</v>
      </c>
      <c r="D131" s="489">
        <f t="shared" si="6"/>
        <v>0</v>
      </c>
      <c r="E131" s="539">
        <f t="shared" si="7"/>
        <v>0</v>
      </c>
      <c r="F131" s="539">
        <f t="shared" si="0"/>
        <v>0</v>
      </c>
      <c r="G131" s="489">
        <f t="shared" si="1"/>
        <v>0</v>
      </c>
      <c r="H131" s="533">
        <f>+J97*G131+E131</f>
        <v>0</v>
      </c>
      <c r="I131" s="540">
        <f>+J98*G131+E131</f>
        <v>0</v>
      </c>
      <c r="J131" s="536">
        <f t="shared" si="2"/>
        <v>0</v>
      </c>
      <c r="K131" s="536"/>
      <c r="L131" s="541"/>
      <c r="M131" s="536">
        <f t="shared" si="3"/>
        <v>0</v>
      </c>
      <c r="N131" s="541"/>
      <c r="O131" s="536">
        <f t="shared" si="4"/>
        <v>0</v>
      </c>
      <c r="P131" s="536">
        <f t="shared" si="5"/>
        <v>0</v>
      </c>
      <c r="Q131" s="491"/>
    </row>
    <row r="132" spans="3:17">
      <c r="C132" s="532" t="str">
        <f>IF(D96="","-",+C131+1)</f>
        <v>-</v>
      </c>
      <c r="D132" s="489">
        <f t="shared" si="6"/>
        <v>0</v>
      </c>
      <c r="E132" s="539">
        <f t="shared" si="7"/>
        <v>0</v>
      </c>
      <c r="F132" s="539">
        <f t="shared" si="0"/>
        <v>0</v>
      </c>
      <c r="G132" s="489">
        <f t="shared" si="1"/>
        <v>0</v>
      </c>
      <c r="H132" s="533">
        <f>+J97*G132+E132</f>
        <v>0</v>
      </c>
      <c r="I132" s="540">
        <f>+J98*G132+E132</f>
        <v>0</v>
      </c>
      <c r="J132" s="536">
        <f t="shared" si="2"/>
        <v>0</v>
      </c>
      <c r="K132" s="536"/>
      <c r="L132" s="541"/>
      <c r="M132" s="536">
        <f t="shared" si="3"/>
        <v>0</v>
      </c>
      <c r="N132" s="541"/>
      <c r="O132" s="536">
        <f t="shared" si="4"/>
        <v>0</v>
      </c>
      <c r="P132" s="536">
        <f t="shared" si="5"/>
        <v>0</v>
      </c>
      <c r="Q132" s="491"/>
    </row>
    <row r="133" spans="3:17">
      <c r="C133" s="532" t="str">
        <f>IF(D96="","-",+C132+1)</f>
        <v>-</v>
      </c>
      <c r="D133" s="489">
        <f t="shared" si="6"/>
        <v>0</v>
      </c>
      <c r="E133" s="539">
        <f t="shared" si="7"/>
        <v>0</v>
      </c>
      <c r="F133" s="539">
        <f t="shared" si="0"/>
        <v>0</v>
      </c>
      <c r="G133" s="489">
        <f t="shared" si="1"/>
        <v>0</v>
      </c>
      <c r="H133" s="533">
        <f>+J97*G133+E133</f>
        <v>0</v>
      </c>
      <c r="I133" s="540">
        <f>+J98*G133+E133</f>
        <v>0</v>
      </c>
      <c r="J133" s="536">
        <f t="shared" si="2"/>
        <v>0</v>
      </c>
      <c r="K133" s="536"/>
      <c r="L133" s="541"/>
      <c r="M133" s="536">
        <f t="shared" si="3"/>
        <v>0</v>
      </c>
      <c r="N133" s="541"/>
      <c r="O133" s="536">
        <f t="shared" si="4"/>
        <v>0</v>
      </c>
      <c r="P133" s="536">
        <f t="shared" si="5"/>
        <v>0</v>
      </c>
      <c r="Q133" s="491"/>
    </row>
    <row r="134" spans="3:17">
      <c r="C134" s="532" t="str">
        <f>IF(D96="","-",+C133+1)</f>
        <v>-</v>
      </c>
      <c r="D134" s="489">
        <f t="shared" si="6"/>
        <v>0</v>
      </c>
      <c r="E134" s="539">
        <f t="shared" si="7"/>
        <v>0</v>
      </c>
      <c r="F134" s="539">
        <f t="shared" ref="F134:F161" si="8">+D134-E134</f>
        <v>0</v>
      </c>
      <c r="G134" s="489">
        <f t="shared" ref="G134:G161" si="9">+(D134+F134)/2</f>
        <v>0</v>
      </c>
      <c r="H134" s="533">
        <f>+J97*G134+E134</f>
        <v>0</v>
      </c>
      <c r="I134" s="540">
        <f>+J98*G134+E134</f>
        <v>0</v>
      </c>
      <c r="J134" s="536">
        <f t="shared" ref="J134:J161" si="10">+I134-H134</f>
        <v>0</v>
      </c>
      <c r="K134" s="536"/>
      <c r="L134" s="541"/>
      <c r="M134" s="536">
        <f t="shared" ref="M134:M161" si="11">IF(L134&lt;&gt;0,+H134-L134,0)</f>
        <v>0</v>
      </c>
      <c r="N134" s="541"/>
      <c r="O134" s="536">
        <f t="shared" ref="O134:O161" si="12">IF(N134&lt;&gt;0,+I134-N134,0)</f>
        <v>0</v>
      </c>
      <c r="P134" s="536">
        <f t="shared" ref="P134:P161" si="13">+O134-M134</f>
        <v>0</v>
      </c>
      <c r="Q134" s="491"/>
    </row>
    <row r="135" spans="3:17">
      <c r="C135" s="532" t="str">
        <f>IF(D96="","-",+C134+1)</f>
        <v>-</v>
      </c>
      <c r="D135" s="489">
        <f t="shared" ref="D135:D161" si="14">F134</f>
        <v>0</v>
      </c>
      <c r="E135" s="539">
        <f t="shared" ref="E135:E161" si="15">IF(D135&gt;$J$99,$J$99,D135)</f>
        <v>0</v>
      </c>
      <c r="F135" s="539">
        <f t="shared" si="8"/>
        <v>0</v>
      </c>
      <c r="G135" s="489">
        <f t="shared" si="9"/>
        <v>0</v>
      </c>
      <c r="H135" s="533">
        <f>+J97*G135+E135</f>
        <v>0</v>
      </c>
      <c r="I135" s="540">
        <f>+J98*G135+E135</f>
        <v>0</v>
      </c>
      <c r="J135" s="536">
        <f t="shared" si="10"/>
        <v>0</v>
      </c>
      <c r="K135" s="536"/>
      <c r="L135" s="541"/>
      <c r="M135" s="536">
        <f t="shared" si="11"/>
        <v>0</v>
      </c>
      <c r="N135" s="541"/>
      <c r="O135" s="536">
        <f t="shared" si="12"/>
        <v>0</v>
      </c>
      <c r="P135" s="536">
        <f t="shared" si="13"/>
        <v>0</v>
      </c>
      <c r="Q135" s="491"/>
    </row>
    <row r="136" spans="3:17">
      <c r="C136" s="532" t="str">
        <f>IF(D96="","-",+C135+1)</f>
        <v>-</v>
      </c>
      <c r="D136" s="489">
        <f t="shared" si="14"/>
        <v>0</v>
      </c>
      <c r="E136" s="539">
        <f t="shared" si="15"/>
        <v>0</v>
      </c>
      <c r="F136" s="539">
        <f t="shared" si="8"/>
        <v>0</v>
      </c>
      <c r="G136" s="489">
        <f t="shared" si="9"/>
        <v>0</v>
      </c>
      <c r="H136" s="533">
        <f>+J97*G136+E136</f>
        <v>0</v>
      </c>
      <c r="I136" s="540">
        <f>+J98*G136+E136</f>
        <v>0</v>
      </c>
      <c r="J136" s="536">
        <f t="shared" si="10"/>
        <v>0</v>
      </c>
      <c r="K136" s="536"/>
      <c r="L136" s="541"/>
      <c r="M136" s="536">
        <f t="shared" si="11"/>
        <v>0</v>
      </c>
      <c r="N136" s="541"/>
      <c r="O136" s="536">
        <f t="shared" si="12"/>
        <v>0</v>
      </c>
      <c r="P136" s="536">
        <f t="shared" si="13"/>
        <v>0</v>
      </c>
      <c r="Q136" s="491"/>
    </row>
    <row r="137" spans="3:17">
      <c r="C137" s="532" t="str">
        <f>IF(D96="","-",+C136+1)</f>
        <v>-</v>
      </c>
      <c r="D137" s="489">
        <f t="shared" si="14"/>
        <v>0</v>
      </c>
      <c r="E137" s="539">
        <f t="shared" si="15"/>
        <v>0</v>
      </c>
      <c r="F137" s="539">
        <f t="shared" si="8"/>
        <v>0</v>
      </c>
      <c r="G137" s="489">
        <f t="shared" si="9"/>
        <v>0</v>
      </c>
      <c r="H137" s="533">
        <f>+J97*G137+E137</f>
        <v>0</v>
      </c>
      <c r="I137" s="540">
        <f>+J98*G137+E137</f>
        <v>0</v>
      </c>
      <c r="J137" s="536">
        <f t="shared" si="10"/>
        <v>0</v>
      </c>
      <c r="K137" s="536"/>
      <c r="L137" s="541"/>
      <c r="M137" s="536">
        <f t="shared" si="11"/>
        <v>0</v>
      </c>
      <c r="N137" s="541"/>
      <c r="O137" s="536">
        <f t="shared" si="12"/>
        <v>0</v>
      </c>
      <c r="P137" s="536">
        <f t="shared" si="13"/>
        <v>0</v>
      </c>
      <c r="Q137" s="491"/>
    </row>
    <row r="138" spans="3:17">
      <c r="C138" s="532" t="str">
        <f>IF(D96="","-",+C137+1)</f>
        <v>-</v>
      </c>
      <c r="D138" s="489">
        <f t="shared" si="14"/>
        <v>0</v>
      </c>
      <c r="E138" s="539">
        <f t="shared" si="15"/>
        <v>0</v>
      </c>
      <c r="F138" s="539">
        <f t="shared" si="8"/>
        <v>0</v>
      </c>
      <c r="G138" s="489">
        <f t="shared" si="9"/>
        <v>0</v>
      </c>
      <c r="H138" s="533">
        <f>+J97*G138+E138</f>
        <v>0</v>
      </c>
      <c r="I138" s="540">
        <f>+J98*G138+E138</f>
        <v>0</v>
      </c>
      <c r="J138" s="536">
        <f t="shared" si="10"/>
        <v>0</v>
      </c>
      <c r="K138" s="536"/>
      <c r="L138" s="541"/>
      <c r="M138" s="536">
        <f t="shared" si="11"/>
        <v>0</v>
      </c>
      <c r="N138" s="541"/>
      <c r="O138" s="536">
        <f t="shared" si="12"/>
        <v>0</v>
      </c>
      <c r="P138" s="536">
        <f t="shared" si="13"/>
        <v>0</v>
      </c>
      <c r="Q138" s="491"/>
    </row>
    <row r="139" spans="3:17">
      <c r="C139" s="532" t="str">
        <f>IF(D96="","-",+C138+1)</f>
        <v>-</v>
      </c>
      <c r="D139" s="489">
        <f t="shared" si="14"/>
        <v>0</v>
      </c>
      <c r="E139" s="539">
        <f t="shared" si="15"/>
        <v>0</v>
      </c>
      <c r="F139" s="539">
        <f t="shared" si="8"/>
        <v>0</v>
      </c>
      <c r="G139" s="489">
        <f t="shared" si="9"/>
        <v>0</v>
      </c>
      <c r="H139" s="533">
        <f>+J97*G139+E139</f>
        <v>0</v>
      </c>
      <c r="I139" s="540">
        <f>+J98*G139+E139</f>
        <v>0</v>
      </c>
      <c r="J139" s="536">
        <f t="shared" si="10"/>
        <v>0</v>
      </c>
      <c r="K139" s="536"/>
      <c r="L139" s="541"/>
      <c r="M139" s="536">
        <f t="shared" si="11"/>
        <v>0</v>
      </c>
      <c r="N139" s="541"/>
      <c r="O139" s="536">
        <f t="shared" si="12"/>
        <v>0</v>
      </c>
      <c r="P139" s="536">
        <f t="shared" si="13"/>
        <v>0</v>
      </c>
      <c r="Q139" s="491"/>
    </row>
    <row r="140" spans="3:17">
      <c r="C140" s="532" t="str">
        <f>IF(D96="","-",+C139+1)</f>
        <v>-</v>
      </c>
      <c r="D140" s="489">
        <f t="shared" si="14"/>
        <v>0</v>
      </c>
      <c r="E140" s="539">
        <f t="shared" si="15"/>
        <v>0</v>
      </c>
      <c r="F140" s="539">
        <f t="shared" si="8"/>
        <v>0</v>
      </c>
      <c r="G140" s="489">
        <f t="shared" si="9"/>
        <v>0</v>
      </c>
      <c r="H140" s="533">
        <f>+J97*G140+E140</f>
        <v>0</v>
      </c>
      <c r="I140" s="540">
        <f>+J98*G140+E140</f>
        <v>0</v>
      </c>
      <c r="J140" s="536">
        <f t="shared" si="10"/>
        <v>0</v>
      </c>
      <c r="K140" s="536"/>
      <c r="L140" s="541"/>
      <c r="M140" s="536">
        <f t="shared" si="11"/>
        <v>0</v>
      </c>
      <c r="N140" s="541"/>
      <c r="O140" s="536">
        <f t="shared" si="12"/>
        <v>0</v>
      </c>
      <c r="P140" s="536">
        <f t="shared" si="13"/>
        <v>0</v>
      </c>
      <c r="Q140" s="491"/>
    </row>
    <row r="141" spans="3:17">
      <c r="C141" s="532" t="str">
        <f>IF(D96="","-",+C140+1)</f>
        <v>-</v>
      </c>
      <c r="D141" s="489">
        <f t="shared" si="14"/>
        <v>0</v>
      </c>
      <c r="E141" s="539">
        <f t="shared" si="15"/>
        <v>0</v>
      </c>
      <c r="F141" s="539">
        <f t="shared" si="8"/>
        <v>0</v>
      </c>
      <c r="G141" s="489">
        <f t="shared" si="9"/>
        <v>0</v>
      </c>
      <c r="H141" s="533">
        <f>+J97*G141+E141</f>
        <v>0</v>
      </c>
      <c r="I141" s="540">
        <f>+J98*G141+E141</f>
        <v>0</v>
      </c>
      <c r="J141" s="536">
        <f t="shared" si="10"/>
        <v>0</v>
      </c>
      <c r="K141" s="536"/>
      <c r="L141" s="541"/>
      <c r="M141" s="536">
        <f t="shared" si="11"/>
        <v>0</v>
      </c>
      <c r="N141" s="541"/>
      <c r="O141" s="536">
        <f t="shared" si="12"/>
        <v>0</v>
      </c>
      <c r="P141" s="536">
        <f t="shared" si="13"/>
        <v>0</v>
      </c>
      <c r="Q141" s="491"/>
    </row>
    <row r="142" spans="3:17">
      <c r="C142" s="532" t="str">
        <f>IF(D96="","-",+C141+1)</f>
        <v>-</v>
      </c>
      <c r="D142" s="489">
        <f t="shared" si="14"/>
        <v>0</v>
      </c>
      <c r="E142" s="539">
        <f t="shared" si="15"/>
        <v>0</v>
      </c>
      <c r="F142" s="539">
        <f t="shared" si="8"/>
        <v>0</v>
      </c>
      <c r="G142" s="489">
        <v>13984000</v>
      </c>
      <c r="H142" s="533">
        <f>+J97*G142+E142</f>
        <v>1667840.7336976349</v>
      </c>
      <c r="I142" s="540">
        <f>+J98*G142+E142</f>
        <v>1667840.7336976349</v>
      </c>
      <c r="J142" s="536">
        <f t="shared" si="10"/>
        <v>0</v>
      </c>
      <c r="K142" s="536"/>
      <c r="L142" s="541"/>
      <c r="M142" s="536">
        <f t="shared" si="11"/>
        <v>0</v>
      </c>
      <c r="N142" s="541"/>
      <c r="O142" s="536">
        <f t="shared" si="12"/>
        <v>0</v>
      </c>
      <c r="P142" s="536">
        <f t="shared" si="13"/>
        <v>0</v>
      </c>
      <c r="Q142" s="491"/>
    </row>
    <row r="143" spans="3:17">
      <c r="C143" s="532" t="str">
        <f>IF(D96="","-",+C142+1)</f>
        <v>-</v>
      </c>
      <c r="D143" s="489">
        <f t="shared" si="14"/>
        <v>0</v>
      </c>
      <c r="E143" s="539">
        <f t="shared" si="15"/>
        <v>0</v>
      </c>
      <c r="F143" s="539">
        <f t="shared" si="8"/>
        <v>0</v>
      </c>
      <c r="G143" s="489">
        <f t="shared" si="9"/>
        <v>0</v>
      </c>
      <c r="H143" s="533">
        <f>+J97*G143+E143</f>
        <v>0</v>
      </c>
      <c r="I143" s="540">
        <f>+J98*G143+E143</f>
        <v>0</v>
      </c>
      <c r="J143" s="536">
        <f t="shared" si="10"/>
        <v>0</v>
      </c>
      <c r="K143" s="536"/>
      <c r="L143" s="541"/>
      <c r="M143" s="536">
        <f t="shared" si="11"/>
        <v>0</v>
      </c>
      <c r="N143" s="541"/>
      <c r="O143" s="536">
        <f t="shared" si="12"/>
        <v>0</v>
      </c>
      <c r="P143" s="536">
        <f t="shared" si="13"/>
        <v>0</v>
      </c>
      <c r="Q143" s="491"/>
    </row>
    <row r="144" spans="3:17">
      <c r="C144" s="532" t="str">
        <f>IF(D96="","-",+C143+1)</f>
        <v>-</v>
      </c>
      <c r="D144" s="489">
        <f t="shared" si="14"/>
        <v>0</v>
      </c>
      <c r="E144" s="539">
        <f t="shared" si="15"/>
        <v>0</v>
      </c>
      <c r="F144" s="539">
        <f t="shared" si="8"/>
        <v>0</v>
      </c>
      <c r="G144" s="489">
        <f t="shared" si="9"/>
        <v>0</v>
      </c>
      <c r="H144" s="533">
        <f>+J97*G144+E144</f>
        <v>0</v>
      </c>
      <c r="I144" s="540">
        <f>+J98*G144+E144</f>
        <v>0</v>
      </c>
      <c r="J144" s="536">
        <f t="shared" si="10"/>
        <v>0</v>
      </c>
      <c r="K144" s="536"/>
      <c r="L144" s="541"/>
      <c r="M144" s="536">
        <f t="shared" si="11"/>
        <v>0</v>
      </c>
      <c r="N144" s="541"/>
      <c r="O144" s="536">
        <f t="shared" si="12"/>
        <v>0</v>
      </c>
      <c r="P144" s="536">
        <f t="shared" si="13"/>
        <v>0</v>
      </c>
      <c r="Q144" s="491"/>
    </row>
    <row r="145" spans="3:17">
      <c r="C145" s="532" t="str">
        <f>IF(D96="","-",+C144+1)</f>
        <v>-</v>
      </c>
      <c r="D145" s="489">
        <f t="shared" si="14"/>
        <v>0</v>
      </c>
      <c r="E145" s="539">
        <f t="shared" si="15"/>
        <v>0</v>
      </c>
      <c r="F145" s="539">
        <f t="shared" si="8"/>
        <v>0</v>
      </c>
      <c r="G145" s="489">
        <f t="shared" si="9"/>
        <v>0</v>
      </c>
      <c r="H145" s="533">
        <f>+J97*G145+E145</f>
        <v>0</v>
      </c>
      <c r="I145" s="540">
        <f>+J98*G145+E145</f>
        <v>0</v>
      </c>
      <c r="J145" s="536">
        <f t="shared" si="10"/>
        <v>0</v>
      </c>
      <c r="K145" s="536"/>
      <c r="L145" s="541"/>
      <c r="M145" s="536">
        <f t="shared" si="11"/>
        <v>0</v>
      </c>
      <c r="N145" s="541"/>
      <c r="O145" s="536">
        <f t="shared" si="12"/>
        <v>0</v>
      </c>
      <c r="P145" s="536">
        <f t="shared" si="13"/>
        <v>0</v>
      </c>
      <c r="Q145" s="491"/>
    </row>
    <row r="146" spans="3:17">
      <c r="C146" s="532" t="str">
        <f>IF(D96="","-",+C145+1)</f>
        <v>-</v>
      </c>
      <c r="D146" s="489">
        <f t="shared" si="14"/>
        <v>0</v>
      </c>
      <c r="E146" s="539">
        <f t="shared" si="15"/>
        <v>0</v>
      </c>
      <c r="F146" s="539">
        <f t="shared" si="8"/>
        <v>0</v>
      </c>
      <c r="G146" s="489">
        <f t="shared" si="9"/>
        <v>0</v>
      </c>
      <c r="H146" s="533">
        <f>+J97*G146+E146</f>
        <v>0</v>
      </c>
      <c r="I146" s="540">
        <f>+J98*G146+E146</f>
        <v>0</v>
      </c>
      <c r="J146" s="536">
        <f t="shared" si="10"/>
        <v>0</v>
      </c>
      <c r="K146" s="536"/>
      <c r="L146" s="541"/>
      <c r="M146" s="536">
        <f t="shared" si="11"/>
        <v>0</v>
      </c>
      <c r="N146" s="541"/>
      <c r="O146" s="536">
        <f t="shared" si="12"/>
        <v>0</v>
      </c>
      <c r="P146" s="536">
        <f t="shared" si="13"/>
        <v>0</v>
      </c>
      <c r="Q146" s="491"/>
    </row>
    <row r="147" spans="3:17">
      <c r="C147" s="532" t="str">
        <f>IF(D96="","-",+C146+1)</f>
        <v>-</v>
      </c>
      <c r="D147" s="489">
        <f t="shared" si="14"/>
        <v>0</v>
      </c>
      <c r="E147" s="539">
        <f t="shared" si="15"/>
        <v>0</v>
      </c>
      <c r="F147" s="539">
        <f t="shared" si="8"/>
        <v>0</v>
      </c>
      <c r="G147" s="489">
        <f t="shared" si="9"/>
        <v>0</v>
      </c>
      <c r="H147" s="533">
        <f>+J97*G147+E147</f>
        <v>0</v>
      </c>
      <c r="I147" s="540">
        <f>+J98*G147+E147</f>
        <v>0</v>
      </c>
      <c r="J147" s="536">
        <f t="shared" si="10"/>
        <v>0</v>
      </c>
      <c r="K147" s="536"/>
      <c r="L147" s="541"/>
      <c r="M147" s="536">
        <f t="shared" si="11"/>
        <v>0</v>
      </c>
      <c r="N147" s="541"/>
      <c r="O147" s="536">
        <f t="shared" si="12"/>
        <v>0</v>
      </c>
      <c r="P147" s="536">
        <f t="shared" si="13"/>
        <v>0</v>
      </c>
      <c r="Q147" s="491"/>
    </row>
    <row r="148" spans="3:17">
      <c r="C148" s="532" t="str">
        <f>IF(D96="","-",+C147+1)</f>
        <v>-</v>
      </c>
      <c r="D148" s="489">
        <f t="shared" si="14"/>
        <v>0</v>
      </c>
      <c r="E148" s="539">
        <f t="shared" si="15"/>
        <v>0</v>
      </c>
      <c r="F148" s="539">
        <f t="shared" si="8"/>
        <v>0</v>
      </c>
      <c r="G148" s="489">
        <f t="shared" si="9"/>
        <v>0</v>
      </c>
      <c r="H148" s="533">
        <f>+J97*G148+E148</f>
        <v>0</v>
      </c>
      <c r="I148" s="540">
        <f>+J98*G148+E148</f>
        <v>0</v>
      </c>
      <c r="J148" s="536">
        <f t="shared" si="10"/>
        <v>0</v>
      </c>
      <c r="K148" s="536"/>
      <c r="L148" s="541"/>
      <c r="M148" s="536">
        <f t="shared" si="11"/>
        <v>0</v>
      </c>
      <c r="N148" s="541"/>
      <c r="O148" s="536">
        <f t="shared" si="12"/>
        <v>0</v>
      </c>
      <c r="P148" s="536">
        <f t="shared" si="13"/>
        <v>0</v>
      </c>
      <c r="Q148" s="491"/>
    </row>
    <row r="149" spans="3:17">
      <c r="C149" s="532" t="str">
        <f>IF(D96="","-",+C148+1)</f>
        <v>-</v>
      </c>
      <c r="D149" s="489">
        <f t="shared" si="14"/>
        <v>0</v>
      </c>
      <c r="E149" s="539">
        <f t="shared" si="15"/>
        <v>0</v>
      </c>
      <c r="F149" s="539">
        <f t="shared" si="8"/>
        <v>0</v>
      </c>
      <c r="G149" s="489">
        <f t="shared" si="9"/>
        <v>0</v>
      </c>
      <c r="H149" s="533">
        <f>+J97*G149+E149</f>
        <v>0</v>
      </c>
      <c r="I149" s="540">
        <f>+J98*G149+E149</f>
        <v>0</v>
      </c>
      <c r="J149" s="536">
        <f t="shared" si="10"/>
        <v>0</v>
      </c>
      <c r="K149" s="536"/>
      <c r="L149" s="541"/>
      <c r="M149" s="536">
        <f t="shared" si="11"/>
        <v>0</v>
      </c>
      <c r="N149" s="541"/>
      <c r="O149" s="536">
        <f t="shared" si="12"/>
        <v>0</v>
      </c>
      <c r="P149" s="536">
        <f t="shared" si="13"/>
        <v>0</v>
      </c>
      <c r="Q149" s="491"/>
    </row>
    <row r="150" spans="3:17">
      <c r="C150" s="532" t="str">
        <f>IF(D96="","-",+C149+1)</f>
        <v>-</v>
      </c>
      <c r="D150" s="489">
        <f t="shared" si="14"/>
        <v>0</v>
      </c>
      <c r="E150" s="539">
        <f t="shared" si="15"/>
        <v>0</v>
      </c>
      <c r="F150" s="539">
        <f t="shared" si="8"/>
        <v>0</v>
      </c>
      <c r="G150" s="489">
        <f t="shared" si="9"/>
        <v>0</v>
      </c>
      <c r="H150" s="533">
        <f>+J97*G150+E150</f>
        <v>0</v>
      </c>
      <c r="I150" s="540">
        <f>+J98*G150+E150</f>
        <v>0</v>
      </c>
      <c r="J150" s="536">
        <f t="shared" si="10"/>
        <v>0</v>
      </c>
      <c r="K150" s="536"/>
      <c r="L150" s="541"/>
      <c r="M150" s="536">
        <f t="shared" si="11"/>
        <v>0</v>
      </c>
      <c r="N150" s="541"/>
      <c r="O150" s="536">
        <f t="shared" si="12"/>
        <v>0</v>
      </c>
      <c r="P150" s="536">
        <f t="shared" si="13"/>
        <v>0</v>
      </c>
      <c r="Q150" s="491"/>
    </row>
    <row r="151" spans="3:17">
      <c r="C151" s="532" t="str">
        <f>IF(D96="","-",+C150+1)</f>
        <v>-</v>
      </c>
      <c r="D151" s="489">
        <f t="shared" si="14"/>
        <v>0</v>
      </c>
      <c r="E151" s="539">
        <f t="shared" si="15"/>
        <v>0</v>
      </c>
      <c r="F151" s="539">
        <f t="shared" si="8"/>
        <v>0</v>
      </c>
      <c r="G151" s="489">
        <f t="shared" si="9"/>
        <v>0</v>
      </c>
      <c r="H151" s="533">
        <f>+J97*G151+E151</f>
        <v>0</v>
      </c>
      <c r="I151" s="540">
        <f>+J98*G151+E151</f>
        <v>0</v>
      </c>
      <c r="J151" s="536">
        <f t="shared" si="10"/>
        <v>0</v>
      </c>
      <c r="K151" s="536"/>
      <c r="L151" s="541"/>
      <c r="M151" s="536">
        <f t="shared" si="11"/>
        <v>0</v>
      </c>
      <c r="N151" s="541"/>
      <c r="O151" s="536">
        <f t="shared" si="12"/>
        <v>0</v>
      </c>
      <c r="P151" s="536">
        <f t="shared" si="13"/>
        <v>0</v>
      </c>
      <c r="Q151" s="491"/>
    </row>
    <row r="152" spans="3:17">
      <c r="C152" s="532" t="str">
        <f>IF(D96="","-",+C151+1)</f>
        <v>-</v>
      </c>
      <c r="D152" s="489">
        <f t="shared" si="14"/>
        <v>0</v>
      </c>
      <c r="E152" s="539">
        <f t="shared" si="15"/>
        <v>0</v>
      </c>
      <c r="F152" s="539">
        <f t="shared" si="8"/>
        <v>0</v>
      </c>
      <c r="G152" s="489">
        <f t="shared" si="9"/>
        <v>0</v>
      </c>
      <c r="H152" s="533">
        <f>+J97*G152+E152</f>
        <v>0</v>
      </c>
      <c r="I152" s="540">
        <f>+J98*G152+E152</f>
        <v>0</v>
      </c>
      <c r="J152" s="536">
        <f t="shared" si="10"/>
        <v>0</v>
      </c>
      <c r="K152" s="536"/>
      <c r="L152" s="541"/>
      <c r="M152" s="536">
        <f t="shared" si="11"/>
        <v>0</v>
      </c>
      <c r="N152" s="541"/>
      <c r="O152" s="536">
        <f t="shared" si="12"/>
        <v>0</v>
      </c>
      <c r="P152" s="536">
        <f t="shared" si="13"/>
        <v>0</v>
      </c>
      <c r="Q152" s="491"/>
    </row>
    <row r="153" spans="3:17">
      <c r="C153" s="532" t="str">
        <f>IF(D96="","-",+C152+1)</f>
        <v>-</v>
      </c>
      <c r="D153" s="489">
        <f t="shared" si="14"/>
        <v>0</v>
      </c>
      <c r="E153" s="539">
        <f t="shared" si="15"/>
        <v>0</v>
      </c>
      <c r="F153" s="539">
        <f t="shared" si="8"/>
        <v>0</v>
      </c>
      <c r="G153" s="489">
        <f t="shared" si="9"/>
        <v>0</v>
      </c>
      <c r="H153" s="533">
        <f>+J97*G153+E153</f>
        <v>0</v>
      </c>
      <c r="I153" s="540">
        <f>+J98*G153+E153</f>
        <v>0</v>
      </c>
      <c r="J153" s="536">
        <f t="shared" si="10"/>
        <v>0</v>
      </c>
      <c r="K153" s="536"/>
      <c r="L153" s="541"/>
      <c r="M153" s="536">
        <f t="shared" si="11"/>
        <v>0</v>
      </c>
      <c r="N153" s="541"/>
      <c r="O153" s="536">
        <f t="shared" si="12"/>
        <v>0</v>
      </c>
      <c r="P153" s="536">
        <f t="shared" si="13"/>
        <v>0</v>
      </c>
      <c r="Q153" s="491"/>
    </row>
    <row r="154" spans="3:17">
      <c r="C154" s="532" t="str">
        <f>IF(D96="","-",+C153+1)</f>
        <v>-</v>
      </c>
      <c r="D154" s="489">
        <f t="shared" si="14"/>
        <v>0</v>
      </c>
      <c r="E154" s="539">
        <f t="shared" si="15"/>
        <v>0</v>
      </c>
      <c r="F154" s="539">
        <f t="shared" si="8"/>
        <v>0</v>
      </c>
      <c r="G154" s="489">
        <f t="shared" si="9"/>
        <v>0</v>
      </c>
      <c r="H154" s="533">
        <f>+J97*G154+E154</f>
        <v>0</v>
      </c>
      <c r="I154" s="540">
        <f>+J98*G154+E154</f>
        <v>0</v>
      </c>
      <c r="J154" s="536">
        <f t="shared" si="10"/>
        <v>0</v>
      </c>
      <c r="K154" s="536"/>
      <c r="L154" s="541"/>
      <c r="M154" s="536">
        <f t="shared" si="11"/>
        <v>0</v>
      </c>
      <c r="N154" s="541"/>
      <c r="O154" s="536">
        <f t="shared" si="12"/>
        <v>0</v>
      </c>
      <c r="P154" s="536">
        <f t="shared" si="13"/>
        <v>0</v>
      </c>
      <c r="Q154" s="491"/>
    </row>
    <row r="155" spans="3:17">
      <c r="C155" s="532" t="str">
        <f>IF(D96="","-",+C154+1)</f>
        <v>-</v>
      </c>
      <c r="D155" s="489">
        <f t="shared" si="14"/>
        <v>0</v>
      </c>
      <c r="E155" s="539">
        <f t="shared" si="15"/>
        <v>0</v>
      </c>
      <c r="F155" s="539">
        <f t="shared" si="8"/>
        <v>0</v>
      </c>
      <c r="G155" s="489">
        <f t="shared" si="9"/>
        <v>0</v>
      </c>
      <c r="H155" s="533">
        <f>+J97*G155+E155</f>
        <v>0</v>
      </c>
      <c r="I155" s="540">
        <f>+J98*G155+E155</f>
        <v>0</v>
      </c>
      <c r="J155" s="536">
        <f t="shared" si="10"/>
        <v>0</v>
      </c>
      <c r="K155" s="536"/>
      <c r="L155" s="541"/>
      <c r="M155" s="536">
        <f t="shared" si="11"/>
        <v>0</v>
      </c>
      <c r="N155" s="541"/>
      <c r="O155" s="536">
        <f t="shared" si="12"/>
        <v>0</v>
      </c>
      <c r="P155" s="536">
        <f t="shared" si="13"/>
        <v>0</v>
      </c>
      <c r="Q155" s="491"/>
    </row>
    <row r="156" spans="3:17">
      <c r="C156" s="532" t="str">
        <f>IF(D96="","-",+C155+1)</f>
        <v>-</v>
      </c>
      <c r="D156" s="489">
        <f t="shared" si="14"/>
        <v>0</v>
      </c>
      <c r="E156" s="539">
        <f t="shared" si="15"/>
        <v>0</v>
      </c>
      <c r="F156" s="539">
        <f t="shared" si="8"/>
        <v>0</v>
      </c>
      <c r="G156" s="489">
        <f t="shared" si="9"/>
        <v>0</v>
      </c>
      <c r="H156" s="533">
        <f>+J97*G156+E156</f>
        <v>0</v>
      </c>
      <c r="I156" s="540">
        <f>+J98*G156+E156</f>
        <v>0</v>
      </c>
      <c r="J156" s="536">
        <f t="shared" si="10"/>
        <v>0</v>
      </c>
      <c r="K156" s="536"/>
      <c r="L156" s="541"/>
      <c r="M156" s="536">
        <f t="shared" si="11"/>
        <v>0</v>
      </c>
      <c r="N156" s="541"/>
      <c r="O156" s="536">
        <f t="shared" si="12"/>
        <v>0</v>
      </c>
      <c r="P156" s="536">
        <f t="shared" si="13"/>
        <v>0</v>
      </c>
      <c r="Q156" s="491"/>
    </row>
    <row r="157" spans="3:17">
      <c r="C157" s="532" t="str">
        <f>IF(D96="","-",+C156+1)</f>
        <v>-</v>
      </c>
      <c r="D157" s="489">
        <f t="shared" si="14"/>
        <v>0</v>
      </c>
      <c r="E157" s="539">
        <f t="shared" si="15"/>
        <v>0</v>
      </c>
      <c r="F157" s="539">
        <f t="shared" si="8"/>
        <v>0</v>
      </c>
      <c r="G157" s="489">
        <f t="shared" si="9"/>
        <v>0</v>
      </c>
      <c r="H157" s="533">
        <f>+J97*G157+E157</f>
        <v>0</v>
      </c>
      <c r="I157" s="540">
        <f>+J98*G157+E157</f>
        <v>0</v>
      </c>
      <c r="J157" s="536">
        <f t="shared" si="10"/>
        <v>0</v>
      </c>
      <c r="K157" s="536"/>
      <c r="L157" s="541"/>
      <c r="M157" s="536">
        <f t="shared" si="11"/>
        <v>0</v>
      </c>
      <c r="N157" s="541"/>
      <c r="O157" s="536">
        <f t="shared" si="12"/>
        <v>0</v>
      </c>
      <c r="P157" s="536">
        <f t="shared" si="13"/>
        <v>0</v>
      </c>
      <c r="Q157" s="491"/>
    </row>
    <row r="158" spans="3:17">
      <c r="C158" s="532" t="str">
        <f>IF(D96="","-",+C157+1)</f>
        <v>-</v>
      </c>
      <c r="D158" s="489">
        <f t="shared" si="14"/>
        <v>0</v>
      </c>
      <c r="E158" s="539">
        <f t="shared" si="15"/>
        <v>0</v>
      </c>
      <c r="F158" s="539">
        <f t="shared" si="8"/>
        <v>0</v>
      </c>
      <c r="G158" s="489">
        <f t="shared" si="9"/>
        <v>0</v>
      </c>
      <c r="H158" s="533">
        <f>+J97*G158+E158</f>
        <v>0</v>
      </c>
      <c r="I158" s="540">
        <f>+J98*G158+E158</f>
        <v>0</v>
      </c>
      <c r="J158" s="536">
        <f t="shared" si="10"/>
        <v>0</v>
      </c>
      <c r="K158" s="536"/>
      <c r="L158" s="541"/>
      <c r="M158" s="536">
        <f t="shared" si="11"/>
        <v>0</v>
      </c>
      <c r="N158" s="541"/>
      <c r="O158" s="536">
        <f t="shared" si="12"/>
        <v>0</v>
      </c>
      <c r="P158" s="536">
        <f t="shared" si="13"/>
        <v>0</v>
      </c>
      <c r="Q158" s="491"/>
    </row>
    <row r="159" spans="3:17">
      <c r="C159" s="532" t="str">
        <f>IF(D96="","-",+C158+1)</f>
        <v>-</v>
      </c>
      <c r="D159" s="489">
        <f t="shared" si="14"/>
        <v>0</v>
      </c>
      <c r="E159" s="539">
        <f t="shared" si="15"/>
        <v>0</v>
      </c>
      <c r="F159" s="539">
        <f t="shared" si="8"/>
        <v>0</v>
      </c>
      <c r="G159" s="489">
        <f t="shared" si="9"/>
        <v>0</v>
      </c>
      <c r="H159" s="533">
        <f>+J97*G159+E159</f>
        <v>0</v>
      </c>
      <c r="I159" s="540">
        <f>+J98*G159+E159</f>
        <v>0</v>
      </c>
      <c r="J159" s="536">
        <f t="shared" si="10"/>
        <v>0</v>
      </c>
      <c r="K159" s="536"/>
      <c r="L159" s="541"/>
      <c r="M159" s="536">
        <f t="shared" si="11"/>
        <v>0</v>
      </c>
      <c r="N159" s="541"/>
      <c r="O159" s="536">
        <f t="shared" si="12"/>
        <v>0</v>
      </c>
      <c r="P159" s="536">
        <f t="shared" si="13"/>
        <v>0</v>
      </c>
      <c r="Q159" s="491"/>
    </row>
    <row r="160" spans="3:17">
      <c r="C160" s="532" t="str">
        <f>IF(D96="","-",+C159+1)</f>
        <v>-</v>
      </c>
      <c r="D160" s="489">
        <f t="shared" si="14"/>
        <v>0</v>
      </c>
      <c r="E160" s="539">
        <f t="shared" si="15"/>
        <v>0</v>
      </c>
      <c r="F160" s="539">
        <f t="shared" si="8"/>
        <v>0</v>
      </c>
      <c r="G160" s="489">
        <f t="shared" si="9"/>
        <v>0</v>
      </c>
      <c r="H160" s="533">
        <f>+J97*G160+E160</f>
        <v>0</v>
      </c>
      <c r="I160" s="540">
        <f>+J98*G160+E160</f>
        <v>0</v>
      </c>
      <c r="J160" s="536">
        <f t="shared" si="10"/>
        <v>0</v>
      </c>
      <c r="K160" s="536"/>
      <c r="L160" s="541"/>
      <c r="M160" s="536">
        <f t="shared" si="11"/>
        <v>0</v>
      </c>
      <c r="N160" s="541"/>
      <c r="O160" s="536">
        <f t="shared" si="12"/>
        <v>0</v>
      </c>
      <c r="P160" s="536">
        <f t="shared" si="13"/>
        <v>0</v>
      </c>
      <c r="Q160" s="491"/>
    </row>
    <row r="161" spans="3:17" ht="13" thickBot="1">
      <c r="C161" s="544" t="str">
        <f>IF(D96="","-",+C160+1)</f>
        <v>-</v>
      </c>
      <c r="D161" s="545">
        <f t="shared" si="14"/>
        <v>0</v>
      </c>
      <c r="E161" s="546">
        <f t="shared" si="15"/>
        <v>0</v>
      </c>
      <c r="F161" s="546">
        <f t="shared" si="8"/>
        <v>0</v>
      </c>
      <c r="G161" s="545">
        <f t="shared" si="9"/>
        <v>0</v>
      </c>
      <c r="H161" s="547">
        <f>+J97*G161+E161</f>
        <v>0</v>
      </c>
      <c r="I161" s="547">
        <f>+J98*G161+E161</f>
        <v>0</v>
      </c>
      <c r="J161" s="548">
        <f t="shared" si="10"/>
        <v>0</v>
      </c>
      <c r="K161" s="536"/>
      <c r="L161" s="549"/>
      <c r="M161" s="548">
        <f t="shared" si="11"/>
        <v>0</v>
      </c>
      <c r="N161" s="549"/>
      <c r="O161" s="548">
        <f t="shared" si="12"/>
        <v>0</v>
      </c>
      <c r="P161" s="548">
        <f t="shared" si="13"/>
        <v>0</v>
      </c>
      <c r="Q161" s="491"/>
    </row>
    <row r="162" spans="3:17">
      <c r="C162" s="489" t="s">
        <v>290</v>
      </c>
      <c r="D162" s="487"/>
      <c r="E162" s="487">
        <f>SUM(E102:E161)</f>
        <v>0</v>
      </c>
      <c r="F162" s="487"/>
      <c r="G162" s="487"/>
      <c r="H162" s="487">
        <f>SUM(H102:H161)</f>
        <v>1667840.7336976349</v>
      </c>
      <c r="I162" s="487">
        <f>SUM(I102:I161)</f>
        <v>1667840.7336976349</v>
      </c>
      <c r="J162" s="487">
        <f>SUM(J102:J161)</f>
        <v>0</v>
      </c>
      <c r="K162" s="487"/>
      <c r="L162" s="487"/>
      <c r="M162" s="487"/>
      <c r="N162" s="487"/>
      <c r="O162" s="487"/>
      <c r="Q162" s="487"/>
    </row>
    <row r="163" spans="3:17">
      <c r="D163" s="79"/>
      <c r="E163" s="4"/>
      <c r="F163" s="4"/>
      <c r="G163" s="4"/>
      <c r="H163" s="4"/>
      <c r="I163" s="472"/>
      <c r="J163" s="472"/>
      <c r="K163" s="487"/>
      <c r="L163" s="472"/>
      <c r="M163" s="472"/>
      <c r="N163" s="472"/>
      <c r="O163" s="472"/>
      <c r="Q163" s="487"/>
    </row>
    <row r="164" spans="3:17">
      <c r="C164" s="4" t="s">
        <v>601</v>
      </c>
      <c r="D164" s="79"/>
      <c r="E164" s="4"/>
      <c r="F164" s="4"/>
      <c r="G164" s="4"/>
      <c r="H164" s="4"/>
      <c r="I164" s="472"/>
      <c r="J164" s="472"/>
      <c r="K164" s="487"/>
      <c r="L164" s="472"/>
      <c r="M164" s="472"/>
      <c r="N164" s="472"/>
      <c r="O164" s="472"/>
      <c r="Q164" s="487"/>
    </row>
    <row r="165" spans="3:17">
      <c r="D165" s="79"/>
      <c r="E165" s="4"/>
      <c r="F165" s="4"/>
      <c r="G165" s="4"/>
      <c r="H165" s="4"/>
      <c r="I165" s="472"/>
      <c r="J165" s="472"/>
      <c r="K165" s="487"/>
      <c r="L165" s="472"/>
      <c r="M165" s="472"/>
      <c r="N165" s="472"/>
      <c r="O165" s="472"/>
      <c r="Q165" s="487"/>
    </row>
    <row r="166" spans="3:17">
      <c r="C166" s="4" t="s">
        <v>602</v>
      </c>
      <c r="D166" s="489"/>
      <c r="E166" s="489"/>
      <c r="F166" s="489"/>
      <c r="G166" s="489"/>
      <c r="H166" s="487"/>
      <c r="I166" s="487"/>
      <c r="J166" s="491"/>
      <c r="K166" s="491"/>
      <c r="L166" s="491"/>
      <c r="M166" s="491"/>
      <c r="N166" s="491"/>
      <c r="O166" s="491"/>
      <c r="Q166" s="491"/>
    </row>
    <row r="167" spans="3:17">
      <c r="C167" s="4" t="s">
        <v>478</v>
      </c>
      <c r="D167" s="489"/>
      <c r="E167" s="489"/>
      <c r="F167" s="489"/>
      <c r="G167" s="489"/>
      <c r="H167" s="487"/>
      <c r="I167" s="487"/>
      <c r="J167" s="491"/>
      <c r="K167" s="491"/>
      <c r="L167" s="491"/>
      <c r="M167" s="491"/>
      <c r="N167" s="491"/>
      <c r="O167" s="491"/>
      <c r="Q167" s="491"/>
    </row>
    <row r="168" spans="3:17">
      <c r="C168" s="4" t="s">
        <v>291</v>
      </c>
      <c r="D168" s="489"/>
      <c r="E168" s="489"/>
      <c r="F168" s="489"/>
      <c r="G168" s="489"/>
      <c r="H168" s="487"/>
      <c r="I168" s="487"/>
      <c r="J168" s="491"/>
      <c r="K168" s="491"/>
      <c r="L168" s="491"/>
      <c r="M168" s="491"/>
      <c r="N168" s="491"/>
      <c r="O168" s="491"/>
      <c r="Q168" s="491"/>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A47"/>
  <sheetViews>
    <sheetView view="pageBreakPreview" zoomScaleNormal="100" zoomScaleSheetLayoutView="100" workbookViewId="0">
      <selection activeCell="A3" sqref="A3"/>
    </sheetView>
  </sheetViews>
  <sheetFormatPr defaultColWidth="9.1796875" defaultRowHeight="13"/>
  <cols>
    <col min="1" max="1" width="9.1796875" style="17"/>
    <col min="2" max="2" width="37.54296875" style="19" customWidth="1"/>
    <col min="3" max="3" width="31.54296875" style="6" customWidth="1"/>
    <col min="4" max="4" width="14.81640625" style="6" customWidth="1"/>
    <col min="5" max="5" width="18" style="6" customWidth="1"/>
    <col min="6" max="7" width="11.1796875" style="6" bestFit="1" customWidth="1"/>
    <col min="8" max="8" width="11.1796875" style="215" bestFit="1" customWidth="1"/>
    <col min="9" max="16384" width="9.1796875" style="6"/>
  </cols>
  <sheetData>
    <row r="1" spans="1:27" ht="15.5">
      <c r="A1" s="694" t="s">
        <v>116</v>
      </c>
    </row>
    <row r="2" spans="1:27" ht="15.5">
      <c r="A2" s="694" t="s">
        <v>116</v>
      </c>
    </row>
    <row r="3" spans="1:27" ht="15.5">
      <c r="B3" s="1176" t="s">
        <v>389</v>
      </c>
      <c r="C3" s="1176"/>
      <c r="D3" s="1176"/>
      <c r="E3" s="1176"/>
      <c r="F3" s="1176"/>
      <c r="G3" s="30"/>
      <c r="H3" s="211"/>
      <c r="I3" s="30"/>
      <c r="J3" s="30"/>
      <c r="K3" s="30"/>
      <c r="L3" s="30"/>
      <c r="M3" s="30"/>
      <c r="N3" s="30"/>
      <c r="O3" s="30"/>
      <c r="P3" s="30"/>
    </row>
    <row r="4" spans="1:27" ht="15.5">
      <c r="B4" s="1177" t="str">
        <f>"Cost of Service Formula Rate Using "&amp;TCOS!L4&amp;" FF1 Balances"</f>
        <v>Cost of Service Formula Rate Using 2024 FF1 Balances</v>
      </c>
      <c r="C4" s="1177"/>
      <c r="D4" s="1177"/>
      <c r="E4" s="1177"/>
      <c r="F4" s="1177"/>
      <c r="G4" s="75"/>
      <c r="H4" s="212"/>
      <c r="I4" s="75"/>
      <c r="J4" s="75"/>
      <c r="K4" s="75"/>
      <c r="L4" s="75"/>
      <c r="M4" s="75"/>
      <c r="N4" s="75"/>
      <c r="O4" s="75"/>
      <c r="P4" s="75"/>
    </row>
    <row r="5" spans="1:27" ht="18">
      <c r="B5" s="1176" t="s">
        <v>549</v>
      </c>
      <c r="C5" s="1176"/>
      <c r="D5" s="1176"/>
      <c r="E5" s="1176"/>
      <c r="F5" s="1176"/>
      <c r="G5" s="124"/>
      <c r="H5" s="213"/>
      <c r="I5" s="124"/>
      <c r="J5" s="124"/>
      <c r="K5" s="124"/>
    </row>
    <row r="6" spans="1:27" ht="18">
      <c r="B6" s="1188" t="str">
        <f>+TCOS!F9</f>
        <v>KENTUCKY POWER COMPANY</v>
      </c>
      <c r="C6" s="1176"/>
      <c r="D6" s="1176"/>
      <c r="E6" s="1176"/>
      <c r="F6" s="1176"/>
      <c r="G6" s="131"/>
      <c r="H6" s="214"/>
      <c r="I6" s="131"/>
      <c r="J6" s="131"/>
      <c r="K6" s="131"/>
    </row>
    <row r="8" spans="1:27" ht="18.75" customHeight="1">
      <c r="B8" s="13"/>
      <c r="C8" s="115"/>
      <c r="D8" s="116"/>
    </row>
    <row r="10" spans="1:27" ht="18">
      <c r="B10" s="5"/>
      <c r="C10" s="5"/>
      <c r="D10" s="5"/>
      <c r="E10" s="5"/>
      <c r="F10" s="5"/>
      <c r="R10" s="123"/>
      <c r="S10" s="123"/>
      <c r="T10" s="123"/>
      <c r="U10" s="123"/>
      <c r="V10" s="123"/>
      <c r="W10" s="123"/>
      <c r="X10" s="123"/>
      <c r="Y10" s="123"/>
      <c r="Z10" s="123"/>
      <c r="AA10" s="123"/>
    </row>
    <row r="11" spans="1:27">
      <c r="A11" s="680"/>
      <c r="B11" s="114"/>
      <c r="C11" s="116"/>
    </row>
    <row r="12" spans="1:27">
      <c r="A12" s="195"/>
      <c r="B12" s="9"/>
      <c r="C12" s="9"/>
      <c r="D12" s="9"/>
      <c r="E12" s="9"/>
      <c r="F12" s="9"/>
      <c r="G12" s="8"/>
    </row>
    <row r="13" spans="1:27">
      <c r="A13" s="196"/>
      <c r="B13" s="9"/>
      <c r="C13" s="9"/>
      <c r="D13" s="9"/>
      <c r="E13" s="9"/>
      <c r="F13" s="9"/>
      <c r="G13" s="8"/>
    </row>
    <row r="14" spans="1:27">
      <c r="A14" s="222"/>
      <c r="B14" s="9"/>
      <c r="C14" s="9"/>
      <c r="D14" s="9"/>
      <c r="E14" s="9"/>
      <c r="F14" s="9"/>
      <c r="H14" s="6"/>
    </row>
    <row r="15" spans="1:27">
      <c r="A15" s="222"/>
      <c r="B15" s="9"/>
      <c r="C15" s="9"/>
      <c r="D15" s="9"/>
      <c r="E15" s="9"/>
      <c r="F15" s="9"/>
      <c r="H15" s="6"/>
    </row>
    <row r="16" spans="1:27">
      <c r="A16" s="222"/>
      <c r="B16" s="9"/>
      <c r="C16" s="9"/>
      <c r="D16" s="9"/>
      <c r="E16" s="9"/>
      <c r="F16" s="9"/>
      <c r="H16" s="6"/>
    </row>
    <row r="17" spans="1:8" ht="12.75" customHeight="1">
      <c r="A17" s="222"/>
      <c r="B17" s="9"/>
      <c r="C17" s="9"/>
      <c r="D17" s="9"/>
      <c r="E17" s="9"/>
      <c r="F17" s="9"/>
      <c r="H17" s="6"/>
    </row>
    <row r="18" spans="1:8">
      <c r="A18" s="222"/>
      <c r="B18" s="9"/>
      <c r="C18" s="9"/>
      <c r="D18" s="9"/>
      <c r="E18" s="9"/>
      <c r="F18" s="9"/>
      <c r="H18" s="6"/>
    </row>
    <row r="19" spans="1:8">
      <c r="A19" s="222"/>
      <c r="B19" s="9"/>
      <c r="C19" s="9"/>
      <c r="D19" s="9"/>
      <c r="E19" s="9"/>
      <c r="F19" s="9"/>
      <c r="H19" s="6"/>
    </row>
    <row r="20" spans="1:8">
      <c r="A20" s="222"/>
      <c r="B20" s="9"/>
      <c r="C20" s="9"/>
      <c r="D20" s="9"/>
      <c r="E20" s="9"/>
      <c r="F20" s="9"/>
      <c r="H20" s="6"/>
    </row>
    <row r="21" spans="1:8">
      <c r="A21" s="222"/>
      <c r="B21" s="9"/>
      <c r="C21" s="9"/>
      <c r="D21" s="9"/>
      <c r="E21" s="9"/>
      <c r="F21" s="9"/>
      <c r="H21" s="6"/>
    </row>
    <row r="22" spans="1:8">
      <c r="A22" s="222"/>
      <c r="B22" s="9"/>
      <c r="C22" s="9"/>
      <c r="D22" s="9"/>
      <c r="E22" s="9"/>
      <c r="F22" s="9"/>
      <c r="H22" s="6"/>
    </row>
    <row r="23" spans="1:8" ht="12.75" customHeight="1">
      <c r="A23" s="222"/>
      <c r="B23" s="9"/>
      <c r="C23" s="9"/>
      <c r="D23" s="9"/>
      <c r="E23" s="9"/>
      <c r="F23" s="9"/>
      <c r="H23" s="6"/>
    </row>
    <row r="24" spans="1:8" ht="12.75" customHeight="1">
      <c r="A24" s="222"/>
      <c r="B24" s="9"/>
      <c r="C24" s="9"/>
      <c r="D24" s="9"/>
      <c r="E24" s="9"/>
      <c r="F24" s="9"/>
      <c r="H24" s="6"/>
    </row>
    <row r="25" spans="1:8" ht="12.75" customHeight="1">
      <c r="A25" s="222"/>
      <c r="B25" s="9"/>
      <c r="C25" s="9"/>
      <c r="D25" s="9"/>
      <c r="E25" s="9"/>
      <c r="F25" s="9"/>
      <c r="H25" s="6"/>
    </row>
    <row r="26" spans="1:8" ht="12.75" customHeight="1">
      <c r="A26" s="222"/>
      <c r="B26" s="9"/>
      <c r="C26" s="9"/>
      <c r="D26" s="9"/>
      <c r="E26" s="9"/>
      <c r="F26" s="9"/>
      <c r="H26" s="6"/>
    </row>
    <row r="27" spans="1:8" ht="12.75" customHeight="1">
      <c r="A27" s="222"/>
      <c r="B27" s="9"/>
      <c r="C27" s="9"/>
      <c r="D27" s="9"/>
      <c r="E27" s="9"/>
      <c r="F27" s="9"/>
      <c r="H27" s="6"/>
    </row>
    <row r="28" spans="1:8" ht="12.75" customHeight="1">
      <c r="A28" s="222"/>
      <c r="B28" s="9"/>
      <c r="C28" s="9"/>
      <c r="D28" s="9"/>
      <c r="E28" s="9"/>
      <c r="F28" s="9"/>
      <c r="H28" s="6"/>
    </row>
    <row r="29" spans="1:8" ht="12.75" customHeight="1">
      <c r="A29" s="222"/>
      <c r="B29" s="9"/>
      <c r="C29" s="9"/>
      <c r="D29" s="9"/>
      <c r="E29" s="9"/>
      <c r="F29" s="9"/>
      <c r="H29" s="6"/>
    </row>
    <row r="30" spans="1:8" ht="12.75" customHeight="1">
      <c r="A30" s="222"/>
      <c r="B30" s="9"/>
      <c r="C30" s="9"/>
      <c r="D30" s="9"/>
      <c r="E30" s="9"/>
      <c r="F30" s="9"/>
      <c r="H30" s="6"/>
    </row>
    <row r="31" spans="1:8" ht="12.75" customHeight="1">
      <c r="A31" s="222"/>
      <c r="B31" s="9"/>
      <c r="C31" s="9"/>
      <c r="D31" s="9"/>
      <c r="E31" s="9"/>
      <c r="F31" s="9"/>
      <c r="H31" s="6"/>
    </row>
    <row r="32" spans="1:8" ht="12.75" customHeight="1">
      <c r="A32" s="222"/>
      <c r="B32" s="9"/>
      <c r="C32" s="9"/>
      <c r="D32" s="9"/>
      <c r="E32" s="9"/>
      <c r="F32" s="9"/>
      <c r="H32" s="6"/>
    </row>
    <row r="33" spans="1:8" ht="12.75" customHeight="1">
      <c r="A33" s="222"/>
      <c r="B33" s="9"/>
      <c r="C33" s="9"/>
      <c r="D33" s="9"/>
      <c r="E33" s="9"/>
      <c r="F33" s="9"/>
      <c r="H33" s="6"/>
    </row>
    <row r="34" spans="1:8" ht="12.75" customHeight="1">
      <c r="A34" s="222"/>
      <c r="B34" s="9"/>
      <c r="C34" s="9"/>
      <c r="D34" s="9"/>
      <c r="E34" s="9"/>
      <c r="F34" s="9"/>
      <c r="H34" s="6"/>
    </row>
    <row r="35" spans="1:8" ht="12.75" customHeight="1">
      <c r="A35" s="222"/>
      <c r="B35" s="9"/>
      <c r="C35" s="9"/>
      <c r="D35" s="9"/>
      <c r="E35" s="9"/>
      <c r="F35" s="9"/>
      <c r="H35" s="6"/>
    </row>
    <row r="36" spans="1:8" ht="12.75" customHeight="1">
      <c r="A36" s="222"/>
      <c r="B36" s="9"/>
      <c r="C36" s="9"/>
      <c r="D36" s="9"/>
      <c r="E36" s="9"/>
      <c r="F36" s="9"/>
      <c r="H36" s="6"/>
    </row>
    <row r="37" spans="1:8" ht="12.75" customHeight="1">
      <c r="A37" s="222"/>
      <c r="B37" s="9"/>
      <c r="C37" s="9"/>
      <c r="D37" s="9"/>
      <c r="E37" s="9"/>
      <c r="F37" s="9"/>
      <c r="H37" s="6"/>
    </row>
    <row r="38" spans="1:8" ht="12.75" customHeight="1">
      <c r="A38" s="222"/>
      <c r="B38" s="9"/>
      <c r="C38" s="9"/>
      <c r="D38" s="9"/>
      <c r="E38" s="9"/>
      <c r="F38" s="9"/>
      <c r="H38" s="6"/>
    </row>
    <row r="39" spans="1:8" ht="12.75" customHeight="1">
      <c r="A39" s="222"/>
      <c r="B39" s="9"/>
      <c r="C39" s="9"/>
      <c r="D39" s="9"/>
      <c r="E39" s="9"/>
      <c r="F39" s="9"/>
      <c r="H39" s="6"/>
    </row>
    <row r="40" spans="1:8" ht="12.75" customHeight="1">
      <c r="A40" s="222"/>
      <c r="B40" s="9"/>
      <c r="C40" s="9"/>
      <c r="D40" s="9"/>
      <c r="E40" s="9"/>
      <c r="F40" s="9"/>
      <c r="H40" s="6"/>
    </row>
    <row r="41" spans="1:8" ht="12.75" customHeight="1">
      <c r="A41" s="222"/>
      <c r="B41" s="9"/>
      <c r="C41" s="9"/>
      <c r="D41" s="9"/>
      <c r="E41" s="9"/>
      <c r="F41" s="9"/>
      <c r="H41" s="6"/>
    </row>
    <row r="42" spans="1:8" ht="12.75" customHeight="1">
      <c r="A42" s="222"/>
      <c r="B42" s="9"/>
      <c r="C42" s="9"/>
      <c r="D42" s="9"/>
      <c r="E42" s="9"/>
      <c r="F42" s="9"/>
      <c r="H42" s="6"/>
    </row>
    <row r="43" spans="1:8" ht="12.65" customHeight="1">
      <c r="A43" s="222"/>
      <c r="B43" s="9"/>
      <c r="C43" s="9"/>
      <c r="D43" s="9"/>
      <c r="E43" s="9"/>
      <c r="F43" s="9"/>
      <c r="H43" s="6"/>
    </row>
    <row r="44" spans="1:8" ht="12.75" customHeight="1">
      <c r="A44" s="222"/>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1"/>
  <sheetViews>
    <sheetView topLeftCell="A13" zoomScaleNormal="100" zoomScaleSheetLayoutView="70" zoomScalePageLayoutView="50" workbookViewId="0">
      <selection activeCell="I31" sqref="I31"/>
    </sheetView>
  </sheetViews>
  <sheetFormatPr defaultColWidth="11.453125" defaultRowHeight="12.5"/>
  <cols>
    <col min="1" max="1" width="10.26953125" style="698" customWidth="1"/>
    <col min="2" max="2" width="64.54296875" style="4" customWidth="1"/>
    <col min="3" max="3" width="26.7265625" style="4" bestFit="1" customWidth="1"/>
    <col min="4" max="11" width="20.26953125" style="4" customWidth="1"/>
    <col min="12" max="12" width="20" style="4" customWidth="1"/>
    <col min="13" max="14" width="15.1796875" style="4" customWidth="1"/>
    <col min="15" max="16384" width="11.453125" style="4"/>
  </cols>
  <sheetData>
    <row r="1" spans="1:12" ht="15.5">
      <c r="A1" s="1176" t="s">
        <v>389</v>
      </c>
      <c r="B1" s="1176"/>
      <c r="C1" s="1176"/>
      <c r="D1" s="1176"/>
      <c r="E1" s="1176"/>
      <c r="F1" s="1176"/>
      <c r="G1" s="1176"/>
      <c r="H1" s="79"/>
      <c r="I1" s="79"/>
    </row>
    <row r="2" spans="1:12" ht="15.5">
      <c r="A2" s="1177" t="str">
        <f>"Cost of Service Formula Rate Using Actual/Projected FF1 Balances"</f>
        <v>Cost of Service Formula Rate Using Actual/Projected FF1 Balances</v>
      </c>
      <c r="B2" s="1177"/>
      <c r="C2" s="1177"/>
      <c r="D2" s="1177"/>
      <c r="E2" s="1177"/>
      <c r="F2" s="1177"/>
      <c r="G2" s="1177"/>
      <c r="H2" s="79"/>
      <c r="I2" s="79"/>
      <c r="J2" s="79"/>
      <c r="L2" s="561"/>
    </row>
    <row r="3" spans="1:12" ht="15.5">
      <c r="A3" s="1177" t="s">
        <v>663</v>
      </c>
      <c r="B3" s="1177"/>
      <c r="C3" s="1177"/>
      <c r="D3" s="1177"/>
      <c r="E3" s="1177"/>
      <c r="F3" s="1177"/>
      <c r="G3" s="1177"/>
      <c r="H3" s="79"/>
      <c r="I3" s="79"/>
      <c r="J3" s="79"/>
    </row>
    <row r="4" spans="1:12" ht="15.5">
      <c r="A4" s="1184" t="str">
        <f>TCOS!F9</f>
        <v>KENTUCKY POWER COMPANY</v>
      </c>
      <c r="B4" s="1184"/>
      <c r="C4" s="1184"/>
      <c r="D4" s="1184"/>
      <c r="E4" s="1184"/>
      <c r="F4" s="1184"/>
      <c r="G4" s="1184"/>
      <c r="H4" s="79"/>
      <c r="I4" s="79"/>
      <c r="J4" s="79"/>
    </row>
    <row r="5" spans="1:12" ht="13">
      <c r="A5" s="79"/>
      <c r="B5" s="737"/>
      <c r="C5" s="737"/>
      <c r="D5" s="737"/>
      <c r="E5" s="739"/>
      <c r="F5" s="713"/>
      <c r="H5" s="713"/>
      <c r="J5" s="713"/>
      <c r="L5" s="713"/>
    </row>
    <row r="6" spans="1:12" ht="12.75" customHeight="1">
      <c r="A6" s="79"/>
      <c r="B6" s="737"/>
      <c r="C6" s="1178" t="s">
        <v>662</v>
      </c>
      <c r="D6" s="1179"/>
      <c r="E6" s="1179"/>
      <c r="F6" s="1179"/>
      <c r="G6" s="1179"/>
      <c r="H6" s="1179"/>
      <c r="I6" s="1179"/>
      <c r="J6" s="1179"/>
      <c r="K6" s="1180"/>
    </row>
    <row r="7" spans="1:12" s="508" customFormat="1" ht="25.5">
      <c r="A7" s="736" t="s">
        <v>652</v>
      </c>
      <c r="B7" s="735" t="s">
        <v>651</v>
      </c>
      <c r="C7" s="717" t="s">
        <v>231</v>
      </c>
      <c r="D7" s="717" t="s">
        <v>660</v>
      </c>
      <c r="E7" s="717" t="s">
        <v>117</v>
      </c>
      <c r="F7" s="717" t="s">
        <v>659</v>
      </c>
      <c r="G7" s="717" t="s">
        <v>440</v>
      </c>
      <c r="H7" s="717" t="s">
        <v>658</v>
      </c>
      <c r="I7" s="717" t="s">
        <v>336</v>
      </c>
      <c r="J7" s="717" t="s">
        <v>657</v>
      </c>
      <c r="K7" s="716" t="s">
        <v>656</v>
      </c>
      <c r="L7" s="4"/>
    </row>
    <row r="8" spans="1:12" s="709" customFormat="1" ht="13">
      <c r="A8" s="707"/>
      <c r="B8" s="714" t="s">
        <v>646</v>
      </c>
      <c r="C8" s="713" t="s">
        <v>645</v>
      </c>
      <c r="D8" s="713" t="s">
        <v>644</v>
      </c>
      <c r="E8" s="713" t="s">
        <v>643</v>
      </c>
      <c r="F8" s="713" t="s">
        <v>642</v>
      </c>
      <c r="G8" s="713" t="s">
        <v>664</v>
      </c>
      <c r="H8" s="713" t="s">
        <v>665</v>
      </c>
      <c r="I8" s="713" t="s">
        <v>655</v>
      </c>
      <c r="J8" s="713" t="s">
        <v>654</v>
      </c>
      <c r="K8" s="734" t="s">
        <v>653</v>
      </c>
      <c r="L8" s="4"/>
    </row>
    <row r="9" spans="1:12" s="709" customFormat="1" ht="44.25" customHeight="1">
      <c r="A9" s="707"/>
      <c r="B9" s="714" t="s">
        <v>641</v>
      </c>
      <c r="C9" s="733" t="s">
        <v>444</v>
      </c>
      <c r="D9" s="733" t="s">
        <v>449</v>
      </c>
      <c r="E9" s="733" t="s">
        <v>445</v>
      </c>
      <c r="F9" s="733" t="s">
        <v>666</v>
      </c>
      <c r="G9" s="733" t="s">
        <v>446</v>
      </c>
      <c r="H9" s="733" t="s">
        <v>447</v>
      </c>
      <c r="I9" s="733" t="s">
        <v>667</v>
      </c>
      <c r="J9" s="733" t="s">
        <v>668</v>
      </c>
      <c r="K9" s="732" t="s">
        <v>448</v>
      </c>
      <c r="L9" s="4"/>
    </row>
    <row r="10" spans="1:12">
      <c r="A10" s="707">
        <v>1</v>
      </c>
      <c r="B10" s="731" t="s">
        <v>639</v>
      </c>
      <c r="C10" s="971">
        <v>1243809638.9833093</v>
      </c>
      <c r="D10" s="971">
        <v>11184342.356999099</v>
      </c>
      <c r="E10" s="971">
        <v>848520080.59037805</v>
      </c>
      <c r="F10" s="971"/>
      <c r="G10" s="971">
        <v>1129159849.4470999</v>
      </c>
      <c r="H10" s="971"/>
      <c r="I10" s="971">
        <v>113505150.325902</v>
      </c>
      <c r="J10" s="971">
        <v>158819.18</v>
      </c>
      <c r="K10" s="969">
        <v>60931266.010415502</v>
      </c>
    </row>
    <row r="11" spans="1:12">
      <c r="A11" s="707">
        <f>+A10+1</f>
        <v>2</v>
      </c>
      <c r="B11" s="731" t="s">
        <v>187</v>
      </c>
      <c r="C11" s="971">
        <v>1243750714.7266037</v>
      </c>
      <c r="D11" s="971">
        <v>11173976.240473799</v>
      </c>
      <c r="E11" s="971">
        <v>850376308.50051403</v>
      </c>
      <c r="F11" s="971"/>
      <c r="G11" s="971">
        <v>1134179028.5510199</v>
      </c>
      <c r="H11" s="971"/>
      <c r="I11" s="971">
        <v>113545050.74687099</v>
      </c>
      <c r="J11" s="971">
        <v>158819.18</v>
      </c>
      <c r="K11" s="970">
        <v>60977567.771132</v>
      </c>
    </row>
    <row r="12" spans="1:12">
      <c r="A12" s="707">
        <f t="shared" ref="A12:A23" si="0">+A11+1</f>
        <v>3</v>
      </c>
      <c r="B12" s="730" t="s">
        <v>561</v>
      </c>
      <c r="C12" s="971">
        <v>1243577542.6608758</v>
      </c>
      <c r="D12" s="971">
        <v>11163626.489495801</v>
      </c>
      <c r="E12" s="971">
        <v>851830861.02856708</v>
      </c>
      <c r="F12" s="971"/>
      <c r="G12" s="971">
        <v>1138868304.9133201</v>
      </c>
      <c r="H12" s="971"/>
      <c r="I12" s="971">
        <v>113547247.22628</v>
      </c>
      <c r="J12" s="971">
        <v>158819.18</v>
      </c>
      <c r="K12" s="970">
        <v>61130972.487321101</v>
      </c>
    </row>
    <row r="13" spans="1:12">
      <c r="A13" s="707">
        <f t="shared" si="0"/>
        <v>4</v>
      </c>
      <c r="B13" s="730" t="s">
        <v>638</v>
      </c>
      <c r="C13" s="971">
        <v>1243309473.1130381</v>
      </c>
      <c r="D13" s="971">
        <v>11153293.0782279</v>
      </c>
      <c r="E13" s="971">
        <v>852893881.79799509</v>
      </c>
      <c r="F13" s="971"/>
      <c r="G13" s="971">
        <v>1143520087.9968801</v>
      </c>
      <c r="H13" s="971"/>
      <c r="I13" s="971">
        <v>113536572.344578</v>
      </c>
      <c r="J13" s="971">
        <v>158819.18</v>
      </c>
      <c r="K13" s="970">
        <v>59205439.876216605</v>
      </c>
    </row>
    <row r="14" spans="1:12">
      <c r="A14" s="707">
        <f t="shared" si="0"/>
        <v>5</v>
      </c>
      <c r="B14" s="730" t="s">
        <v>189</v>
      </c>
      <c r="C14" s="971">
        <v>1242950969.4050739</v>
      </c>
      <c r="D14" s="971">
        <v>11142975.980873801</v>
      </c>
      <c r="E14" s="971">
        <v>853982211.62737405</v>
      </c>
      <c r="F14" s="971"/>
      <c r="G14" s="971">
        <v>1148264618.18328</v>
      </c>
      <c r="H14" s="971"/>
      <c r="I14" s="971">
        <v>113525936.33049801</v>
      </c>
      <c r="J14" s="971">
        <v>158819.18</v>
      </c>
      <c r="K14" s="970">
        <v>59620347.621189296</v>
      </c>
    </row>
    <row r="15" spans="1:12">
      <c r="A15" s="707">
        <f t="shared" si="0"/>
        <v>6</v>
      </c>
      <c r="B15" s="730" t="s">
        <v>190</v>
      </c>
      <c r="C15" s="971">
        <v>1242740406.629648</v>
      </c>
      <c r="D15" s="971">
        <v>11132675.1716778</v>
      </c>
      <c r="E15" s="971">
        <v>875207155.05537307</v>
      </c>
      <c r="F15" s="971"/>
      <c r="G15" s="971">
        <v>1153900356.1374898</v>
      </c>
      <c r="H15" s="971"/>
      <c r="I15" s="971">
        <v>113514590.84611499</v>
      </c>
      <c r="J15" s="971">
        <v>158819.18</v>
      </c>
      <c r="K15" s="970">
        <v>60043124.746548302</v>
      </c>
    </row>
    <row r="16" spans="1:12">
      <c r="A16" s="707">
        <f t="shared" si="0"/>
        <v>7</v>
      </c>
      <c r="B16" s="730" t="s">
        <v>384</v>
      </c>
      <c r="C16" s="971">
        <v>1242745451.177285</v>
      </c>
      <c r="D16" s="971">
        <v>11122390.6249249</v>
      </c>
      <c r="E16" s="971">
        <v>884287196.10381103</v>
      </c>
      <c r="F16" s="971"/>
      <c r="G16" s="971">
        <v>1158754848.7241302</v>
      </c>
      <c r="H16" s="971"/>
      <c r="I16" s="971">
        <v>113503174.81502101</v>
      </c>
      <c r="J16" s="971">
        <v>158819.18</v>
      </c>
      <c r="K16" s="970">
        <v>58962057.000887901</v>
      </c>
    </row>
    <row r="17" spans="1:12">
      <c r="A17" s="707">
        <f t="shared" si="0"/>
        <v>8</v>
      </c>
      <c r="B17" s="730" t="s">
        <v>191</v>
      </c>
      <c r="C17" s="971">
        <v>1242863417.1004808</v>
      </c>
      <c r="D17" s="971">
        <v>11112122.3149407</v>
      </c>
      <c r="E17" s="971">
        <v>889414895.46935701</v>
      </c>
      <c r="F17" s="971"/>
      <c r="G17" s="971">
        <v>1163801556.01864</v>
      </c>
      <c r="H17" s="971"/>
      <c r="I17" s="971">
        <v>113491470.139194</v>
      </c>
      <c r="J17" s="971">
        <v>158819.18</v>
      </c>
      <c r="K17" s="970">
        <v>59688314.876586005</v>
      </c>
    </row>
    <row r="18" spans="1:12">
      <c r="A18" s="707">
        <f t="shared" si="0"/>
        <v>9</v>
      </c>
      <c r="B18" s="730" t="s">
        <v>637</v>
      </c>
      <c r="C18" s="971">
        <v>1242902994.7552214</v>
      </c>
      <c r="D18" s="971">
        <v>11101870.216091299</v>
      </c>
      <c r="E18" s="971">
        <v>892164661.23135006</v>
      </c>
      <c r="F18" s="971"/>
      <c r="G18" s="971">
        <v>1168980355.8922</v>
      </c>
      <c r="H18" s="971"/>
      <c r="I18" s="971">
        <v>113479935.919148</v>
      </c>
      <c r="J18" s="971">
        <v>158819.18</v>
      </c>
      <c r="K18" s="970">
        <v>60424426.816111699</v>
      </c>
    </row>
    <row r="19" spans="1:12">
      <c r="A19" s="707">
        <f t="shared" si="0"/>
        <v>10</v>
      </c>
      <c r="B19" s="730" t="s">
        <v>194</v>
      </c>
      <c r="C19" s="971">
        <v>1242900936.7800336</v>
      </c>
      <c r="D19" s="971">
        <v>11091634.302783499</v>
      </c>
      <c r="E19" s="971">
        <v>896254153.94062006</v>
      </c>
      <c r="F19" s="971"/>
      <c r="G19" s="971">
        <v>1173949457.3562598</v>
      </c>
      <c r="H19" s="971"/>
      <c r="I19" s="971">
        <v>113468479.26665999</v>
      </c>
      <c r="J19" s="971">
        <v>158819.18</v>
      </c>
      <c r="K19" s="970">
        <v>59655024.568898901</v>
      </c>
    </row>
    <row r="20" spans="1:12">
      <c r="A20" s="707">
        <f t="shared" si="0"/>
        <v>11</v>
      </c>
      <c r="B20" s="730" t="s">
        <v>562</v>
      </c>
      <c r="C20" s="971">
        <v>1242937089.2221539</v>
      </c>
      <c r="D20" s="971">
        <v>11081414.549464099</v>
      </c>
      <c r="E20" s="971">
        <v>908140015.62703204</v>
      </c>
      <c r="F20" s="971"/>
      <c r="G20" s="971">
        <v>1179029980.1997099</v>
      </c>
      <c r="H20" s="971"/>
      <c r="I20" s="971">
        <v>113457250.005583</v>
      </c>
      <c r="J20" s="971">
        <v>158819.18</v>
      </c>
      <c r="K20" s="970">
        <v>60382012.123900101</v>
      </c>
    </row>
    <row r="21" spans="1:12">
      <c r="A21" s="707">
        <f t="shared" si="0"/>
        <v>12</v>
      </c>
      <c r="B21" s="730" t="s">
        <v>563</v>
      </c>
      <c r="C21" s="971">
        <v>1242990478.0542104</v>
      </c>
      <c r="D21" s="971">
        <v>11071210.930620501</v>
      </c>
      <c r="E21" s="971">
        <v>932408534.69096005</v>
      </c>
      <c r="F21" s="971"/>
      <c r="G21" s="971">
        <v>1185592316.2584901</v>
      </c>
      <c r="H21" s="971"/>
      <c r="I21" s="971">
        <v>113445902.111187</v>
      </c>
      <c r="J21" s="971">
        <v>158819.18</v>
      </c>
      <c r="K21" s="970">
        <v>61313465.931639299</v>
      </c>
    </row>
    <row r="22" spans="1:12">
      <c r="A22" s="706">
        <f t="shared" si="0"/>
        <v>13</v>
      </c>
      <c r="B22" s="729" t="s">
        <v>636</v>
      </c>
      <c r="C22" s="971">
        <v>1250318021.9873104</v>
      </c>
      <c r="D22" s="971">
        <v>11061023.4207804</v>
      </c>
      <c r="E22" s="971">
        <v>972826248.39514709</v>
      </c>
      <c r="F22" s="971"/>
      <c r="G22" s="971">
        <v>1188668637.3592</v>
      </c>
      <c r="H22" s="971"/>
      <c r="I22" s="971">
        <v>113435403.323698</v>
      </c>
      <c r="J22" s="971">
        <v>158819.18</v>
      </c>
      <c r="K22" s="970">
        <v>58819911.782335699</v>
      </c>
    </row>
    <row r="23" spans="1:12" ht="13" thickBot="1">
      <c r="A23" s="917">
        <f t="shared" si="0"/>
        <v>14</v>
      </c>
      <c r="B23" s="918" t="s">
        <v>869</v>
      </c>
      <c r="C23" s="726">
        <f t="shared" ref="C23:K23" si="1">(SUM(C10:C22)/13)</f>
        <v>1243676702.6611726</v>
      </c>
      <c r="D23" s="726">
        <f t="shared" si="1"/>
        <v>11122504.282873355</v>
      </c>
      <c r="E23" s="726">
        <f t="shared" si="1"/>
        <v>885254323.38911378</v>
      </c>
      <c r="F23" s="726">
        <f t="shared" si="1"/>
        <v>0</v>
      </c>
      <c r="G23" s="726">
        <f t="shared" si="1"/>
        <v>1158974569.0029016</v>
      </c>
      <c r="H23" s="726">
        <f t="shared" si="1"/>
        <v>0</v>
      </c>
      <c r="I23" s="726">
        <f t="shared" si="1"/>
        <v>113496627.95390271</v>
      </c>
      <c r="J23" s="726">
        <f t="shared" si="1"/>
        <v>158819.17999999996</v>
      </c>
      <c r="K23" s="726">
        <f t="shared" si="1"/>
        <v>60088763.97024481</v>
      </c>
      <c r="L23" s="980"/>
    </row>
    <row r="24" spans="1:12" ht="13" thickTop="1">
      <c r="A24" s="79"/>
      <c r="B24" s="700"/>
      <c r="C24" s="725"/>
      <c r="D24" s="699"/>
      <c r="E24" s="699"/>
      <c r="F24" s="699"/>
      <c r="G24" s="725"/>
      <c r="H24" s="725"/>
      <c r="I24" s="725"/>
      <c r="J24" s="738"/>
      <c r="K24" s="738"/>
    </row>
    <row r="25" spans="1:12" ht="12.75" customHeight="1">
      <c r="A25" s="79"/>
      <c r="B25" s="737"/>
      <c r="C25" s="1181" t="s">
        <v>661</v>
      </c>
      <c r="D25" s="1182"/>
      <c r="E25" s="1182"/>
      <c r="F25" s="1182"/>
      <c r="G25" s="1182"/>
      <c r="H25" s="1182"/>
      <c r="I25" s="1182"/>
      <c r="J25" s="1182"/>
      <c r="K25" s="1183"/>
    </row>
    <row r="26" spans="1:12" s="508" customFormat="1" ht="25.5">
      <c r="A26" s="736" t="s">
        <v>652</v>
      </c>
      <c r="B26" s="735" t="s">
        <v>651</v>
      </c>
      <c r="C26" s="717" t="s">
        <v>231</v>
      </c>
      <c r="D26" s="717" t="s">
        <v>660</v>
      </c>
      <c r="E26" s="717" t="s">
        <v>117</v>
      </c>
      <c r="F26" s="717" t="s">
        <v>659</v>
      </c>
      <c r="G26" s="717" t="s">
        <v>440</v>
      </c>
      <c r="H26" s="717" t="s">
        <v>658</v>
      </c>
      <c r="I26" s="717" t="s">
        <v>336</v>
      </c>
      <c r="J26" s="717" t="s">
        <v>657</v>
      </c>
      <c r="K26" s="716" t="s">
        <v>656</v>
      </c>
      <c r="L26" s="4"/>
    </row>
    <row r="27" spans="1:12" s="709" customFormat="1" ht="13">
      <c r="A27" s="707"/>
      <c r="B27" s="714" t="s">
        <v>646</v>
      </c>
      <c r="C27" s="713" t="s">
        <v>645</v>
      </c>
      <c r="D27" s="713" t="s">
        <v>644</v>
      </c>
      <c r="E27" s="713" t="s">
        <v>643</v>
      </c>
      <c r="F27" s="713" t="s">
        <v>642</v>
      </c>
      <c r="G27" s="713" t="s">
        <v>664</v>
      </c>
      <c r="H27" s="713" t="s">
        <v>665</v>
      </c>
      <c r="I27" s="713" t="s">
        <v>655</v>
      </c>
      <c r="J27" s="713" t="s">
        <v>654</v>
      </c>
      <c r="K27" s="734" t="s">
        <v>653</v>
      </c>
      <c r="L27" s="4"/>
    </row>
    <row r="28" spans="1:12" s="709" customFormat="1" ht="44.25" customHeight="1">
      <c r="A28" s="707"/>
      <c r="B28" s="714" t="s">
        <v>641</v>
      </c>
      <c r="C28" s="733" t="s">
        <v>381</v>
      </c>
      <c r="D28" s="733" t="s">
        <v>669</v>
      </c>
      <c r="E28" s="733" t="s">
        <v>382</v>
      </c>
      <c r="F28" s="733" t="s">
        <v>670</v>
      </c>
      <c r="G28" s="733" t="s">
        <v>509</v>
      </c>
      <c r="H28" s="733" t="s">
        <v>671</v>
      </c>
      <c r="I28" s="733" t="s">
        <v>483</v>
      </c>
      <c r="J28" s="733" t="s">
        <v>672</v>
      </c>
      <c r="K28" s="732" t="s">
        <v>510</v>
      </c>
      <c r="L28" s="4"/>
    </row>
    <row r="29" spans="1:12">
      <c r="A29" s="707">
        <f>+A23+1</f>
        <v>15</v>
      </c>
      <c r="B29" s="731" t="s">
        <v>639</v>
      </c>
      <c r="C29" s="971">
        <v>615164453.40066803</v>
      </c>
      <c r="D29" s="971">
        <v>6909767.8501080703</v>
      </c>
      <c r="E29" s="971">
        <v>273753781.39769816</v>
      </c>
      <c r="F29" s="971"/>
      <c r="G29" s="971">
        <v>347560947.151604</v>
      </c>
      <c r="H29" s="971"/>
      <c r="I29" s="971">
        <v>29007267.549077101</v>
      </c>
      <c r="J29" s="971">
        <v>97111.58</v>
      </c>
      <c r="K29" s="969">
        <v>31744543.187498</v>
      </c>
    </row>
    <row r="30" spans="1:12">
      <c r="A30" s="707">
        <f>+A29+1</f>
        <v>16</v>
      </c>
      <c r="B30" s="731" t="s">
        <v>187</v>
      </c>
      <c r="C30" s="971">
        <v>617850978.53621793</v>
      </c>
      <c r="D30" s="971">
        <v>6943327.1171249496</v>
      </c>
      <c r="E30" s="971">
        <v>275267075.24245501</v>
      </c>
      <c r="F30" s="971"/>
      <c r="G30" s="971">
        <v>349526924.52505302</v>
      </c>
      <c r="H30" s="971"/>
      <c r="I30" s="971">
        <v>29385237.4884886</v>
      </c>
      <c r="J30" s="971">
        <v>97967.47</v>
      </c>
      <c r="K30" s="970">
        <v>32589881.475740999</v>
      </c>
    </row>
    <row r="31" spans="1:12">
      <c r="A31" s="707">
        <f t="shared" ref="A31:A42" si="2">+A30+1</f>
        <v>17</v>
      </c>
      <c r="B31" s="730" t="s">
        <v>561</v>
      </c>
      <c r="C31" s="971">
        <v>620537467.98232377</v>
      </c>
      <c r="D31" s="971">
        <v>6976843.2870688606</v>
      </c>
      <c r="E31" s="971">
        <v>276783510.15584183</v>
      </c>
      <c r="F31" s="971"/>
      <c r="G31" s="971">
        <v>351552367.26621902</v>
      </c>
      <c r="H31" s="971"/>
      <c r="I31" s="971">
        <v>29763312.113769103</v>
      </c>
      <c r="J31" s="971">
        <v>98823.360000000001</v>
      </c>
      <c r="K31" s="970">
        <v>33435991.459996004</v>
      </c>
    </row>
    <row r="32" spans="1:12">
      <c r="A32" s="707">
        <f t="shared" si="2"/>
        <v>18</v>
      </c>
      <c r="B32" s="730" t="s">
        <v>638</v>
      </c>
      <c r="C32" s="971">
        <v>623223640.49763644</v>
      </c>
      <c r="D32" s="971">
        <v>7010316.4279794805</v>
      </c>
      <c r="E32" s="971">
        <v>278302389.26918465</v>
      </c>
      <c r="F32" s="971"/>
      <c r="G32" s="971">
        <v>353568041.39788598</v>
      </c>
      <c r="H32" s="971"/>
      <c r="I32" s="971">
        <v>30141365.479554702</v>
      </c>
      <c r="J32" s="971">
        <v>99679.25</v>
      </c>
      <c r="K32" s="970">
        <v>31956085.3395207</v>
      </c>
    </row>
    <row r="33" spans="1:12">
      <c r="A33" s="707">
        <f t="shared" si="2"/>
        <v>19</v>
      </c>
      <c r="B33" s="730" t="s">
        <v>189</v>
      </c>
      <c r="C33" s="971">
        <v>625909262.58436</v>
      </c>
      <c r="D33" s="971">
        <v>7043746.6077890703</v>
      </c>
      <c r="E33" s="971">
        <v>279823011.89774942</v>
      </c>
      <c r="F33" s="971"/>
      <c r="G33" s="971">
        <v>355571742.32895702</v>
      </c>
      <c r="H33" s="971"/>
      <c r="I33" s="971">
        <v>30519336.794835702</v>
      </c>
      <c r="J33" s="971">
        <v>100535.14</v>
      </c>
      <c r="K33" s="970">
        <v>32775644.2666297</v>
      </c>
    </row>
    <row r="34" spans="1:12">
      <c r="A34" s="707">
        <f t="shared" si="2"/>
        <v>20</v>
      </c>
      <c r="B34" s="730" t="s">
        <v>190</v>
      </c>
      <c r="C34" s="971">
        <v>628594003.81066966</v>
      </c>
      <c r="D34" s="971">
        <v>7077133.89432263</v>
      </c>
      <c r="E34" s="971">
        <v>281345321.59307629</v>
      </c>
      <c r="F34" s="971"/>
      <c r="G34" s="971">
        <v>357585187.21513098</v>
      </c>
      <c r="H34" s="971"/>
      <c r="I34" s="971">
        <v>30897226.144331899</v>
      </c>
      <c r="J34" s="971">
        <v>101391.03</v>
      </c>
      <c r="K34" s="970">
        <v>33602118.322821498</v>
      </c>
    </row>
    <row r="35" spans="1:12">
      <c r="A35" s="707">
        <f t="shared" si="2"/>
        <v>21</v>
      </c>
      <c r="B35" s="730" t="s">
        <v>384</v>
      </c>
      <c r="C35" s="971">
        <v>631278255.25516808</v>
      </c>
      <c r="D35" s="971">
        <v>7110478.3552980898</v>
      </c>
      <c r="E35" s="971">
        <v>282905472.28476912</v>
      </c>
      <c r="F35" s="971"/>
      <c r="G35" s="971">
        <v>359577833.65995699</v>
      </c>
      <c r="H35" s="971"/>
      <c r="I35" s="971">
        <v>31275031.756265603</v>
      </c>
      <c r="J35" s="971">
        <v>102246.92</v>
      </c>
      <c r="K35" s="970">
        <v>32846419.174435999</v>
      </c>
    </row>
    <row r="36" spans="1:12">
      <c r="A36" s="707">
        <f t="shared" si="2"/>
        <v>22</v>
      </c>
      <c r="B36" s="730" t="s">
        <v>191</v>
      </c>
      <c r="C36" s="971">
        <v>633962642.43844342</v>
      </c>
      <c r="D36" s="971">
        <v>7143780.05832648</v>
      </c>
      <c r="E36" s="971">
        <v>284481669.27350301</v>
      </c>
      <c r="F36" s="971"/>
      <c r="G36" s="971">
        <v>361543164.25583601</v>
      </c>
      <c r="H36" s="971"/>
      <c r="I36" s="971">
        <v>31652753.503805302</v>
      </c>
      <c r="J36" s="971">
        <v>103102.81000000001</v>
      </c>
      <c r="K36" s="970">
        <v>33663947.529554203</v>
      </c>
    </row>
    <row r="37" spans="1:12">
      <c r="A37" s="707">
        <f t="shared" si="2"/>
        <v>23</v>
      </c>
      <c r="B37" s="730" t="s">
        <v>637</v>
      </c>
      <c r="C37" s="971">
        <v>636647548.06833899</v>
      </c>
      <c r="D37" s="971">
        <v>7177039.0709120603</v>
      </c>
      <c r="E37" s="971">
        <v>286066906.14283979</v>
      </c>
      <c r="F37" s="971"/>
      <c r="G37" s="971">
        <v>363607470.28587896</v>
      </c>
      <c r="H37" s="971"/>
      <c r="I37" s="971">
        <v>32030390.817623902</v>
      </c>
      <c r="J37" s="971">
        <v>103958.7</v>
      </c>
      <c r="K37" s="970">
        <v>34493580.182600804</v>
      </c>
    </row>
    <row r="38" spans="1:12">
      <c r="A38" s="707">
        <f t="shared" si="2"/>
        <v>24</v>
      </c>
      <c r="B38" s="730" t="s">
        <v>194</v>
      </c>
      <c r="C38" s="971">
        <v>639332821.76791453</v>
      </c>
      <c r="D38" s="971">
        <v>7210255.4604525501</v>
      </c>
      <c r="E38" s="971">
        <v>287656901.0949167</v>
      </c>
      <c r="F38" s="971"/>
      <c r="G38" s="971">
        <v>365704301.52197301</v>
      </c>
      <c r="H38" s="971"/>
      <c r="I38" s="971">
        <v>32407944.170381103</v>
      </c>
      <c r="J38" s="971">
        <v>104814.59</v>
      </c>
      <c r="K38" s="970">
        <v>33646122.317972705</v>
      </c>
    </row>
    <row r="39" spans="1:12">
      <c r="A39" s="707">
        <f t="shared" si="2"/>
        <v>25</v>
      </c>
      <c r="B39" s="730" t="s">
        <v>562</v>
      </c>
      <c r="C39" s="971">
        <v>642018429.88285816</v>
      </c>
      <c r="D39" s="971">
        <v>7243429.2942392407</v>
      </c>
      <c r="E39" s="971">
        <v>289254086.3617745</v>
      </c>
      <c r="F39" s="971"/>
      <c r="G39" s="971">
        <v>367834411.31465399</v>
      </c>
      <c r="H39" s="971"/>
      <c r="I39" s="971">
        <v>32785413.969425499</v>
      </c>
      <c r="J39" s="971">
        <v>105670.48</v>
      </c>
      <c r="K39" s="970">
        <v>34477386.297403097</v>
      </c>
    </row>
    <row r="40" spans="1:12">
      <c r="A40" s="707">
        <f t="shared" si="2"/>
        <v>26</v>
      </c>
      <c r="B40" s="730" t="s">
        <v>563</v>
      </c>
      <c r="C40" s="971">
        <v>644607652.18350518</v>
      </c>
      <c r="D40" s="971">
        <v>7276560.6394571997</v>
      </c>
      <c r="E40" s="971">
        <v>290872365.84751529</v>
      </c>
      <c r="F40" s="971"/>
      <c r="G40" s="971">
        <v>369978165.96638203</v>
      </c>
      <c r="H40" s="971"/>
      <c r="I40" s="971">
        <v>33162800.761466503</v>
      </c>
      <c r="J40" s="971">
        <v>106526.37</v>
      </c>
      <c r="K40" s="970">
        <v>35320766.7360835</v>
      </c>
    </row>
    <row r="41" spans="1:12">
      <c r="A41" s="706">
        <f t="shared" si="2"/>
        <v>27</v>
      </c>
      <c r="B41" s="729" t="s">
        <v>636</v>
      </c>
      <c r="C41" s="971">
        <v>647197338.19405651</v>
      </c>
      <c r="D41" s="971">
        <v>7309649.5631854208</v>
      </c>
      <c r="E41" s="971">
        <v>292533968.11740112</v>
      </c>
      <c r="F41" s="971"/>
      <c r="G41" s="971">
        <v>372066216.84167498</v>
      </c>
      <c r="H41" s="971"/>
      <c r="I41" s="971">
        <v>33540104.350870002</v>
      </c>
      <c r="J41" s="971">
        <v>107382.26000000001</v>
      </c>
      <c r="K41" s="970">
        <v>32596516.584892899</v>
      </c>
    </row>
    <row r="42" spans="1:12" ht="13" thickBot="1">
      <c r="A42" s="728">
        <f t="shared" si="2"/>
        <v>28</v>
      </c>
      <c r="B42" s="918" t="s">
        <v>869</v>
      </c>
      <c r="C42" s="726">
        <f t="shared" ref="C42:K42" si="3">(SUM(C29:C41)/13)</f>
        <v>631255730.35401237</v>
      </c>
      <c r="D42" s="726">
        <f t="shared" si="3"/>
        <v>7110179.0481741624</v>
      </c>
      <c r="E42" s="726">
        <f t="shared" si="3"/>
        <v>283003573.74451727</v>
      </c>
      <c r="F42" s="726">
        <f t="shared" si="3"/>
        <v>0</v>
      </c>
      <c r="G42" s="726">
        <f t="shared" si="3"/>
        <v>359667444.13316971</v>
      </c>
      <c r="H42" s="726">
        <f t="shared" si="3"/>
        <v>0</v>
      </c>
      <c r="I42" s="726">
        <f t="shared" si="3"/>
        <v>31274475.761530392</v>
      </c>
      <c r="J42" s="726">
        <f t="shared" si="3"/>
        <v>102246.92000000001</v>
      </c>
      <c r="K42" s="726">
        <f t="shared" si="3"/>
        <v>33319154.067319237</v>
      </c>
      <c r="L42" s="980"/>
    </row>
    <row r="43" spans="1:12" ht="13" thickTop="1">
      <c r="A43" s="79"/>
      <c r="B43" s="700"/>
      <c r="C43" s="725"/>
      <c r="D43" s="699"/>
      <c r="E43" s="699"/>
      <c r="F43" s="699"/>
      <c r="G43" s="725"/>
      <c r="H43"/>
      <c r="I43"/>
      <c r="J43"/>
      <c r="K43"/>
    </row>
    <row r="44" spans="1:12">
      <c r="A44" s="79"/>
      <c r="B44" s="700"/>
      <c r="C44" s="725"/>
      <c r="D44" s="699"/>
      <c r="E44" s="699"/>
      <c r="F44" s="699"/>
      <c r="G44" s="725"/>
      <c r="H44" s="725"/>
      <c r="I44" s="725"/>
    </row>
    <row r="45" spans="1:12" ht="13">
      <c r="A45" s="724"/>
      <c r="B45" s="723"/>
      <c r="C45" s="722"/>
      <c r="D45" s="721"/>
      <c r="E45" s="721"/>
      <c r="F45" s="720"/>
      <c r="G45"/>
      <c r="H45"/>
      <c r="I45"/>
      <c r="J45"/>
      <c r="K45"/>
    </row>
    <row r="46" spans="1:12" ht="72" customHeight="1">
      <c r="A46" s="719" t="s">
        <v>652</v>
      </c>
      <c r="B46" s="713" t="s">
        <v>651</v>
      </c>
      <c r="C46" s="718" t="s">
        <v>650</v>
      </c>
      <c r="D46" s="717" t="s">
        <v>649</v>
      </c>
      <c r="E46" s="717" t="s">
        <v>648</v>
      </c>
      <c r="F46" s="716" t="s">
        <v>647</v>
      </c>
      <c r="G46"/>
      <c r="H46"/>
      <c r="I46"/>
      <c r="J46"/>
      <c r="K46"/>
    </row>
    <row r="47" spans="1:12" s="709" customFormat="1" ht="13">
      <c r="A47" s="707"/>
      <c r="B47" s="713" t="s">
        <v>646</v>
      </c>
      <c r="C47" s="715" t="s">
        <v>645</v>
      </c>
      <c r="D47" s="713" t="s">
        <v>644</v>
      </c>
      <c r="E47" s="713" t="s">
        <v>643</v>
      </c>
      <c r="F47" s="714" t="s">
        <v>642</v>
      </c>
      <c r="G47"/>
      <c r="H47"/>
      <c r="I47"/>
      <c r="J47"/>
      <c r="K47"/>
      <c r="L47" s="4"/>
    </row>
    <row r="48" spans="1:12" s="709" customFormat="1" ht="63">
      <c r="A48" s="707"/>
      <c r="B48" s="713" t="s">
        <v>641</v>
      </c>
      <c r="C48" s="712" t="s">
        <v>673</v>
      </c>
      <c r="D48" s="712" t="s">
        <v>674</v>
      </c>
      <c r="E48" s="711" t="s">
        <v>640</v>
      </c>
      <c r="F48" s="710" t="s">
        <v>640</v>
      </c>
      <c r="G48"/>
      <c r="H48"/>
      <c r="I48"/>
      <c r="J48"/>
      <c r="K48"/>
      <c r="L48" s="4"/>
    </row>
    <row r="49" spans="1:11">
      <c r="A49" s="707">
        <f>+A42+1</f>
        <v>29</v>
      </c>
      <c r="B49" s="708" t="s">
        <v>639</v>
      </c>
      <c r="C49" s="981">
        <v>12988637.07</v>
      </c>
      <c r="D49" s="971">
        <v>6491072.14567916</v>
      </c>
      <c r="E49" s="971"/>
      <c r="F49" s="970"/>
      <c r="G49"/>
      <c r="H49"/>
      <c r="I49"/>
      <c r="J49"/>
      <c r="K49"/>
    </row>
    <row r="50" spans="1:11">
      <c r="A50" s="707">
        <f>+A49+1</f>
        <v>30</v>
      </c>
      <c r="B50" s="708" t="s">
        <v>187</v>
      </c>
      <c r="C50" s="981">
        <v>12988637.07</v>
      </c>
      <c r="D50" s="971">
        <v>6514338.6788149904</v>
      </c>
      <c r="E50" s="971"/>
      <c r="F50" s="970"/>
      <c r="G50"/>
      <c r="H50"/>
      <c r="I50"/>
      <c r="J50"/>
      <c r="K50"/>
    </row>
    <row r="51" spans="1:11">
      <c r="A51" s="707">
        <f t="shared" ref="A51:A62" si="4">+A50+1</f>
        <v>31</v>
      </c>
      <c r="B51" s="700" t="s">
        <v>561</v>
      </c>
      <c r="C51" s="981">
        <v>12988637.07</v>
      </c>
      <c r="D51" s="971">
        <v>6537605.2119508302</v>
      </c>
      <c r="E51" s="971"/>
      <c r="F51" s="970"/>
      <c r="G51"/>
      <c r="H51"/>
      <c r="I51"/>
      <c r="J51"/>
      <c r="K51"/>
    </row>
    <row r="52" spans="1:11">
      <c r="A52" s="707">
        <f t="shared" si="4"/>
        <v>32</v>
      </c>
      <c r="B52" s="700" t="s">
        <v>638</v>
      </c>
      <c r="C52" s="981">
        <v>12988637.07</v>
      </c>
      <c r="D52" s="971">
        <v>6560871.7450866597</v>
      </c>
      <c r="E52" s="971"/>
      <c r="F52" s="970"/>
      <c r="G52"/>
      <c r="H52"/>
      <c r="I52"/>
      <c r="J52"/>
      <c r="K52"/>
    </row>
    <row r="53" spans="1:11">
      <c r="A53" s="707">
        <f t="shared" si="4"/>
        <v>33</v>
      </c>
      <c r="B53" s="700" t="s">
        <v>189</v>
      </c>
      <c r="C53" s="981">
        <v>12988637.07</v>
      </c>
      <c r="D53" s="971">
        <v>6584138.2782224901</v>
      </c>
      <c r="E53" s="971"/>
      <c r="F53" s="970"/>
      <c r="G53"/>
      <c r="H53"/>
      <c r="I53"/>
      <c r="J53"/>
      <c r="K53"/>
    </row>
    <row r="54" spans="1:11">
      <c r="A54" s="707">
        <f t="shared" si="4"/>
        <v>34</v>
      </c>
      <c r="B54" s="700" t="s">
        <v>190</v>
      </c>
      <c r="C54" s="981">
        <v>12988637.07</v>
      </c>
      <c r="D54" s="971">
        <v>6607404.8113583308</v>
      </c>
      <c r="E54" s="971"/>
      <c r="F54" s="970"/>
      <c r="G54"/>
      <c r="H54"/>
      <c r="I54"/>
      <c r="J54"/>
      <c r="K54"/>
    </row>
    <row r="55" spans="1:11">
      <c r="A55" s="707">
        <f t="shared" si="4"/>
        <v>35</v>
      </c>
      <c r="B55" s="700" t="s">
        <v>384</v>
      </c>
      <c r="C55" s="981">
        <v>12988637.07</v>
      </c>
      <c r="D55" s="971">
        <v>6630671.3444941593</v>
      </c>
      <c r="E55" s="971"/>
      <c r="F55" s="970"/>
      <c r="G55"/>
      <c r="H55"/>
      <c r="I55"/>
      <c r="J55"/>
      <c r="K55"/>
    </row>
    <row r="56" spans="1:11">
      <c r="A56" s="707">
        <f t="shared" si="4"/>
        <v>36</v>
      </c>
      <c r="B56" s="700" t="s">
        <v>191</v>
      </c>
      <c r="C56" s="981">
        <v>12988637.07</v>
      </c>
      <c r="D56" s="971">
        <v>6653937.8776299898</v>
      </c>
      <c r="E56" s="971"/>
      <c r="F56" s="970"/>
      <c r="G56"/>
      <c r="H56"/>
      <c r="I56"/>
      <c r="J56"/>
      <c r="K56"/>
    </row>
    <row r="57" spans="1:11">
      <c r="A57" s="707">
        <f t="shared" si="4"/>
        <v>37</v>
      </c>
      <c r="B57" s="700" t="s">
        <v>637</v>
      </c>
      <c r="C57" s="981">
        <v>12988637.07</v>
      </c>
      <c r="D57" s="971">
        <v>6677204.4107658202</v>
      </c>
      <c r="E57" s="971"/>
      <c r="F57" s="970"/>
      <c r="G57"/>
      <c r="H57"/>
      <c r="I57"/>
      <c r="J57"/>
      <c r="K57"/>
    </row>
    <row r="58" spans="1:11">
      <c r="A58" s="707">
        <f t="shared" si="4"/>
        <v>38</v>
      </c>
      <c r="B58" s="700" t="s">
        <v>194</v>
      </c>
      <c r="C58" s="981">
        <v>12988637.07</v>
      </c>
      <c r="D58" s="971">
        <v>6700470.9439016599</v>
      </c>
      <c r="E58" s="971"/>
      <c r="F58" s="970"/>
      <c r="G58"/>
      <c r="H58"/>
      <c r="I58"/>
      <c r="J58"/>
      <c r="K58"/>
    </row>
    <row r="59" spans="1:11">
      <c r="A59" s="707">
        <f t="shared" si="4"/>
        <v>39</v>
      </c>
      <c r="B59" s="700" t="s">
        <v>562</v>
      </c>
      <c r="C59" s="981">
        <v>12988637.07</v>
      </c>
      <c r="D59" s="971">
        <v>6723737.4770374903</v>
      </c>
      <c r="E59" s="971"/>
      <c r="F59" s="970"/>
      <c r="G59"/>
      <c r="H59"/>
      <c r="I59"/>
      <c r="J59"/>
      <c r="K59"/>
    </row>
    <row r="60" spans="1:11">
      <c r="A60" s="707">
        <f t="shared" si="4"/>
        <v>40</v>
      </c>
      <c r="B60" s="700" t="s">
        <v>563</v>
      </c>
      <c r="C60" s="981">
        <v>12988637.07</v>
      </c>
      <c r="D60" s="971">
        <v>6747004.0101733198</v>
      </c>
      <c r="E60" s="971"/>
      <c r="F60" s="970"/>
      <c r="G60"/>
      <c r="H60"/>
      <c r="I60"/>
      <c r="J60"/>
      <c r="K60"/>
    </row>
    <row r="61" spans="1:11">
      <c r="A61" s="706">
        <f t="shared" si="4"/>
        <v>41</v>
      </c>
      <c r="B61" s="705" t="s">
        <v>636</v>
      </c>
      <c r="C61" s="981">
        <v>12988637.07</v>
      </c>
      <c r="D61" s="971">
        <v>6770270.5433091596</v>
      </c>
      <c r="E61" s="971"/>
      <c r="F61" s="970"/>
      <c r="G61"/>
      <c r="H61"/>
      <c r="I61"/>
      <c r="J61"/>
      <c r="K61"/>
    </row>
    <row r="62" spans="1:11" ht="13" thickBot="1">
      <c r="A62" s="704">
        <f t="shared" si="4"/>
        <v>42</v>
      </c>
      <c r="B62" s="918" t="s">
        <v>869</v>
      </c>
      <c r="C62" s="726">
        <f>(SUM(C49:C61)/13)</f>
        <v>12988637.069999997</v>
      </c>
      <c r="D62" s="726">
        <f>(SUM(D49:D61)/13)</f>
        <v>6630671.3444941575</v>
      </c>
      <c r="E62" s="702">
        <f>SUM(E49:E61)/13</f>
        <v>0</v>
      </c>
      <c r="F62" s="701">
        <f>SUM(F49:F61)/13</f>
        <v>0</v>
      </c>
      <c r="G62"/>
      <c r="H62"/>
      <c r="I62"/>
      <c r="J62"/>
      <c r="K62"/>
    </row>
    <row r="63" spans="1:11" ht="13" thickTop="1">
      <c r="A63" s="79"/>
      <c r="B63" s="700"/>
      <c r="G63"/>
      <c r="H63"/>
      <c r="I63"/>
      <c r="J63"/>
      <c r="K63"/>
    </row>
    <row r="64" spans="1:11">
      <c r="A64" s="79">
        <v>43</v>
      </c>
      <c r="B64" s="700" t="s">
        <v>635</v>
      </c>
      <c r="D64" s="489">
        <f>+E42-D62</f>
        <v>276372902.4000231</v>
      </c>
      <c r="I64" s="699"/>
    </row>
    <row r="65" spans="1:7" customFormat="1"/>
    <row r="66" spans="1:7" customFormat="1">
      <c r="A66" s="698"/>
      <c r="B66" s="236"/>
      <c r="C66" s="237"/>
      <c r="D66" s="238"/>
      <c r="E66" s="57"/>
      <c r="F66" s="57"/>
      <c r="G66" s="67"/>
    </row>
    <row r="67" spans="1:7" customFormat="1" ht="26">
      <c r="A67" s="743" t="s">
        <v>3</v>
      </c>
      <c r="B67" s="236"/>
      <c r="C67" s="740" t="s">
        <v>2</v>
      </c>
      <c r="D67" s="741" t="str">
        <f>"Balance @ December 31, "&amp;TCOS!L4&amp;""</f>
        <v>Balance @ December 31, 2024</v>
      </c>
      <c r="E67" s="742" t="str">
        <f>"Balance @ December 31, "&amp;TCOS!L4-1&amp;""</f>
        <v>Balance @ December 31, 2023</v>
      </c>
      <c r="F67" s="742" t="str">
        <f>"Average Balance for "&amp;TCOS!L4&amp;""</f>
        <v>Average Balance for 2024</v>
      </c>
      <c r="G67" s="67"/>
    </row>
    <row r="68" spans="1:7" customFormat="1" ht="13">
      <c r="A68" s="72"/>
      <c r="B68" s="713" t="s">
        <v>646</v>
      </c>
      <c r="C68" s="713" t="s">
        <v>645</v>
      </c>
      <c r="D68" s="713" t="s">
        <v>644</v>
      </c>
      <c r="E68" s="713" t="s">
        <v>643</v>
      </c>
      <c r="F68" s="713" t="s">
        <v>642</v>
      </c>
      <c r="G68" s="67"/>
    </row>
    <row r="69" spans="1:7" customFormat="1" ht="13">
      <c r="A69" s="236">
        <f>+A64+1</f>
        <v>44</v>
      </c>
      <c r="B69" s="72" t="s">
        <v>3</v>
      </c>
      <c r="C69" s="239" t="s">
        <v>376</v>
      </c>
      <c r="D69" s="648">
        <v>801671.21</v>
      </c>
      <c r="E69" s="648">
        <v>801671.21</v>
      </c>
      <c r="F69" s="109">
        <f>IF(E69="",0,AVERAGE(D69:E69))</f>
        <v>801671.21</v>
      </c>
    </row>
    <row r="70" spans="1:7" customFormat="1" ht="13">
      <c r="A70" s="235"/>
      <c r="B70" s="240"/>
      <c r="C70" s="240"/>
      <c r="F70" s="67"/>
    </row>
    <row r="71" spans="1:7" customFormat="1" ht="13">
      <c r="A71" s="234">
        <f>+A69+1</f>
        <v>45</v>
      </c>
      <c r="B71" s="72" t="s">
        <v>831</v>
      </c>
      <c r="C71" s="250" t="s">
        <v>68</v>
      </c>
      <c r="D71" s="648">
        <v>0</v>
      </c>
      <c r="E71" s="648">
        <v>0</v>
      </c>
      <c r="F71" s="109">
        <f>IF(E71="",0,AVERAGE(D71:E71))</f>
        <v>0</v>
      </c>
    </row>
    <row r="72" spans="1:7" customFormat="1">
      <c r="A72" s="70"/>
      <c r="B72" s="70"/>
      <c r="C72" s="70"/>
      <c r="D72" s="70"/>
    </row>
    <row r="73" spans="1:7" customFormat="1" ht="13">
      <c r="A73" s="72" t="s">
        <v>238</v>
      </c>
      <c r="B73" s="70"/>
      <c r="C73" s="70"/>
      <c r="D73" s="70"/>
    </row>
    <row r="74" spans="1:7" customFormat="1">
      <c r="A74" s="238"/>
      <c r="B74" s="238" t="s">
        <v>362</v>
      </c>
      <c r="C74" s="238"/>
      <c r="D74" s="55"/>
      <c r="E74" s="55"/>
      <c r="F74" s="55"/>
    </row>
    <row r="75" spans="1:7" customFormat="1">
      <c r="A75" s="236">
        <f>+A71+1</f>
        <v>46</v>
      </c>
      <c r="B75" s="649"/>
      <c r="C75" s="649"/>
      <c r="D75" s="648"/>
      <c r="E75" s="648"/>
      <c r="F75" s="109">
        <f>IF(E75="",0,AVERAGE(D75:E75))</f>
        <v>0</v>
      </c>
    </row>
    <row r="76" spans="1:7" customFormat="1">
      <c r="A76" s="236">
        <f>+A75+1</f>
        <v>47</v>
      </c>
      <c r="B76" s="649"/>
      <c r="C76" s="649"/>
      <c r="D76" s="648"/>
      <c r="E76" s="648"/>
      <c r="F76" s="109">
        <f>IF(E76="",0,AVERAGE(D76:E76))</f>
        <v>0</v>
      </c>
    </row>
    <row r="77" spans="1:7" customFormat="1">
      <c r="A77" s="236">
        <f>+A76+1</f>
        <v>48</v>
      </c>
      <c r="B77" s="649"/>
      <c r="C77" s="649"/>
      <c r="D77" s="648"/>
      <c r="E77" s="648"/>
      <c r="F77" s="109">
        <f>IF(E77="",0,AVERAGE(D77:E77))</f>
        <v>0</v>
      </c>
    </row>
    <row r="78" spans="1:7" customFormat="1">
      <c r="A78" s="236">
        <f>+A77+1</f>
        <v>49</v>
      </c>
      <c r="B78" s="649"/>
      <c r="C78" s="649"/>
      <c r="D78" s="648"/>
      <c r="E78" s="648"/>
      <c r="F78" s="109">
        <f>IF(E78="",0,AVERAGE(D78:E78))</f>
        <v>0</v>
      </c>
    </row>
    <row r="79" spans="1:7" customFormat="1">
      <c r="A79" s="236">
        <f>+A78+1</f>
        <v>50</v>
      </c>
      <c r="B79" s="649"/>
      <c r="C79" s="649"/>
      <c r="D79" s="650"/>
      <c r="E79" s="650"/>
      <c r="F79" s="744">
        <f>IF(E79="",0,AVERAGE(D79:E79))</f>
        <v>0</v>
      </c>
    </row>
    <row r="80" spans="1:7" customFormat="1">
      <c r="A80" s="236">
        <f>+A79+1</f>
        <v>51</v>
      </c>
      <c r="B80" s="238" t="s">
        <v>499</v>
      </c>
      <c r="C80" s="238"/>
      <c r="D80" s="149">
        <f>SUM(D75:D79)</f>
        <v>0</v>
      </c>
      <c r="E80" s="149">
        <f>SUM(E75:E79)</f>
        <v>0</v>
      </c>
      <c r="F80" s="149">
        <f>SUM(F75:F79)</f>
        <v>0</v>
      </c>
    </row>
    <row r="81" spans="1:7" customFormat="1">
      <c r="A81" s="236"/>
      <c r="B81" s="238"/>
      <c r="C81" s="238"/>
      <c r="D81" s="149"/>
      <c r="E81" s="149"/>
      <c r="F81" s="149"/>
    </row>
    <row r="82" spans="1:7" customFormat="1" ht="18">
      <c r="A82" s="72" t="s">
        <v>758</v>
      </c>
      <c r="B82" s="695"/>
      <c r="C82" s="695"/>
      <c r="D82" s="695"/>
      <c r="E82" s="55"/>
      <c r="F82" s="55"/>
      <c r="G82" s="55"/>
    </row>
    <row r="83" spans="1:7" customFormat="1" ht="13">
      <c r="A83" s="56"/>
      <c r="B83" s="201"/>
      <c r="C83" s="204"/>
      <c r="D83" s="5"/>
      <c r="E83" s="55"/>
      <c r="F83" s="55"/>
      <c r="G83" s="55"/>
    </row>
    <row r="84" spans="1:7" customFormat="1" ht="13">
      <c r="A84" s="56">
        <f>+A80+1</f>
        <v>52</v>
      </c>
      <c r="B84" s="9" t="s">
        <v>169</v>
      </c>
      <c r="C84" s="9" t="s">
        <v>308</v>
      </c>
      <c r="D84" s="4"/>
      <c r="F84" s="9"/>
    </row>
    <row r="85" spans="1:7" customFormat="1" ht="14">
      <c r="A85" s="79" t="s">
        <v>751</v>
      </c>
      <c r="B85" s="862" t="s">
        <v>874</v>
      </c>
      <c r="C85" s="863"/>
      <c r="D85" s="648">
        <v>1079630.6199999999</v>
      </c>
      <c r="E85" s="648">
        <v>1079630.6199999999</v>
      </c>
      <c r="F85" s="745">
        <f>IF(E85="",0,AVERAGE(D85:E85))</f>
        <v>1079630.6199999999</v>
      </c>
    </row>
    <row r="86" spans="1:7" customFormat="1" ht="14">
      <c r="A86" s="79" t="s">
        <v>752</v>
      </c>
      <c r="B86" s="648"/>
      <c r="C86" s="863"/>
      <c r="D86" s="648"/>
      <c r="E86" s="648"/>
      <c r="F86" s="746">
        <f>IF(E86="",0,AVERAGE(D86:E86))</f>
        <v>0</v>
      </c>
    </row>
    <row r="87" spans="1:7" customFormat="1" ht="18" customHeight="1">
      <c r="A87" s="1">
        <v>54</v>
      </c>
      <c r="C87" s="4" t="s">
        <v>120</v>
      </c>
      <c r="D87" s="489">
        <f>SUM(D85:D86)</f>
        <v>1079630.6199999999</v>
      </c>
      <c r="E87" s="489">
        <f>SUM(E85:E86)</f>
        <v>1079630.6199999999</v>
      </c>
      <c r="F87" s="489">
        <f>SUM(F85:F86)</f>
        <v>1079630.6199999999</v>
      </c>
    </row>
    <row r="88" spans="1:7" customFormat="1">
      <c r="A88" s="236"/>
      <c r="B88" s="238"/>
      <c r="C88" s="238"/>
      <c r="D88" s="238"/>
    </row>
    <row r="89" spans="1:7">
      <c r="A89" s="57" t="s">
        <v>677</v>
      </c>
      <c r="B89" s="238"/>
      <c r="C89" s="238"/>
      <c r="D89" s="238"/>
    </row>
    <row r="90" spans="1:7">
      <c r="A90" s="57" t="s">
        <v>676</v>
      </c>
      <c r="B90" s="238"/>
      <c r="C90" s="238"/>
      <c r="D90" s="238"/>
    </row>
    <row r="91" spans="1:7">
      <c r="A91"/>
      <c r="B91"/>
      <c r="C91"/>
      <c r="D91"/>
    </row>
  </sheetData>
  <mergeCells count="6">
    <mergeCell ref="A1:G1"/>
    <mergeCell ref="A2:G2"/>
    <mergeCell ref="A3:G3"/>
    <mergeCell ref="C6:K6"/>
    <mergeCell ref="C25:K25"/>
    <mergeCell ref="A4:G4"/>
  </mergeCells>
  <pageMargins left="0.7" right="0.7" top="0.75" bottom="0.75" header="0.3" footer="0.3"/>
  <pageSetup scale="44"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05"/>
  <sheetViews>
    <sheetView view="pageBreakPreview" topLeftCell="A31" zoomScale="85" zoomScaleNormal="90" zoomScaleSheetLayoutView="85" zoomScalePageLayoutView="85" workbookViewId="0">
      <selection activeCell="E54" sqref="E54"/>
    </sheetView>
  </sheetViews>
  <sheetFormatPr defaultColWidth="11.453125" defaultRowHeight="13"/>
  <cols>
    <col min="1" max="1" width="10.26953125" style="764" customWidth="1"/>
    <col min="2" max="2" width="52.26953125" style="14" customWidth="1"/>
    <col min="3" max="7" width="20.26953125" style="14" customWidth="1"/>
    <col min="8" max="8" width="23" style="14" customWidth="1"/>
    <col min="9" max="11" width="20.26953125" style="14" customWidth="1"/>
    <col min="12" max="12" width="20" style="14" customWidth="1"/>
    <col min="13" max="14" width="15.1796875" style="14" customWidth="1"/>
    <col min="15" max="16384" width="11.453125" style="14"/>
  </cols>
  <sheetData>
    <row r="1" spans="1:12" ht="15.5">
      <c r="A1" s="1176" t="s">
        <v>389</v>
      </c>
      <c r="B1" s="1176"/>
      <c r="C1" s="1176"/>
      <c r="D1" s="1176"/>
      <c r="E1" s="1176"/>
      <c r="F1" s="1176"/>
      <c r="G1" s="1176"/>
      <c r="H1" s="79"/>
    </row>
    <row r="2" spans="1:12" ht="15.5">
      <c r="A2" s="1177" t="str">
        <f>"Cost of Service Formula Rate Using Actual/Projected FF1 Balances"</f>
        <v>Cost of Service Formula Rate Using Actual/Projected FF1 Balances</v>
      </c>
      <c r="B2" s="1177"/>
      <c r="C2" s="1177"/>
      <c r="D2" s="1177"/>
      <c r="E2" s="1177"/>
      <c r="F2" s="1177"/>
      <c r="G2" s="1177"/>
      <c r="H2" s="747"/>
      <c r="I2" s="747"/>
      <c r="J2" s="747"/>
      <c r="L2" s="748"/>
    </row>
    <row r="3" spans="1:12" ht="15.5">
      <c r="A3" s="1177" t="s">
        <v>678</v>
      </c>
      <c r="B3" s="1177"/>
      <c r="C3" s="1177"/>
      <c r="D3" s="1177"/>
      <c r="E3" s="1177"/>
      <c r="F3" s="1177"/>
      <c r="G3" s="1177"/>
      <c r="H3" s="747"/>
      <c r="I3" s="747"/>
      <c r="J3" s="747"/>
    </row>
    <row r="4" spans="1:12" ht="15.5">
      <c r="A4" s="1184" t="str">
        <f>TCOS!F9</f>
        <v>KENTUCKY POWER COMPANY</v>
      </c>
      <c r="B4" s="1184"/>
      <c r="C4" s="1184"/>
      <c r="D4" s="1184"/>
      <c r="E4" s="1184"/>
      <c r="F4" s="1184"/>
      <c r="G4" s="1184"/>
      <c r="H4" s="747"/>
      <c r="I4" s="747"/>
      <c r="J4" s="747"/>
    </row>
    <row r="5" spans="1:12">
      <c r="A5" s="747"/>
      <c r="B5" s="749"/>
      <c r="C5" s="749"/>
      <c r="D5" s="749"/>
      <c r="E5" s="750"/>
      <c r="F5" s="751"/>
      <c r="H5"/>
      <c r="I5"/>
      <c r="J5"/>
      <c r="K5"/>
      <c r="L5"/>
    </row>
    <row r="6" spans="1:12" ht="12.75" customHeight="1">
      <c r="A6" s="79"/>
      <c r="B6" s="737"/>
      <c r="C6" s="1178" t="s">
        <v>6</v>
      </c>
      <c r="D6" s="1179"/>
      <c r="E6" s="1179"/>
      <c r="F6" s="1179"/>
      <c r="G6" s="1180"/>
      <c r="H6" s="4"/>
      <c r="I6"/>
      <c r="J6"/>
      <c r="K6"/>
      <c r="L6"/>
    </row>
    <row r="7" spans="1:12" s="753" customFormat="1" ht="39">
      <c r="A7" s="736" t="s">
        <v>652</v>
      </c>
      <c r="B7" s="735" t="s">
        <v>651</v>
      </c>
      <c r="C7" s="718" t="s">
        <v>679</v>
      </c>
      <c r="D7" s="717" t="s">
        <v>370</v>
      </c>
      <c r="E7" s="717" t="s">
        <v>680</v>
      </c>
      <c r="F7" s="717" t="s">
        <v>681</v>
      </c>
      <c r="G7" s="752" t="s">
        <v>6</v>
      </c>
      <c r="H7" s="4"/>
      <c r="I7"/>
      <c r="J7"/>
      <c r="K7"/>
      <c r="L7"/>
    </row>
    <row r="8" spans="1:12" s="755" customFormat="1">
      <c r="A8" s="707"/>
      <c r="B8" s="714" t="s">
        <v>646</v>
      </c>
      <c r="C8" s="715" t="s">
        <v>645</v>
      </c>
      <c r="D8" s="713" t="s">
        <v>644</v>
      </c>
      <c r="E8" s="713" t="s">
        <v>643</v>
      </c>
      <c r="F8" s="713" t="s">
        <v>642</v>
      </c>
      <c r="G8" s="754" t="s">
        <v>682</v>
      </c>
      <c r="H8" s="4"/>
      <c r="I8"/>
      <c r="J8"/>
      <c r="K8"/>
      <c r="L8"/>
    </row>
    <row r="9" spans="1:12" s="755" customFormat="1" ht="44.25" customHeight="1">
      <c r="A9" s="707"/>
      <c r="B9" s="714" t="s">
        <v>641</v>
      </c>
      <c r="C9" s="756" t="s">
        <v>683</v>
      </c>
      <c r="D9" s="733" t="s">
        <v>684</v>
      </c>
      <c r="E9" s="733" t="s">
        <v>685</v>
      </c>
      <c r="F9" s="733" t="s">
        <v>686</v>
      </c>
      <c r="G9" s="757"/>
      <c r="H9" s="4"/>
      <c r="I9"/>
      <c r="J9"/>
      <c r="K9"/>
      <c r="L9"/>
    </row>
    <row r="10" spans="1:12">
      <c r="A10" s="707">
        <v>1</v>
      </c>
      <c r="B10" s="731" t="s">
        <v>639</v>
      </c>
      <c r="C10" s="977">
        <v>956373993.493855</v>
      </c>
      <c r="D10" s="977"/>
      <c r="E10" s="977"/>
      <c r="F10" s="977">
        <v>38731.75</v>
      </c>
      <c r="G10" s="758">
        <f t="shared" ref="G10:G22" si="0">+C10-D10-E10-F10</f>
        <v>956335261.743855</v>
      </c>
      <c r="H10" s="4"/>
      <c r="I10"/>
      <c r="J10"/>
      <c r="K10"/>
      <c r="L10"/>
    </row>
    <row r="11" spans="1:12">
      <c r="A11" s="707">
        <f t="shared" ref="A11:A23" si="1">+A10+1</f>
        <v>2</v>
      </c>
      <c r="B11" s="731" t="s">
        <v>187</v>
      </c>
      <c r="C11" s="977">
        <v>971019676.32446206</v>
      </c>
      <c r="D11" s="977"/>
      <c r="E11" s="977"/>
      <c r="F11" s="977">
        <v>46478.1</v>
      </c>
      <c r="G11" s="758">
        <f t="shared" si="0"/>
        <v>970973198.22446203</v>
      </c>
      <c r="H11" s="4"/>
      <c r="I11"/>
      <c r="J11"/>
      <c r="K11"/>
      <c r="L11"/>
    </row>
    <row r="12" spans="1:12">
      <c r="A12" s="707">
        <f t="shared" si="1"/>
        <v>3</v>
      </c>
      <c r="B12" s="730" t="s">
        <v>561</v>
      </c>
      <c r="C12" s="977">
        <v>978332875.28429198</v>
      </c>
      <c r="D12" s="977"/>
      <c r="E12" s="977"/>
      <c r="F12" s="977">
        <v>54224.45</v>
      </c>
      <c r="G12" s="758">
        <f t="shared" si="0"/>
        <v>978278650.83429193</v>
      </c>
      <c r="H12" s="4"/>
      <c r="I12"/>
      <c r="J12"/>
      <c r="K12"/>
      <c r="L12"/>
    </row>
    <row r="13" spans="1:12">
      <c r="A13" s="707">
        <f t="shared" si="1"/>
        <v>4</v>
      </c>
      <c r="B13" s="730" t="s">
        <v>638</v>
      </c>
      <c r="C13" s="977">
        <v>985619270.38632596</v>
      </c>
      <c r="D13" s="977"/>
      <c r="E13" s="977"/>
      <c r="F13" s="977">
        <v>61970.799999999996</v>
      </c>
      <c r="G13" s="758">
        <f t="shared" si="0"/>
        <v>985557299.586326</v>
      </c>
      <c r="H13" s="4"/>
      <c r="I13"/>
      <c r="J13"/>
      <c r="K13"/>
      <c r="L13"/>
    </row>
    <row r="14" spans="1:12">
      <c r="A14" s="707">
        <f t="shared" si="1"/>
        <v>5</v>
      </c>
      <c r="B14" s="730" t="s">
        <v>189</v>
      </c>
      <c r="C14" s="977">
        <v>987539534.52569091</v>
      </c>
      <c r="D14" s="977"/>
      <c r="E14" s="977"/>
      <c r="F14" s="977">
        <v>69717.150000000009</v>
      </c>
      <c r="G14" s="758">
        <f t="shared" si="0"/>
        <v>987469817.37569094</v>
      </c>
      <c r="H14" s="4"/>
      <c r="I14"/>
      <c r="J14"/>
      <c r="K14"/>
      <c r="L14"/>
    </row>
    <row r="15" spans="1:12">
      <c r="A15" s="707">
        <f t="shared" si="1"/>
        <v>6</v>
      </c>
      <c r="B15" s="730" t="s">
        <v>190</v>
      </c>
      <c r="C15" s="977">
        <v>992087168.48155904</v>
      </c>
      <c r="D15" s="977"/>
      <c r="E15" s="977"/>
      <c r="F15" s="977">
        <v>77463.5</v>
      </c>
      <c r="G15" s="758">
        <f t="shared" si="0"/>
        <v>992009704.98155904</v>
      </c>
      <c r="H15" s="4"/>
      <c r="I15"/>
      <c r="J15"/>
      <c r="K15"/>
      <c r="L15"/>
    </row>
    <row r="16" spans="1:12">
      <c r="A16" s="707">
        <f t="shared" si="1"/>
        <v>7</v>
      </c>
      <c r="B16" s="730" t="s">
        <v>384</v>
      </c>
      <c r="C16" s="977">
        <v>998529808.44559002</v>
      </c>
      <c r="D16" s="977"/>
      <c r="E16" s="977"/>
      <c r="F16" s="977">
        <v>85209.85</v>
      </c>
      <c r="G16" s="758">
        <f>+C16-D16-E16-F16</f>
        <v>998444598.59559</v>
      </c>
      <c r="H16" s="4"/>
      <c r="I16"/>
      <c r="J16"/>
      <c r="K16"/>
      <c r="L16"/>
    </row>
    <row r="17" spans="1:12">
      <c r="A17" s="707">
        <f t="shared" si="1"/>
        <v>8</v>
      </c>
      <c r="B17" s="730" t="s">
        <v>191</v>
      </c>
      <c r="C17" s="977">
        <v>1006669089.2930501</v>
      </c>
      <c r="D17" s="977"/>
      <c r="E17" s="977"/>
      <c r="F17" s="977">
        <v>92956.2</v>
      </c>
      <c r="G17" s="758">
        <f>+C17-D17-E17-F17</f>
        <v>1006576133.09305</v>
      </c>
      <c r="H17" s="4"/>
      <c r="I17"/>
      <c r="J17"/>
      <c r="K17"/>
      <c r="L17"/>
    </row>
    <row r="18" spans="1:12">
      <c r="A18" s="707">
        <f t="shared" si="1"/>
        <v>9</v>
      </c>
      <c r="B18" s="730" t="s">
        <v>637</v>
      </c>
      <c r="C18" s="977">
        <v>1015261016.47813</v>
      </c>
      <c r="D18" s="977"/>
      <c r="E18" s="977"/>
      <c r="F18" s="977">
        <v>100702.55</v>
      </c>
      <c r="G18" s="758">
        <f t="shared" si="0"/>
        <v>1015160313.92813</v>
      </c>
      <c r="H18" s="4"/>
      <c r="I18"/>
      <c r="J18"/>
      <c r="K18"/>
      <c r="L18"/>
    </row>
    <row r="19" spans="1:12">
      <c r="A19" s="707">
        <f t="shared" si="1"/>
        <v>10</v>
      </c>
      <c r="B19" s="730" t="s">
        <v>194</v>
      </c>
      <c r="C19" s="977">
        <v>1018756364.1182901</v>
      </c>
      <c r="D19" s="977"/>
      <c r="E19" s="977"/>
      <c r="F19" s="977">
        <v>108448.9</v>
      </c>
      <c r="G19" s="758">
        <f t="shared" si="0"/>
        <v>1018647915.2182901</v>
      </c>
      <c r="H19" s="4"/>
      <c r="I19"/>
      <c r="J19"/>
      <c r="K19"/>
      <c r="L19"/>
    </row>
    <row r="20" spans="1:12">
      <c r="A20" s="707">
        <f t="shared" si="1"/>
        <v>11</v>
      </c>
      <c r="B20" s="730" t="s">
        <v>562</v>
      </c>
      <c r="C20" s="977">
        <v>1023045028.1944599</v>
      </c>
      <c r="D20" s="977"/>
      <c r="E20" s="977"/>
      <c r="F20" s="977">
        <v>116195.25</v>
      </c>
      <c r="G20" s="758">
        <f t="shared" si="0"/>
        <v>1022928832.9444599</v>
      </c>
      <c r="H20" s="4"/>
      <c r="I20"/>
      <c r="J20"/>
      <c r="K20"/>
      <c r="L20"/>
    </row>
    <row r="21" spans="1:12">
      <c r="A21" s="707">
        <f t="shared" si="1"/>
        <v>12</v>
      </c>
      <c r="B21" s="730" t="s">
        <v>563</v>
      </c>
      <c r="C21" s="977">
        <v>1033459410.06429</v>
      </c>
      <c r="D21" s="977"/>
      <c r="E21" s="977"/>
      <c r="F21" s="977">
        <v>123941.59999999999</v>
      </c>
      <c r="G21" s="758">
        <f t="shared" si="0"/>
        <v>1033335468.46429</v>
      </c>
      <c r="H21" s="4"/>
      <c r="I21"/>
      <c r="J21"/>
      <c r="K21"/>
      <c r="L21"/>
    </row>
    <row r="22" spans="1:12">
      <c r="A22" s="706">
        <f t="shared" si="1"/>
        <v>13</v>
      </c>
      <c r="B22" s="729" t="s">
        <v>636</v>
      </c>
      <c r="C22" s="977">
        <v>1045272016.19741</v>
      </c>
      <c r="D22" s="977"/>
      <c r="E22" s="977"/>
      <c r="F22" s="977">
        <v>131687.95000000001</v>
      </c>
      <c r="G22" s="758">
        <f t="shared" si="0"/>
        <v>1045140328.2474099</v>
      </c>
      <c r="H22" s="4"/>
      <c r="I22"/>
      <c r="J22"/>
      <c r="K22"/>
      <c r="L22"/>
    </row>
    <row r="23" spans="1:12" ht="13.5" thickBot="1">
      <c r="A23" s="728">
        <f t="shared" si="1"/>
        <v>14</v>
      </c>
      <c r="B23" s="727" t="s">
        <v>870</v>
      </c>
      <c r="C23" s="703">
        <f>SUM(C10:C22)/13</f>
        <v>1000920403.9451848</v>
      </c>
      <c r="D23" s="1084">
        <f t="shared" ref="D23:G23" si="2">SUM(D10:D22)/13</f>
        <v>0</v>
      </c>
      <c r="E23" s="1084">
        <f t="shared" si="2"/>
        <v>0</v>
      </c>
      <c r="F23" s="1084">
        <f t="shared" si="2"/>
        <v>85209.85</v>
      </c>
      <c r="G23" s="1084">
        <f t="shared" si="2"/>
        <v>1000835194.0951849</v>
      </c>
      <c r="H23" s="4"/>
      <c r="I23"/>
      <c r="J23"/>
      <c r="K23"/>
      <c r="L23"/>
    </row>
    <row r="24" spans="1:12" ht="13.5" thickTop="1">
      <c r="A24" s="79"/>
      <c r="B24" s="700"/>
      <c r="C24" s="725"/>
      <c r="D24" s="699"/>
      <c r="E24" s="699"/>
      <c r="F24" s="699"/>
      <c r="G24" s="725"/>
      <c r="H24" s="725"/>
      <c r="I24"/>
      <c r="J24"/>
      <c r="K24"/>
      <c r="L24"/>
    </row>
    <row r="25" spans="1:12" ht="12.75" customHeight="1">
      <c r="A25" s="79"/>
      <c r="B25" s="737"/>
      <c r="C25" s="1234" t="s">
        <v>687</v>
      </c>
      <c r="D25" s="1235"/>
      <c r="E25" s="1235"/>
      <c r="F25" s="1235"/>
      <c r="G25" s="1235"/>
      <c r="H25" s="1236"/>
      <c r="I25"/>
      <c r="J25"/>
      <c r="K25"/>
      <c r="L25"/>
    </row>
    <row r="26" spans="1:12" s="753" customFormat="1" ht="39">
      <c r="A26" s="736" t="s">
        <v>652</v>
      </c>
      <c r="B26" s="735" t="s">
        <v>651</v>
      </c>
      <c r="C26" s="718" t="s">
        <v>699</v>
      </c>
      <c r="D26" s="717" t="s">
        <v>698</v>
      </c>
      <c r="E26" s="717" t="s">
        <v>697</v>
      </c>
      <c r="F26" s="717" t="s">
        <v>696</v>
      </c>
      <c r="G26" s="717" t="s">
        <v>688</v>
      </c>
      <c r="H26" s="752" t="s">
        <v>632</v>
      </c>
      <c r="I26"/>
      <c r="J26"/>
      <c r="K26"/>
      <c r="L26"/>
    </row>
    <row r="27" spans="1:12" s="755" customFormat="1">
      <c r="A27" s="707"/>
      <c r="B27" s="714" t="s">
        <v>646</v>
      </c>
      <c r="C27" s="715" t="s">
        <v>645</v>
      </c>
      <c r="D27" s="713" t="s">
        <v>644</v>
      </c>
      <c r="E27" s="713" t="s">
        <v>643</v>
      </c>
      <c r="F27" s="713" t="s">
        <v>642</v>
      </c>
      <c r="G27" s="713" t="s">
        <v>664</v>
      </c>
      <c r="H27" s="754" t="s">
        <v>689</v>
      </c>
      <c r="I27"/>
      <c r="J27"/>
      <c r="K27"/>
      <c r="L27"/>
    </row>
    <row r="28" spans="1:12" s="755" customFormat="1" ht="44.25" customHeight="1">
      <c r="A28" s="707"/>
      <c r="B28" s="714" t="s">
        <v>641</v>
      </c>
      <c r="C28" s="756" t="s">
        <v>690</v>
      </c>
      <c r="D28" s="733" t="s">
        <v>691</v>
      </c>
      <c r="E28" s="733" t="s">
        <v>692</v>
      </c>
      <c r="F28" s="733" t="s">
        <v>693</v>
      </c>
      <c r="G28" s="733" t="s">
        <v>694</v>
      </c>
      <c r="H28" s="759"/>
      <c r="I28"/>
      <c r="J28"/>
      <c r="K28"/>
      <c r="L28"/>
    </row>
    <row r="29" spans="1:12">
      <c r="A29" s="707">
        <f>+A23+1</f>
        <v>15</v>
      </c>
      <c r="B29" s="731" t="s">
        <v>639</v>
      </c>
      <c r="C29" s="977"/>
      <c r="D29" s="977">
        <v>0</v>
      </c>
      <c r="E29" s="977">
        <v>25000000</v>
      </c>
      <c r="F29" s="977">
        <v>1280000000</v>
      </c>
      <c r="G29" s="977"/>
      <c r="H29" s="758">
        <f t="shared" ref="H29:H41" si="3">+C29-D29+E29+F29-G29</f>
        <v>1305000000</v>
      </c>
      <c r="I29"/>
      <c r="J29"/>
      <c r="K29"/>
      <c r="L29"/>
    </row>
    <row r="30" spans="1:12">
      <c r="A30" s="707">
        <f t="shared" ref="A30:A42" si="4">+A29+1</f>
        <v>16</v>
      </c>
      <c r="B30" s="731" t="s">
        <v>187</v>
      </c>
      <c r="C30" s="977"/>
      <c r="D30" s="977">
        <v>0</v>
      </c>
      <c r="E30" s="977">
        <v>25000000</v>
      </c>
      <c r="F30" s="977">
        <v>1280000000</v>
      </c>
      <c r="G30" s="977"/>
      <c r="H30" s="758">
        <f t="shared" si="3"/>
        <v>1305000000</v>
      </c>
      <c r="I30"/>
      <c r="J30"/>
      <c r="K30"/>
      <c r="L30"/>
    </row>
    <row r="31" spans="1:12">
      <c r="A31" s="707">
        <f t="shared" si="4"/>
        <v>17</v>
      </c>
      <c r="B31" s="730" t="s">
        <v>561</v>
      </c>
      <c r="C31" s="977"/>
      <c r="D31" s="977">
        <v>0</v>
      </c>
      <c r="E31" s="977">
        <v>25000000</v>
      </c>
      <c r="F31" s="977">
        <v>1280000000</v>
      </c>
      <c r="G31" s="977"/>
      <c r="H31" s="758">
        <f t="shared" si="3"/>
        <v>1305000000</v>
      </c>
      <c r="I31"/>
      <c r="J31"/>
      <c r="K31"/>
      <c r="L31"/>
    </row>
    <row r="32" spans="1:12">
      <c r="A32" s="707">
        <f t="shared" si="4"/>
        <v>18</v>
      </c>
      <c r="B32" s="730" t="s">
        <v>638</v>
      </c>
      <c r="C32" s="977"/>
      <c r="D32" s="977">
        <v>0</v>
      </c>
      <c r="E32" s="977">
        <v>25000000</v>
      </c>
      <c r="F32" s="977">
        <v>1280000000</v>
      </c>
      <c r="G32" s="977"/>
      <c r="H32" s="758">
        <f t="shared" si="3"/>
        <v>1305000000</v>
      </c>
      <c r="I32"/>
      <c r="J32"/>
      <c r="K32"/>
      <c r="L32"/>
    </row>
    <row r="33" spans="1:12">
      <c r="A33" s="707">
        <f t="shared" si="4"/>
        <v>19</v>
      </c>
      <c r="B33" s="730" t="s">
        <v>189</v>
      </c>
      <c r="C33" s="977"/>
      <c r="D33" s="977">
        <v>0</v>
      </c>
      <c r="E33" s="977">
        <v>25000000</v>
      </c>
      <c r="F33" s="977">
        <v>1280000000</v>
      </c>
      <c r="G33" s="977"/>
      <c r="H33" s="758">
        <f t="shared" si="3"/>
        <v>1305000000</v>
      </c>
      <c r="I33"/>
      <c r="J33"/>
      <c r="K33"/>
      <c r="L33"/>
    </row>
    <row r="34" spans="1:12">
      <c r="A34" s="707">
        <f t="shared" si="4"/>
        <v>20</v>
      </c>
      <c r="B34" s="730" t="s">
        <v>190</v>
      </c>
      <c r="C34" s="977"/>
      <c r="D34" s="977">
        <v>0</v>
      </c>
      <c r="E34" s="977">
        <v>25000000</v>
      </c>
      <c r="F34" s="977">
        <v>1530000000</v>
      </c>
      <c r="G34" s="977"/>
      <c r="H34" s="758">
        <f t="shared" si="3"/>
        <v>1555000000</v>
      </c>
      <c r="I34"/>
      <c r="J34"/>
      <c r="K34"/>
      <c r="L34"/>
    </row>
    <row r="35" spans="1:12">
      <c r="A35" s="707">
        <f t="shared" si="4"/>
        <v>21</v>
      </c>
      <c r="B35" s="730" t="s">
        <v>384</v>
      </c>
      <c r="C35" s="977"/>
      <c r="D35" s="977">
        <v>0</v>
      </c>
      <c r="E35" s="977">
        <v>25000000</v>
      </c>
      <c r="F35" s="977">
        <v>1380000000</v>
      </c>
      <c r="G35" s="977"/>
      <c r="H35" s="758">
        <f t="shared" si="3"/>
        <v>1405000000</v>
      </c>
      <c r="I35"/>
      <c r="J35"/>
      <c r="K35"/>
      <c r="L35"/>
    </row>
    <row r="36" spans="1:12">
      <c r="A36" s="707">
        <f t="shared" si="4"/>
        <v>22</v>
      </c>
      <c r="B36" s="730" t="s">
        <v>191</v>
      </c>
      <c r="C36" s="977"/>
      <c r="D36" s="977">
        <v>0</v>
      </c>
      <c r="E36" s="977">
        <v>25000000</v>
      </c>
      <c r="F36" s="977">
        <v>1380000000</v>
      </c>
      <c r="G36" s="977"/>
      <c r="H36" s="758">
        <f t="shared" si="3"/>
        <v>1405000000</v>
      </c>
      <c r="I36"/>
      <c r="J36"/>
      <c r="K36"/>
      <c r="L36"/>
    </row>
    <row r="37" spans="1:12">
      <c r="A37" s="707">
        <f t="shared" si="4"/>
        <v>23</v>
      </c>
      <c r="B37" s="730" t="s">
        <v>637</v>
      </c>
      <c r="C37" s="977"/>
      <c r="D37" s="977">
        <v>0</v>
      </c>
      <c r="E37" s="977">
        <v>25000000</v>
      </c>
      <c r="F37" s="977">
        <v>1380000000</v>
      </c>
      <c r="G37" s="977"/>
      <c r="H37" s="758">
        <f t="shared" si="3"/>
        <v>1405000000</v>
      </c>
      <c r="I37"/>
      <c r="J37"/>
      <c r="K37"/>
      <c r="L37"/>
    </row>
    <row r="38" spans="1:12">
      <c r="A38" s="707">
        <f t="shared" si="4"/>
        <v>24</v>
      </c>
      <c r="B38" s="730" t="s">
        <v>194</v>
      </c>
      <c r="C38" s="977"/>
      <c r="D38" s="977">
        <v>0</v>
      </c>
      <c r="E38" s="977">
        <v>25000000</v>
      </c>
      <c r="F38" s="977">
        <v>1315000000</v>
      </c>
      <c r="G38" s="977"/>
      <c r="H38" s="758">
        <f t="shared" si="3"/>
        <v>1340000000</v>
      </c>
      <c r="I38"/>
      <c r="J38"/>
      <c r="K38"/>
      <c r="L38"/>
    </row>
    <row r="39" spans="1:12">
      <c r="A39" s="707">
        <f t="shared" si="4"/>
        <v>25</v>
      </c>
      <c r="B39" s="730" t="s">
        <v>562</v>
      </c>
      <c r="C39" s="977"/>
      <c r="D39" s="977">
        <v>0</v>
      </c>
      <c r="E39" s="977">
        <v>25000000</v>
      </c>
      <c r="F39" s="977">
        <v>1315000000</v>
      </c>
      <c r="G39" s="977"/>
      <c r="H39" s="758">
        <f t="shared" si="3"/>
        <v>1340000000</v>
      </c>
      <c r="I39"/>
      <c r="J39"/>
      <c r="K39"/>
      <c r="L39"/>
    </row>
    <row r="40" spans="1:12">
      <c r="A40" s="707">
        <f t="shared" si="4"/>
        <v>26</v>
      </c>
      <c r="B40" s="730" t="s">
        <v>563</v>
      </c>
      <c r="C40" s="977"/>
      <c r="D40" s="977">
        <v>0</v>
      </c>
      <c r="E40" s="977">
        <v>25000000</v>
      </c>
      <c r="F40" s="977">
        <v>1315000000</v>
      </c>
      <c r="G40" s="977"/>
      <c r="H40" s="758">
        <f t="shared" si="3"/>
        <v>1340000000</v>
      </c>
      <c r="I40"/>
      <c r="J40"/>
      <c r="K40"/>
      <c r="L40"/>
    </row>
    <row r="41" spans="1:12">
      <c r="A41" s="706">
        <f t="shared" si="4"/>
        <v>27</v>
      </c>
      <c r="B41" s="729" t="s">
        <v>636</v>
      </c>
      <c r="C41" s="977"/>
      <c r="D41" s="977">
        <v>0</v>
      </c>
      <c r="E41" s="977">
        <v>25000000</v>
      </c>
      <c r="F41" s="977">
        <v>1315000000</v>
      </c>
      <c r="G41" s="977"/>
      <c r="H41" s="758">
        <f t="shared" si="3"/>
        <v>1340000000</v>
      </c>
      <c r="I41"/>
      <c r="J41"/>
      <c r="K41"/>
      <c r="L41"/>
    </row>
    <row r="42" spans="1:12" ht="13.5" thickBot="1">
      <c r="A42" s="728">
        <f t="shared" si="4"/>
        <v>28</v>
      </c>
      <c r="B42" s="727" t="s">
        <v>870</v>
      </c>
      <c r="C42" s="703">
        <f t="shared" ref="C42:H42" si="5">SUM(C29:C41)/13</f>
        <v>0</v>
      </c>
      <c r="D42" s="1084">
        <f t="shared" si="5"/>
        <v>0</v>
      </c>
      <c r="E42" s="1084">
        <f t="shared" si="5"/>
        <v>25000000</v>
      </c>
      <c r="F42" s="1084">
        <f t="shared" si="5"/>
        <v>1333076923.0769231</v>
      </c>
      <c r="G42" s="1084">
        <f t="shared" si="5"/>
        <v>0</v>
      </c>
      <c r="H42" s="703">
        <f t="shared" si="5"/>
        <v>1358076923.0769231</v>
      </c>
      <c r="I42"/>
      <c r="J42"/>
      <c r="K42"/>
      <c r="L42"/>
    </row>
    <row r="43" spans="1:12" ht="13.5" thickTop="1">
      <c r="A43" s="747"/>
      <c r="B43" s="760"/>
      <c r="C43" s="761"/>
      <c r="D43" s="762"/>
      <c r="E43" s="762"/>
      <c r="F43" s="762"/>
      <c r="G43" s="761"/>
      <c r="H43" s="761"/>
      <c r="I43"/>
      <c r="J43"/>
      <c r="K43"/>
      <c r="L43"/>
    </row>
    <row r="44" spans="1:12" ht="12.75" customHeight="1">
      <c r="A44" s="763" t="s">
        <v>695</v>
      </c>
      <c r="F44" s="427"/>
      <c r="G44" s="427"/>
      <c r="H44" s="427"/>
      <c r="I44"/>
      <c r="J44"/>
      <c r="K44"/>
    </row>
    <row r="45" spans="1:12">
      <c r="E45" s="427"/>
      <c r="F45" s="427"/>
      <c r="G45" s="427"/>
      <c r="H45" s="427"/>
      <c r="J45" s="760"/>
    </row>
    <row r="46" spans="1:12" ht="15.5">
      <c r="A46" s="765" t="s">
        <v>7</v>
      </c>
      <c r="E46" s="427"/>
      <c r="F46" s="427"/>
      <c r="G46" s="427"/>
      <c r="H46" s="79"/>
    </row>
    <row r="47" spans="1:12" ht="15.5">
      <c r="A47" s="765"/>
      <c r="B47" s="766" t="s">
        <v>646</v>
      </c>
      <c r="C47" s="766" t="s">
        <v>645</v>
      </c>
      <c r="D47" s="767" t="s">
        <v>644</v>
      </c>
      <c r="E47" s="766" t="s">
        <v>643</v>
      </c>
      <c r="F47" s="767" t="s">
        <v>642</v>
      </c>
      <c r="G47" s="766" t="s">
        <v>664</v>
      </c>
      <c r="H47" s="766" t="s">
        <v>665</v>
      </c>
    </row>
    <row r="48" spans="1:12">
      <c r="A48" s="477">
        <f>+A42+1</f>
        <v>29</v>
      </c>
      <c r="B48" s="768" t="str">
        <f>"Annual Interest Expense for "&amp;TCOS!L4</f>
        <v>Annual Interest Expense for 2024</v>
      </c>
      <c r="C48" s="769"/>
      <c r="D48" s="770"/>
      <c r="E48" s="771"/>
      <c r="F48" s="771"/>
      <c r="G48" s="771"/>
      <c r="H48" s="771"/>
      <c r="I48" s="771"/>
      <c r="J48" s="771"/>
      <c r="K48" s="771"/>
      <c r="L48" s="771"/>
    </row>
    <row r="49" spans="1:12">
      <c r="A49" s="477">
        <f t="shared" ref="A49:A56" si="6">+A48+1</f>
        <v>30</v>
      </c>
      <c r="B49" s="889" t="s">
        <v>768</v>
      </c>
      <c r="C49" s="769"/>
      <c r="D49" s="770"/>
      <c r="E49" s="773">
        <v>73908130.393548295</v>
      </c>
      <c r="F49" s="771"/>
      <c r="G49" s="771"/>
      <c r="H49" s="771"/>
      <c r="I49" s="771"/>
      <c r="J49" s="771"/>
      <c r="K49" s="771"/>
      <c r="L49" s="771"/>
    </row>
    <row r="50" spans="1:12" ht="28.5" customHeight="1">
      <c r="A50" s="477">
        <f t="shared" si="6"/>
        <v>31</v>
      </c>
      <c r="B50" s="1229" t="str">
        <f>"Less: Total Hedge Gain/Expense Accumulated from p 256-257, col. (i) of FERC Form 1  included in Ln "&amp;A49&amp;" and shown in "&amp;A74&amp;" below."</f>
        <v>Less: Total Hedge Gain/Expense Accumulated from p 256-257, col. (i) of FERC Form 1  included in Ln 30 and shown in 50 below.</v>
      </c>
      <c r="C50" s="1230"/>
      <c r="D50" s="770"/>
      <c r="E50" s="769">
        <f>+C74</f>
        <v>0</v>
      </c>
      <c r="F50" s="771"/>
      <c r="G50" s="771"/>
      <c r="H50" s="771"/>
      <c r="I50" s="771"/>
      <c r="J50" s="771"/>
      <c r="K50" s="771"/>
      <c r="L50" s="771"/>
    </row>
    <row r="51" spans="1:12" ht="16.5" customHeight="1">
      <c r="A51" s="477">
        <f t="shared" si="6"/>
        <v>32</v>
      </c>
      <c r="B51" s="774" t="str">
        <f>"Plus:  Allowed Hedge Recovery From Ln "&amp;A80&amp;"  below."</f>
        <v>Plus:  Allowed Hedge Recovery From Ln 55  below.</v>
      </c>
      <c r="C51" s="890"/>
      <c r="D51" s="770"/>
      <c r="E51" s="775">
        <f>+E80</f>
        <v>0</v>
      </c>
      <c r="F51" s="771"/>
      <c r="G51" s="771"/>
      <c r="H51" s="771"/>
      <c r="I51" s="771"/>
      <c r="J51" s="771"/>
      <c r="K51" s="771"/>
      <c r="L51" s="771"/>
    </row>
    <row r="52" spans="1:12">
      <c r="A52" s="477">
        <f t="shared" si="6"/>
        <v>33</v>
      </c>
      <c r="B52" s="889" t="s">
        <v>769</v>
      </c>
      <c r="C52" s="771"/>
      <c r="D52" s="771"/>
      <c r="E52" s="773">
        <v>626532.61136330303</v>
      </c>
      <c r="F52" s="771"/>
      <c r="G52" s="771"/>
      <c r="H52" s="771"/>
      <c r="I52" s="771"/>
      <c r="J52" s="771"/>
    </row>
    <row r="53" spans="1:12">
      <c r="A53" s="477">
        <f t="shared" si="6"/>
        <v>34</v>
      </c>
      <c r="B53" s="889" t="s">
        <v>770</v>
      </c>
      <c r="C53" s="776"/>
      <c r="D53" s="770"/>
      <c r="E53" s="773">
        <v>33480</v>
      </c>
      <c r="F53" s="771"/>
      <c r="G53" s="771"/>
      <c r="H53" s="771"/>
      <c r="I53" s="771"/>
      <c r="J53" s="771"/>
    </row>
    <row r="54" spans="1:12">
      <c r="A54" s="477">
        <f t="shared" si="6"/>
        <v>35</v>
      </c>
      <c r="B54" s="889" t="s">
        <v>771</v>
      </c>
      <c r="C54" s="776"/>
      <c r="D54" s="770"/>
      <c r="E54" s="773"/>
      <c r="F54" s="771"/>
      <c r="G54" s="771"/>
      <c r="H54" s="771"/>
      <c r="I54" s="771"/>
      <c r="J54" s="771"/>
    </row>
    <row r="55" spans="1:12" ht="13.5" thickBot="1">
      <c r="A55" s="477">
        <f t="shared" si="6"/>
        <v>36</v>
      </c>
      <c r="B55" s="889" t="s">
        <v>772</v>
      </c>
      <c r="C55" s="776"/>
      <c r="D55" s="770"/>
      <c r="E55" s="777"/>
      <c r="F55" s="771"/>
      <c r="G55" s="771"/>
      <c r="H55" s="771"/>
      <c r="I55" s="771"/>
      <c r="J55" s="771"/>
    </row>
    <row r="56" spans="1:12">
      <c r="A56" s="477">
        <f t="shared" si="6"/>
        <v>37</v>
      </c>
      <c r="B56" s="768" t="str">
        <f>"Total Interest Expense (Ln "&amp;A49&amp;" - "&amp;A50&amp;" + "&amp;A52&amp;" + "&amp;A53&amp;" - "&amp;A54&amp;" - "&amp;A55&amp;")"</f>
        <v>Total Interest Expense (Ln 30 - 31 + 33 + 34 - 35 - 36)</v>
      </c>
      <c r="C56" s="778"/>
      <c r="D56" s="779"/>
      <c r="E56" s="780">
        <f>+E49-E50+E51+E52+E53-E54-E55</f>
        <v>74568143.004911602</v>
      </c>
      <c r="F56" s="771"/>
      <c r="G56" s="771"/>
      <c r="H56" s="771"/>
      <c r="I56" s="771"/>
      <c r="J56" s="771"/>
    </row>
    <row r="57" spans="1:12" ht="13.5" thickBot="1">
      <c r="A57" s="477"/>
      <c r="B57" s="772"/>
      <c r="C57" s="776"/>
      <c r="D57" s="770"/>
      <c r="E57" s="780"/>
      <c r="F57" s="771"/>
      <c r="G57" s="771"/>
      <c r="H57" s="771"/>
      <c r="I57" s="771"/>
      <c r="J57" s="771"/>
    </row>
    <row r="58" spans="1:12" ht="13.5" thickBot="1">
      <c r="A58" s="477">
        <f>+A56+1</f>
        <v>38</v>
      </c>
      <c r="B58" s="768" t="str">
        <f>"Average Cost of Debt for "&amp;TCOS!L4&amp;" (Ln "&amp;A56&amp;"/ ln "&amp;A42&amp;" (g))"</f>
        <v>Average Cost of Debt for 2024 (Ln 37/ ln 28 (g))</v>
      </c>
      <c r="C58" s="778"/>
      <c r="D58" s="770"/>
      <c r="E58" s="781">
        <f>+E56/H42</f>
        <v>5.4907157126244735E-2</v>
      </c>
      <c r="F58" s="771"/>
      <c r="G58" s="771"/>
      <c r="H58" s="771"/>
      <c r="I58" s="771"/>
      <c r="J58" s="771"/>
    </row>
    <row r="59" spans="1:12">
      <c r="A59" s="782"/>
      <c r="B59" s="772"/>
      <c r="C59" s="776"/>
      <c r="D59" s="770"/>
      <c r="E59" s="776"/>
      <c r="F59" s="771"/>
      <c r="G59" s="771"/>
      <c r="H59" s="771"/>
      <c r="I59" s="771"/>
      <c r="J59" s="771"/>
    </row>
    <row r="60" spans="1:12" s="783" customFormat="1" ht="28.5" customHeight="1">
      <c r="A60" s="580"/>
      <c r="B60" s="1231" t="s">
        <v>0</v>
      </c>
      <c r="C60" s="1231"/>
      <c r="D60" s="1231"/>
      <c r="E60" s="1231"/>
      <c r="F60" s="581"/>
    </row>
    <row r="61" spans="1:12" s="783" customFormat="1" ht="107.25" customHeight="1">
      <c r="A61" s="582">
        <f>+A58+1</f>
        <v>39</v>
      </c>
      <c r="B61" s="1232" t="s">
        <v>314</v>
      </c>
      <c r="C61" s="1212"/>
      <c r="D61" s="1212"/>
      <c r="E61" s="1212"/>
      <c r="F61" s="427"/>
    </row>
    <row r="62" spans="1:12" s="783" customFormat="1" ht="12" customHeight="1">
      <c r="A62" s="580"/>
      <c r="B62" s="583"/>
      <c r="C62" s="583"/>
      <c r="D62" s="583"/>
      <c r="E62" s="583"/>
      <c r="G62" s="1233" t="s">
        <v>234</v>
      </c>
      <c r="H62" s="1233"/>
    </row>
    <row r="63" spans="1:12" s="783" customFormat="1" ht="52.5" customHeight="1">
      <c r="A63" s="435"/>
      <c r="B63" s="785" t="s">
        <v>361</v>
      </c>
      <c r="C63" s="784" t="str">
        <f>"Total Hedge (Gain)/Loss for "&amp;TCOS!L4</f>
        <v>Total Hedge (Gain)/Loss for 2024</v>
      </c>
      <c r="D63" s="784" t="str">
        <f>"Less Excludable Amounts (See NOTE on Line "&amp;A61&amp;")"</f>
        <v>Less Excludable Amounts (See NOTE on Line 39)</v>
      </c>
      <c r="E63" s="784" t="s">
        <v>1</v>
      </c>
      <c r="F63" s="784" t="s">
        <v>233</v>
      </c>
      <c r="G63" s="784" t="s">
        <v>285</v>
      </c>
      <c r="H63" s="784" t="s">
        <v>287</v>
      </c>
    </row>
    <row r="64" spans="1:12" s="783" customFormat="1" ht="12.75" customHeight="1">
      <c r="A64" s="435">
        <f>+A61+1</f>
        <v>40</v>
      </c>
      <c r="B64" s="978" t="s">
        <v>1165</v>
      </c>
      <c r="C64" s="681">
        <v>0</v>
      </c>
      <c r="D64" s="681">
        <v>0</v>
      </c>
      <c r="E64" s="984">
        <f>+C64-D64</f>
        <v>0</v>
      </c>
      <c r="F64" s="681">
        <v>0</v>
      </c>
      <c r="G64" s="985"/>
      <c r="H64" s="985"/>
      <c r="I64"/>
      <c r="J64"/>
    </row>
    <row r="65" spans="1:8" s="783" customFormat="1" ht="12.75" customHeight="1">
      <c r="A65" s="435">
        <f t="shared" ref="A65:A74" si="7">+A64+1</f>
        <v>41</v>
      </c>
      <c r="B65" s="978">
        <v>0</v>
      </c>
      <c r="C65" s="681">
        <v>0</v>
      </c>
      <c r="D65" s="681">
        <v>0</v>
      </c>
      <c r="E65" s="787">
        <f t="shared" ref="E65:E72" si="8">+C65-D65</f>
        <v>0</v>
      </c>
      <c r="F65" s="681">
        <v>0</v>
      </c>
      <c r="G65" s="788"/>
      <c r="H65" s="788"/>
    </row>
    <row r="66" spans="1:8" s="783" customFormat="1" ht="12.75" customHeight="1">
      <c r="A66" s="435">
        <f t="shared" si="7"/>
        <v>42</v>
      </c>
      <c r="B66" s="978">
        <v>0</v>
      </c>
      <c r="C66" s="681">
        <v>0</v>
      </c>
      <c r="D66" s="681">
        <v>0</v>
      </c>
      <c r="E66" s="787">
        <f t="shared" si="8"/>
        <v>0</v>
      </c>
      <c r="F66" s="681">
        <v>0</v>
      </c>
      <c r="G66" s="788"/>
      <c r="H66" s="788"/>
    </row>
    <row r="67" spans="1:8" s="783" customFormat="1" ht="12.75" customHeight="1">
      <c r="A67" s="435">
        <f t="shared" si="7"/>
        <v>43</v>
      </c>
      <c r="B67" s="978"/>
      <c r="C67" s="681"/>
      <c r="D67" s="789"/>
      <c r="E67" s="787">
        <f t="shared" si="8"/>
        <v>0</v>
      </c>
      <c r="F67" s="681"/>
      <c r="G67" s="788"/>
      <c r="H67" s="788"/>
    </row>
    <row r="68" spans="1:8" s="783" customFormat="1" ht="12.75" customHeight="1">
      <c r="A68" s="435">
        <f t="shared" si="7"/>
        <v>44</v>
      </c>
      <c r="B68" s="786"/>
      <c r="C68" s="681"/>
      <c r="D68" s="786"/>
      <c r="E68" s="787">
        <f t="shared" si="8"/>
        <v>0</v>
      </c>
      <c r="F68" s="681"/>
      <c r="G68" s="788"/>
      <c r="H68" s="788"/>
    </row>
    <row r="69" spans="1:8" s="783" customFormat="1" ht="12.75" customHeight="1">
      <c r="A69" s="435">
        <f t="shared" si="7"/>
        <v>45</v>
      </c>
      <c r="B69" s="786"/>
      <c r="C69" s="681"/>
      <c r="D69" s="786"/>
      <c r="E69" s="787">
        <f t="shared" si="8"/>
        <v>0</v>
      </c>
      <c r="F69" s="681"/>
      <c r="G69" s="788"/>
      <c r="H69" s="788"/>
    </row>
    <row r="70" spans="1:8" s="783" customFormat="1" ht="12.75" customHeight="1">
      <c r="A70" s="435">
        <f t="shared" si="7"/>
        <v>46</v>
      </c>
      <c r="B70" s="786"/>
      <c r="C70" s="681"/>
      <c r="D70" s="786"/>
      <c r="E70" s="787">
        <f t="shared" si="8"/>
        <v>0</v>
      </c>
      <c r="F70" s="681"/>
      <c r="G70" s="788"/>
      <c r="H70" s="788"/>
    </row>
    <row r="71" spans="1:8" s="783" customFormat="1" ht="12.75" customHeight="1">
      <c r="A71" s="435">
        <f t="shared" si="7"/>
        <v>47</v>
      </c>
      <c r="B71" s="786"/>
      <c r="C71" s="681"/>
      <c r="D71" s="790"/>
      <c r="E71" s="787">
        <f t="shared" si="8"/>
        <v>0</v>
      </c>
      <c r="F71" s="681"/>
      <c r="G71" s="788"/>
      <c r="H71" s="788"/>
    </row>
    <row r="72" spans="1:8" s="783" customFormat="1" ht="12.75" customHeight="1">
      <c r="A72" s="435">
        <f t="shared" si="7"/>
        <v>48</v>
      </c>
      <c r="B72" s="786"/>
      <c r="C72" s="681"/>
      <c r="D72" s="773"/>
      <c r="E72" s="787">
        <f t="shared" si="8"/>
        <v>0</v>
      </c>
      <c r="F72" s="791"/>
      <c r="G72" s="791"/>
      <c r="H72" s="791"/>
    </row>
    <row r="73" spans="1:8" s="783" customFormat="1" ht="12.75" customHeight="1">
      <c r="A73" s="435">
        <f t="shared" si="7"/>
        <v>49</v>
      </c>
      <c r="B73" s="4"/>
      <c r="C73" s="792"/>
      <c r="D73" s="792"/>
      <c r="E73" s="793"/>
      <c r="F73" s="787">
        <f>SUM(F64:F72)</f>
        <v>0</v>
      </c>
    </row>
    <row r="74" spans="1:8" s="783" customFormat="1" ht="12.75" customHeight="1">
      <c r="A74" s="435">
        <f t="shared" si="7"/>
        <v>50</v>
      </c>
      <c r="B74" s="772" t="s">
        <v>8</v>
      </c>
      <c r="C74" s="780">
        <f>SUM(C64:C72)</f>
        <v>0</v>
      </c>
      <c r="D74" s="780">
        <f>SUM(D64:D72)</f>
        <v>0</v>
      </c>
    </row>
    <row r="75" spans="1:8" s="783" customFormat="1" ht="21" customHeight="1">
      <c r="A75" s="435"/>
      <c r="B75" s="772"/>
      <c r="C75" s="780"/>
      <c r="D75" s="780"/>
      <c r="E75" s="780"/>
    </row>
    <row r="76" spans="1:8" s="783" customFormat="1" ht="14.25" customHeight="1">
      <c r="A76" s="435">
        <f>+A74+1</f>
        <v>51</v>
      </c>
      <c r="B76" s="772" t="str">
        <f>"Hedge Gain or Loss Prior to Application of Recovery Limit (Sum of Lines "&amp;A64&amp;" to "&amp;A72&amp;")"</f>
        <v>Hedge Gain or Loss Prior to Application of Recovery Limit (Sum of Lines 40 to 48)</v>
      </c>
      <c r="C76" s="780"/>
      <c r="D76" s="780"/>
      <c r="E76" s="780">
        <f>SUM(E64:E72)</f>
        <v>0</v>
      </c>
    </row>
    <row r="77" spans="1:8" s="783" customFormat="1" ht="12.75" customHeight="1">
      <c r="A77" s="435">
        <f>+A76+1</f>
        <v>52</v>
      </c>
      <c r="B77" s="794" t="str">
        <f>"Total Average Capital Structure Balance for "&amp;TCOS!L4&amp;" (TCOS, Ln "&amp;TCOS!B258&amp;")"</f>
        <v>Total Average Capital Structure Balance for 2024 (TCOS, Ln 157)</v>
      </c>
      <c r="C77" s="776"/>
      <c r="D77" s="770"/>
      <c r="E77" s="795">
        <f>TCOS!G258</f>
        <v>2358912117.1721077</v>
      </c>
      <c r="H77" s="787"/>
    </row>
    <row r="78" spans="1:8" s="783" customFormat="1" ht="12.75" customHeight="1">
      <c r="A78" s="435">
        <f>+A77+1</f>
        <v>53</v>
      </c>
      <c r="B78" s="772" t="s">
        <v>491</v>
      </c>
      <c r="C78" s="776"/>
      <c r="D78" s="770"/>
      <c r="E78" s="796">
        <v>5.0000000000000001E-4</v>
      </c>
      <c r="G78" s="797"/>
    </row>
    <row r="79" spans="1:8" s="783" customFormat="1" ht="12.75" customHeight="1" thickBot="1">
      <c r="A79" s="435">
        <f>+A78+1</f>
        <v>54</v>
      </c>
      <c r="B79" s="772" t="s">
        <v>492</v>
      </c>
      <c r="C79" s="776"/>
      <c r="D79" s="770"/>
      <c r="E79" s="798">
        <f>+E77*E78</f>
        <v>1179456.0585860538</v>
      </c>
    </row>
    <row r="80" spans="1:8" s="783" customFormat="1" ht="12.75" customHeight="1" thickBot="1">
      <c r="A80" s="435">
        <f>+A79+1</f>
        <v>55</v>
      </c>
      <c r="B80" s="768" t="str">
        <f>"Recoverable Hedge Amortization (Lesser of Ln "&amp;A76&amp;" or Ln "&amp;A79&amp;")"</f>
        <v>Recoverable Hedge Amortization (Lesser of Ln 51 or Ln 54)</v>
      </c>
      <c r="C80" s="776"/>
      <c r="D80" s="770"/>
      <c r="E80" s="799">
        <f>+IF(E79&lt;E76,E79,E76)</f>
        <v>0</v>
      </c>
    </row>
    <row r="81" spans="1:5" s="783" customFormat="1" ht="12.75" customHeight="1">
      <c r="A81" s="435"/>
      <c r="B81" s="772"/>
      <c r="C81" s="776"/>
      <c r="D81" s="770"/>
      <c r="E81" s="776"/>
    </row>
    <row r="82" spans="1:5" s="783" customFormat="1" ht="12.75" customHeight="1">
      <c r="A82" s="800" t="s">
        <v>9</v>
      </c>
      <c r="B82" s="801"/>
      <c r="C82" s="776"/>
      <c r="D82" s="770"/>
      <c r="E82" s="776"/>
    </row>
    <row r="83" spans="1:5" s="783" customFormat="1" ht="12.75" customHeight="1">
      <c r="A83" s="435"/>
      <c r="B83" s="772"/>
      <c r="C83" s="776"/>
      <c r="D83" s="770"/>
      <c r="E83" s="776"/>
    </row>
    <row r="84" spans="1:5" s="783" customFormat="1" ht="12.75" customHeight="1">
      <c r="A84" s="435"/>
      <c r="B84" s="802" t="s">
        <v>260</v>
      </c>
      <c r="C84" s="803"/>
      <c r="D84" s="770"/>
      <c r="E84" s="803" t="s">
        <v>508</v>
      </c>
    </row>
    <row r="85" spans="1:5" s="783" customFormat="1" ht="12.75" customHeight="1">
      <c r="A85" s="435">
        <f>+A80+1</f>
        <v>56</v>
      </c>
      <c r="B85" s="770" t="str">
        <f>""&amp;C$85*100&amp;"% Series - "&amp;C$86&amp;" - Dividend Rate (p. 250-251)"</f>
        <v>0% Series - 0 - Dividend Rate (p. 250-251)</v>
      </c>
      <c r="C85" s="804">
        <v>0</v>
      </c>
      <c r="D85" s="804">
        <v>0</v>
      </c>
      <c r="E85" s="803"/>
    </row>
    <row r="86" spans="1:5" s="783" customFormat="1" ht="12.75" customHeight="1">
      <c r="A86" s="435">
        <f>+A85+1</f>
        <v>57</v>
      </c>
      <c r="B86" s="770" t="str">
        <f>""&amp;C$85*100&amp;"% Series - "&amp;C$86&amp;" - Par Value (p. 250-251)"</f>
        <v>0% Series - 0 - Par Value (p. 250-251)</v>
      </c>
      <c r="C86" s="805">
        <v>0</v>
      </c>
      <c r="D86" s="805">
        <v>0</v>
      </c>
      <c r="E86" s="803"/>
    </row>
    <row r="87" spans="1:5" s="783" customFormat="1" ht="12.75" customHeight="1">
      <c r="A87" s="435">
        <f>+A86+1</f>
        <v>58</v>
      </c>
      <c r="B87" s="770" t="str">
        <f>""&amp;C$85*100&amp;"% Series - "&amp;C$86&amp;" - Shares O/S (p.250-251) "</f>
        <v xml:space="preserve">0% Series - 0 - Shares O/S (p.250-251) </v>
      </c>
      <c r="C87" s="773">
        <v>0</v>
      </c>
      <c r="D87" s="773">
        <v>0</v>
      </c>
      <c r="E87" s="806"/>
    </row>
    <row r="88" spans="1:5" s="783" customFormat="1" ht="12.75" customHeight="1">
      <c r="A88" s="435">
        <f>+A87+1</f>
        <v>59</v>
      </c>
      <c r="B88" s="770" t="str">
        <f>""&amp;C$85*100&amp;"% Series - "&amp;C$86&amp;" - Monetary Value (Ln "&amp;A86&amp;" * Ln "&amp;A87&amp;")"</f>
        <v>0% Series - 0 - Monetary Value (Ln 57 * Ln 58)</v>
      </c>
      <c r="C88" s="807">
        <f>+C87*C86</f>
        <v>0</v>
      </c>
      <c r="D88" s="807">
        <f>+D87*D86</f>
        <v>0</v>
      </c>
      <c r="E88" s="473">
        <f>IF(C88=D88=0,0,AVERAGE(C88:D88))</f>
        <v>0</v>
      </c>
    </row>
    <row r="89" spans="1:5" s="783" customFormat="1" ht="12.75" customHeight="1">
      <c r="A89" s="435">
        <f>+A88+1</f>
        <v>60</v>
      </c>
      <c r="B89" s="770" t="str">
        <f>""&amp;C$85*100&amp;"% Series - "&amp;C$86&amp;" -  Dividend Amount (Ln "&amp;A85&amp;" * Ln "&amp;A88&amp;")"</f>
        <v>0% Series - 0 -  Dividend Amount (Ln 56 * Ln 59)</v>
      </c>
      <c r="C89" s="807">
        <f>+C88*C85</f>
        <v>0</v>
      </c>
      <c r="D89" s="807">
        <f>+D88*D85</f>
        <v>0</v>
      </c>
      <c r="E89" s="473">
        <f>IF(C89=D89=0,0,AVERAGE(C89:D89))</f>
        <v>0</v>
      </c>
    </row>
    <row r="90" spans="1:5" s="783" customFormat="1" ht="12.75" customHeight="1">
      <c r="A90" s="435"/>
      <c r="B90" s="770"/>
      <c r="C90" s="807"/>
      <c r="D90" s="797"/>
      <c r="E90" s="808"/>
    </row>
    <row r="91" spans="1:5" s="783" customFormat="1" ht="12.75" customHeight="1">
      <c r="A91" s="435">
        <f>+A89+1</f>
        <v>61</v>
      </c>
      <c r="B91" s="770" t="str">
        <f>""&amp;C$91*100&amp;"% Series - "&amp;C$92&amp;" - Dividend Rate (p. 250-251)"</f>
        <v>0% Series - 0 - Dividend Rate (p. 250-251)</v>
      </c>
      <c r="C91" s="804">
        <v>0</v>
      </c>
      <c r="D91" s="804">
        <v>0</v>
      </c>
      <c r="E91" s="808"/>
    </row>
    <row r="92" spans="1:5" s="783" customFormat="1" ht="12.75" customHeight="1">
      <c r="A92" s="435">
        <f>+A91+1</f>
        <v>62</v>
      </c>
      <c r="B92" s="770" t="str">
        <f>""&amp;C$91*100&amp;"% Series - "&amp;C$92&amp;" - Par Value (p. 250-251)"</f>
        <v>0% Series - 0 - Par Value (p. 250-251)</v>
      </c>
      <c r="C92" s="805">
        <v>0</v>
      </c>
      <c r="D92" s="805">
        <v>0</v>
      </c>
      <c r="E92" s="808"/>
    </row>
    <row r="93" spans="1:5" s="783" customFormat="1" ht="12.75" customHeight="1">
      <c r="A93" s="435">
        <f>+A92+1</f>
        <v>63</v>
      </c>
      <c r="B93" s="770" t="str">
        <f>""&amp;C$91*100&amp;"% Series - "&amp;C$92&amp;" - Shares O/S (p.250-251) "</f>
        <v xml:space="preserve">0% Series - 0 - Shares O/S (p.250-251) </v>
      </c>
      <c r="C93" s="773">
        <v>0</v>
      </c>
      <c r="D93" s="773">
        <v>0</v>
      </c>
      <c r="E93" s="808"/>
    </row>
    <row r="94" spans="1:5" s="783" customFormat="1" ht="12.75" customHeight="1">
      <c r="A94" s="435">
        <f>+A93+1</f>
        <v>64</v>
      </c>
      <c r="B94" s="770" t="str">
        <f>""&amp;C$91*100&amp;"% Series - "&amp;C$92&amp;" - Monetary Value (Ln "&amp;A92&amp;" * Ln "&amp;A93&amp;")"</f>
        <v>0% Series - 0 - Monetary Value (Ln 62 * Ln 63)</v>
      </c>
      <c r="C94" s="769">
        <f>+C93*C92</f>
        <v>0</v>
      </c>
      <c r="D94" s="769">
        <f>+D93*D92</f>
        <v>0</v>
      </c>
      <c r="E94" s="473">
        <f>IF(C94=D94=0,0,AVERAGE(C94:D94))</f>
        <v>0</v>
      </c>
    </row>
    <row r="95" spans="1:5" s="783" customFormat="1" ht="12.75" customHeight="1">
      <c r="A95" s="435">
        <f>+A94+1</f>
        <v>65</v>
      </c>
      <c r="B95" s="770" t="str">
        <f>""&amp;C$91*100&amp;"% Series - "&amp;C$92&amp;" -  Dividend Amount (Ln "&amp;A91&amp;" * Ln "&amp;A94&amp;")"</f>
        <v>0% Series - 0 -  Dividend Amount (Ln 61 * Ln 64)</v>
      </c>
      <c r="C95" s="769">
        <f>+C94*C91</f>
        <v>0</v>
      </c>
      <c r="D95" s="769">
        <f>+D94*D91</f>
        <v>0</v>
      </c>
      <c r="E95" s="473">
        <f>IF(C95=D95=0,0,AVERAGE(C95:D95))</f>
        <v>0</v>
      </c>
    </row>
    <row r="96" spans="1:5" s="783" customFormat="1" ht="12.75" customHeight="1">
      <c r="A96" s="435"/>
      <c r="B96" s="770"/>
      <c r="C96" s="769"/>
      <c r="D96" s="769"/>
      <c r="E96" s="473"/>
    </row>
    <row r="97" spans="1:6" s="783" customFormat="1" ht="12.75" customHeight="1">
      <c r="A97" s="435">
        <f>+A95+1</f>
        <v>66</v>
      </c>
      <c r="B97" s="770" t="str">
        <f>""&amp;C$97*100&amp;"% Series - "&amp;C$98&amp;" - Dividend Rate (p. 250-251)"</f>
        <v>0% Series - 0 - Dividend Rate (p. 250-251)</v>
      </c>
      <c r="C97" s="804">
        <v>0</v>
      </c>
      <c r="D97" s="804">
        <v>0</v>
      </c>
      <c r="E97" s="473"/>
    </row>
    <row r="98" spans="1:6" s="783" customFormat="1" ht="12.75" customHeight="1">
      <c r="A98" s="435">
        <f>+A97+1</f>
        <v>67</v>
      </c>
      <c r="B98" s="770" t="str">
        <f>""&amp;C$97*100&amp;"% Series - "&amp;C$98&amp;" - Par Value (p. 250-251)"</f>
        <v>0% Series - 0 - Par Value (p. 250-251)</v>
      </c>
      <c r="C98" s="805">
        <v>0</v>
      </c>
      <c r="D98" s="805">
        <v>0</v>
      </c>
      <c r="E98" s="473"/>
    </row>
    <row r="99" spans="1:6" s="783" customFormat="1" ht="12.75" customHeight="1">
      <c r="A99" s="435">
        <f>+A98+1</f>
        <v>68</v>
      </c>
      <c r="B99" s="770" t="str">
        <f>""&amp;C$97*100&amp;"% Series - "&amp;C$98&amp;" - Shares O/S (p.250-251) "</f>
        <v xml:space="preserve">0% Series - 0 - Shares O/S (p.250-251) </v>
      </c>
      <c r="C99" s="773">
        <v>0</v>
      </c>
      <c r="D99" s="773">
        <v>0</v>
      </c>
      <c r="E99" s="808"/>
    </row>
    <row r="100" spans="1:6" s="783" customFormat="1" ht="12.75" customHeight="1">
      <c r="A100" s="435">
        <f>+A99+1</f>
        <v>69</v>
      </c>
      <c r="B100" s="770" t="str">
        <f>""&amp;C$97*100&amp;"% Series - "&amp;C$98&amp;" - Monetary Value (Ln "&amp;A98&amp;" * Ln "&amp;A99&amp;")"</f>
        <v>0% Series - 0 - Monetary Value (Ln 67 * Ln 68)</v>
      </c>
      <c r="C100" s="769">
        <f>+C99*C98</f>
        <v>0</v>
      </c>
      <c r="D100" s="769">
        <f>+D99*D98</f>
        <v>0</v>
      </c>
      <c r="E100" s="473">
        <f>IF(C100=D100=0,0,AVERAGE(C100:D100))</f>
        <v>0</v>
      </c>
    </row>
    <row r="101" spans="1:6" s="783" customFormat="1" ht="12.75" customHeight="1">
      <c r="A101" s="435">
        <f>+A100+1</f>
        <v>70</v>
      </c>
      <c r="B101" s="770" t="str">
        <f>""&amp;C$97*100&amp;"% Series - "&amp;C$98&amp;" -  Dividend Amount (Ln "&amp;A97&amp;" * Ln "&amp;A100&amp;")"</f>
        <v>0% Series - 0 -  Dividend Amount (Ln 66 * Ln 69)</v>
      </c>
      <c r="C101" s="769">
        <f>+C100*C97</f>
        <v>0</v>
      </c>
      <c r="D101" s="769">
        <f>+D100*D97</f>
        <v>0</v>
      </c>
      <c r="E101" s="473">
        <f>IF(C101=D101=0,0,AVERAGE(C101:D101))</f>
        <v>0</v>
      </c>
    </row>
    <row r="102" spans="1:6" s="783" customFormat="1" ht="12.75" customHeight="1">
      <c r="A102" s="435"/>
      <c r="B102" s="770"/>
      <c r="C102" s="769"/>
      <c r="D102" s="769"/>
    </row>
    <row r="103" spans="1:6" s="783" customFormat="1" ht="12.75" customHeight="1">
      <c r="A103" s="435">
        <f>+A101+1</f>
        <v>71</v>
      </c>
      <c r="B103" s="779" t="str">
        <f>"Balance of Preferred Stock (Lns "&amp;A88&amp;", "&amp;A94&amp;", "&amp;A100&amp;")"</f>
        <v>Balance of Preferred Stock (Lns 59, 64, 69)</v>
      </c>
      <c r="C103" s="769">
        <f>+C88+C94+C100</f>
        <v>0</v>
      </c>
      <c r="D103" s="769">
        <f>+D88+D94+D100</f>
        <v>0</v>
      </c>
      <c r="E103" s="809">
        <f>+E88+E94+E100</f>
        <v>0</v>
      </c>
      <c r="F103" s="770" t="s">
        <v>315</v>
      </c>
    </row>
    <row r="104" spans="1:6" s="783" customFormat="1" ht="12.75" customHeight="1" thickBot="1">
      <c r="A104" s="435">
        <f>+A103+1</f>
        <v>72</v>
      </c>
      <c r="B104" s="779" t="str">
        <f>"Dividends on Preferred Stock (Lns "&amp;A89&amp;", "&amp;A95&amp;", "&amp;A101&amp;")"</f>
        <v>Dividends on Preferred Stock (Lns 60, 65, 70)</v>
      </c>
      <c r="C104" s="810">
        <f>+C95+C89+C101</f>
        <v>0</v>
      </c>
      <c r="D104" s="810">
        <f>+D95+D89+D101</f>
        <v>0</v>
      </c>
      <c r="E104" s="811">
        <f>+E101+E95+E89</f>
        <v>0</v>
      </c>
    </row>
    <row r="105" spans="1:6" s="783" customFormat="1" ht="12.75" customHeight="1" thickBot="1">
      <c r="A105" s="435">
        <f>+A104+1</f>
        <v>73</v>
      </c>
      <c r="B105" s="779" t="str">
        <f>"Average Cost of Preferred Stock (Ln "&amp;A104&amp;"/"&amp;A103&amp;")"</f>
        <v>Average Cost of Preferred Stock (Ln 72/71)</v>
      </c>
      <c r="C105" s="776">
        <f>IF(C103=0,0,C104/C103)</f>
        <v>0</v>
      </c>
      <c r="D105" s="776">
        <f>IF(D103=0,0,D104/D103)</f>
        <v>0</v>
      </c>
      <c r="E105" s="781">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&amp;RPage &amp;P of &amp;N
</oddHeader>
  </headerFooter>
  <rowBreaks count="2" manualBreakCount="2">
    <brk id="44" max="16383" man="1"/>
    <brk id="8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view="pageBreakPreview" zoomScale="80" zoomScaleNormal="100" zoomScaleSheetLayoutView="80" workbookViewId="0">
      <selection activeCell="A3" sqref="A3:O3"/>
    </sheetView>
  </sheetViews>
  <sheetFormatPr defaultRowHeight="12.5"/>
  <cols>
    <col min="2" max="2" width="11.81640625" customWidth="1"/>
    <col min="3" max="3" width="1" customWidth="1"/>
    <col min="8" max="8" width="1.7265625" customWidth="1"/>
    <col min="9" max="9" width="9.81640625" customWidth="1"/>
    <col min="10" max="10" width="1.7265625" customWidth="1"/>
    <col min="11" max="11" width="12.54296875" customWidth="1"/>
    <col min="12" max="12" width="1.7265625" customWidth="1"/>
    <col min="13" max="13" width="13.7265625" customWidth="1"/>
    <col min="14" max="14" width="1.1796875" customWidth="1"/>
    <col min="15" max="15" width="14.81640625" customWidth="1"/>
    <col min="16" max="16" width="2.54296875" customWidth="1"/>
    <col min="17" max="17" width="12.7265625" customWidth="1"/>
    <col min="18" max="18" width="1.81640625" customWidth="1"/>
    <col min="19" max="19" width="17.54296875" customWidth="1"/>
    <col min="20" max="20" width="1.81640625" customWidth="1"/>
    <col min="21" max="21" width="10.453125" customWidth="1"/>
  </cols>
  <sheetData>
    <row r="1" spans="1:21" ht="15.5">
      <c r="A1" s="694" t="s">
        <v>116</v>
      </c>
    </row>
    <row r="2" spans="1:21" ht="15.5">
      <c r="A2" s="694" t="s">
        <v>116</v>
      </c>
    </row>
    <row r="3" spans="1:21" ht="18">
      <c r="A3" s="1217" t="s">
        <v>389</v>
      </c>
      <c r="B3" s="1217"/>
      <c r="C3" s="1217"/>
      <c r="D3" s="1217"/>
      <c r="E3" s="1217"/>
      <c r="F3" s="1217"/>
      <c r="G3" s="1217"/>
      <c r="H3" s="1217"/>
      <c r="I3" s="1217"/>
      <c r="J3" s="1217"/>
      <c r="K3" s="1217"/>
      <c r="L3" s="1217"/>
      <c r="M3" s="1217"/>
      <c r="N3" s="1217"/>
      <c r="O3" s="1217"/>
    </row>
    <row r="4" spans="1:21" ht="18">
      <c r="A4" s="1216" t="str">
        <f>"Cost of Service Formula Rate Using Actual/Projected FF1 Balances"</f>
        <v>Cost of Service Formula Rate Using Actual/Projected FF1 Balances</v>
      </c>
      <c r="B4" s="1216"/>
      <c r="C4" s="1216"/>
      <c r="D4" s="1216"/>
      <c r="E4" s="1216"/>
      <c r="F4" s="1216"/>
      <c r="G4" s="1216"/>
      <c r="H4" s="1216"/>
      <c r="I4" s="1216"/>
      <c r="J4" s="1216"/>
      <c r="K4" s="1216"/>
      <c r="L4" s="1216"/>
      <c r="M4" s="1216"/>
      <c r="N4" s="1216"/>
      <c r="O4" s="1216"/>
    </row>
    <row r="5" spans="1:21" ht="18">
      <c r="A5" s="1216" t="s">
        <v>241</v>
      </c>
      <c r="B5" s="1216"/>
      <c r="C5" s="1216"/>
      <c r="D5" s="1216"/>
      <c r="E5" s="1216"/>
      <c r="F5" s="1216"/>
      <c r="G5" s="1216"/>
      <c r="H5" s="1216"/>
      <c r="I5" s="1216"/>
      <c r="J5" s="1216"/>
      <c r="K5" s="1216"/>
      <c r="L5" s="1216"/>
      <c r="M5" s="1216"/>
      <c r="N5" s="1216"/>
      <c r="O5" s="1216"/>
    </row>
    <row r="6" spans="1:21" ht="18">
      <c r="A6" s="1210" t="str">
        <f>+TCOS!F9</f>
        <v>KENTUCKY POWER COMPANY</v>
      </c>
      <c r="B6" s="1210"/>
      <c r="C6" s="1210"/>
      <c r="D6" s="1210"/>
      <c r="E6" s="1210"/>
      <c r="F6" s="1210"/>
      <c r="G6" s="1210"/>
      <c r="H6" s="1210"/>
      <c r="I6" s="1210"/>
      <c r="J6" s="1210"/>
      <c r="K6" s="1210"/>
      <c r="L6" s="1210"/>
      <c r="M6" s="1210"/>
      <c r="N6" s="1210"/>
      <c r="O6" s="1210"/>
    </row>
    <row r="7" spans="1:21" ht="12.75" customHeight="1">
      <c r="A7" s="131"/>
      <c r="B7" s="131"/>
      <c r="C7" s="131"/>
      <c r="D7" s="131"/>
      <c r="E7" s="131"/>
      <c r="F7" s="131"/>
      <c r="G7" s="131"/>
      <c r="H7" s="131"/>
      <c r="I7" s="131"/>
      <c r="J7" s="131"/>
      <c r="K7" s="131"/>
      <c r="L7" s="131"/>
    </row>
    <row r="8" spans="1:21" ht="12.75" customHeight="1">
      <c r="A8" s="1238" t="s">
        <v>392</v>
      </c>
      <c r="B8" s="1238"/>
      <c r="C8" s="1238"/>
      <c r="D8" s="1238"/>
      <c r="E8" s="1238"/>
      <c r="F8" s="1238"/>
      <c r="G8" s="1238"/>
      <c r="H8" s="1238"/>
      <c r="I8" s="1238"/>
      <c r="J8" s="1238"/>
      <c r="K8" s="1238"/>
      <c r="L8" s="1238"/>
      <c r="M8" s="1238"/>
      <c r="N8" s="1238"/>
      <c r="O8" s="1238"/>
    </row>
    <row r="9" spans="1:21" ht="12.75" customHeight="1">
      <c r="A9" s="1238"/>
      <c r="B9" s="1238"/>
      <c r="C9" s="1238"/>
      <c r="D9" s="1238"/>
      <c r="E9" s="1238"/>
      <c r="F9" s="1238"/>
      <c r="G9" s="1238"/>
      <c r="H9" s="1238"/>
      <c r="I9" s="1238"/>
      <c r="J9" s="1238"/>
      <c r="K9" s="1238"/>
      <c r="L9" s="1238"/>
      <c r="M9" s="1238"/>
      <c r="N9" s="1238"/>
      <c r="O9" s="1238"/>
    </row>
    <row r="10" spans="1:21">
      <c r="A10" s="1238"/>
      <c r="B10" s="1238"/>
      <c r="C10" s="1238"/>
      <c r="D10" s="1238"/>
      <c r="E10" s="1238"/>
      <c r="F10" s="1238"/>
      <c r="G10" s="1238"/>
      <c r="H10" s="1238"/>
      <c r="I10" s="1238"/>
      <c r="J10" s="1238"/>
      <c r="K10" s="1238"/>
      <c r="L10" s="1238"/>
      <c r="M10" s="1238"/>
      <c r="N10" s="1238"/>
      <c r="O10" s="1238"/>
    </row>
    <row r="11" spans="1:21">
      <c r="A11" s="1238"/>
      <c r="B11" s="1238"/>
      <c r="C11" s="1238"/>
      <c r="D11" s="1238"/>
      <c r="E11" s="1238"/>
      <c r="F11" s="1238"/>
      <c r="G11" s="1238"/>
      <c r="H11" s="1238"/>
      <c r="I11" s="1238"/>
      <c r="J11" s="1238"/>
      <c r="K11" s="1238"/>
      <c r="L11" s="1238"/>
      <c r="M11" s="1238"/>
      <c r="N11" s="1238"/>
      <c r="O11" s="1238"/>
    </row>
    <row r="12" spans="1:21">
      <c r="B12" s="1" t="s">
        <v>164</v>
      </c>
      <c r="C12" s="1"/>
      <c r="D12" s="1162" t="s">
        <v>165</v>
      </c>
      <c r="E12" s="1162"/>
      <c r="F12" s="1162"/>
      <c r="G12" s="1162"/>
      <c r="H12" s="1"/>
      <c r="I12" s="1" t="s">
        <v>4</v>
      </c>
      <c r="J12" s="1"/>
      <c r="K12" s="1" t="s">
        <v>167</v>
      </c>
      <c r="L12" s="1"/>
      <c r="M12" s="1" t="s">
        <v>85</v>
      </c>
      <c r="N12" s="1"/>
      <c r="O12" s="1" t="s">
        <v>86</v>
      </c>
      <c r="P12" s="1"/>
      <c r="Q12" s="1" t="s">
        <v>20</v>
      </c>
      <c r="R12" s="1"/>
      <c r="S12" s="1" t="s">
        <v>92</v>
      </c>
      <c r="T12" s="1"/>
      <c r="U12" s="79" t="s">
        <v>502</v>
      </c>
    </row>
    <row r="13" spans="1:21" ht="13">
      <c r="I13" s="1237" t="s">
        <v>18</v>
      </c>
      <c r="Q13" s="1239" t="s">
        <v>19</v>
      </c>
      <c r="S13" s="1237" t="s">
        <v>21</v>
      </c>
      <c r="U13" s="242" t="s">
        <v>81</v>
      </c>
    </row>
    <row r="14" spans="1:21" ht="13">
      <c r="A14" s="140" t="s">
        <v>17</v>
      </c>
      <c r="B14" s="140" t="s">
        <v>13</v>
      </c>
      <c r="C14" s="140"/>
      <c r="D14" s="176" t="s">
        <v>14</v>
      </c>
      <c r="E14" s="140"/>
      <c r="F14" s="140"/>
      <c r="G14" s="140"/>
      <c r="H14" s="140"/>
      <c r="I14" s="1228"/>
      <c r="J14" s="140"/>
      <c r="K14" s="140" t="s">
        <v>15</v>
      </c>
      <c r="L14" s="140"/>
      <c r="M14" s="140" t="s">
        <v>16</v>
      </c>
      <c r="N14" s="140"/>
      <c r="O14" s="140" t="s">
        <v>495</v>
      </c>
      <c r="Q14" s="1239"/>
      <c r="S14" s="1237"/>
      <c r="U14" s="242" t="s">
        <v>308</v>
      </c>
    </row>
    <row r="15" spans="1:21" ht="13">
      <c r="A15" s="140"/>
      <c r="B15" s="140"/>
      <c r="C15" s="140"/>
      <c r="D15" s="176"/>
      <c r="E15" s="140"/>
      <c r="F15" s="140"/>
      <c r="G15" s="140"/>
      <c r="H15" s="140"/>
      <c r="I15" t="s">
        <v>493</v>
      </c>
      <c r="J15" s="140"/>
      <c r="K15" s="140"/>
      <c r="L15" s="140"/>
      <c r="M15" s="140"/>
      <c r="N15" s="140"/>
      <c r="O15" s="140"/>
      <c r="Q15" s="199"/>
      <c r="S15" s="140" t="s">
        <v>495</v>
      </c>
    </row>
    <row r="16" spans="1:21">
      <c r="I16" t="s">
        <v>494</v>
      </c>
    </row>
    <row r="17" spans="1:21">
      <c r="A17" s="1">
        <v>1</v>
      </c>
      <c r="B17" s="683"/>
      <c r="D17" s="1240"/>
      <c r="E17" s="1240"/>
      <c r="F17" s="1240"/>
      <c r="G17" s="1240"/>
      <c r="I17" s="684"/>
      <c r="K17" s="682"/>
      <c r="L17" s="110"/>
      <c r="M17" s="682"/>
      <c r="O17" s="148">
        <f>+K17-M17</f>
        <v>0</v>
      </c>
      <c r="Q17" s="188">
        <f>IF(I17="G",TCOS!L241,IF(I17="T",1,0))</f>
        <v>0</v>
      </c>
      <c r="S17" s="148">
        <f>ROUND(O17*Q17,0)</f>
        <v>0</v>
      </c>
      <c r="U17" s="685"/>
    </row>
    <row r="18" spans="1:21">
      <c r="A18" s="1"/>
      <c r="D18" s="1240"/>
      <c r="E18" s="1240"/>
      <c r="F18" s="1240"/>
      <c r="G18" s="1240"/>
      <c r="K18" s="110"/>
      <c r="L18" s="110"/>
      <c r="M18" s="110"/>
      <c r="O18" s="110"/>
      <c r="Q18" s="188"/>
      <c r="S18" s="110"/>
    </row>
    <row r="19" spans="1:21">
      <c r="A19" s="1"/>
      <c r="D19" s="1240"/>
      <c r="E19" s="1240"/>
      <c r="F19" s="1240"/>
      <c r="G19" s="1240"/>
      <c r="K19" s="110"/>
      <c r="L19" s="110"/>
      <c r="M19" s="110"/>
      <c r="O19" s="110"/>
      <c r="Q19" s="188"/>
      <c r="S19" s="110"/>
    </row>
    <row r="20" spans="1:21">
      <c r="A20" s="1"/>
      <c r="K20" s="110"/>
      <c r="L20" s="110"/>
      <c r="M20" s="110"/>
      <c r="O20" s="110"/>
      <c r="Q20" s="188"/>
      <c r="S20" s="110"/>
    </row>
    <row r="21" spans="1:21">
      <c r="A21" s="1"/>
      <c r="K21" s="110"/>
      <c r="L21" s="110"/>
      <c r="M21" s="110"/>
      <c r="O21" s="110"/>
      <c r="Q21" s="188"/>
      <c r="S21" s="110"/>
    </row>
    <row r="22" spans="1:21" ht="12" customHeight="1">
      <c r="A22" s="1">
        <f>+A17+1</f>
        <v>2</v>
      </c>
      <c r="B22" s="683"/>
      <c r="D22" s="1240"/>
      <c r="E22" s="1240"/>
      <c r="F22" s="1240"/>
      <c r="G22" s="1240"/>
      <c r="I22" s="684"/>
      <c r="K22" s="682"/>
      <c r="L22" s="110"/>
      <c r="M22" s="682"/>
      <c r="O22" s="148">
        <f>+K22-M22</f>
        <v>0</v>
      </c>
      <c r="Q22" s="188">
        <f>IF(I22="G",TCOS!L241,IF(I22="T",1,0))</f>
        <v>0</v>
      </c>
      <c r="S22" s="148">
        <f>ROUND(O22*Q22,0)</f>
        <v>0</v>
      </c>
      <c r="U22" s="685"/>
    </row>
    <row r="23" spans="1:21">
      <c r="A23" s="1"/>
      <c r="D23" s="1240"/>
      <c r="E23" s="1240"/>
      <c r="F23" s="1240"/>
      <c r="G23" s="1240"/>
      <c r="K23" s="110"/>
      <c r="L23" s="110"/>
      <c r="M23" s="110"/>
      <c r="O23" s="110"/>
      <c r="Q23" s="188"/>
      <c r="S23" s="110"/>
    </row>
    <row r="24" spans="1:21">
      <c r="A24" s="1"/>
      <c r="D24" s="1240"/>
      <c r="E24" s="1240"/>
      <c r="F24" s="1240"/>
      <c r="G24" s="1240"/>
      <c r="K24" s="110"/>
      <c r="L24" s="110"/>
      <c r="M24" s="110"/>
      <c r="O24" s="110"/>
      <c r="Q24" s="188"/>
      <c r="S24" s="110"/>
    </row>
    <row r="25" spans="1:21">
      <c r="A25" s="1"/>
      <c r="I25" s="1"/>
      <c r="K25" s="110"/>
      <c r="L25" s="110"/>
      <c r="M25" s="110"/>
      <c r="O25" s="110"/>
      <c r="Q25" s="188"/>
      <c r="S25" s="110"/>
    </row>
    <row r="26" spans="1:21">
      <c r="A26" s="1"/>
      <c r="I26" s="1"/>
      <c r="K26" s="110"/>
      <c r="L26" s="110"/>
      <c r="M26" s="110"/>
      <c r="O26" s="110"/>
      <c r="Q26" s="188"/>
      <c r="S26" s="110"/>
    </row>
    <row r="27" spans="1:21">
      <c r="A27" s="1">
        <f>+A22+1</f>
        <v>3</v>
      </c>
      <c r="B27" s="683"/>
      <c r="D27" s="1240"/>
      <c r="E27" s="1240"/>
      <c r="F27" s="1240"/>
      <c r="G27" s="1240"/>
      <c r="I27" s="684"/>
      <c r="K27" s="682"/>
      <c r="L27" s="110"/>
      <c r="M27" s="682"/>
      <c r="O27" s="148">
        <f>+K27-M27</f>
        <v>0</v>
      </c>
      <c r="Q27" s="188">
        <f>IF(I27="G",TCOS!L241,IF(I27="T",1,0))</f>
        <v>0</v>
      </c>
      <c r="S27" s="148">
        <f>ROUND(O27*Q27,0)</f>
        <v>0</v>
      </c>
      <c r="U27" s="685"/>
    </row>
    <row r="28" spans="1:21">
      <c r="A28" s="1"/>
      <c r="D28" s="1240"/>
      <c r="E28" s="1240"/>
      <c r="F28" s="1240"/>
      <c r="G28" s="1240"/>
      <c r="K28" s="110"/>
      <c r="L28" s="110"/>
      <c r="M28" s="110"/>
      <c r="O28" s="110"/>
      <c r="Q28" s="188"/>
      <c r="S28" s="110"/>
    </row>
    <row r="29" spans="1:21">
      <c r="A29" s="1"/>
      <c r="D29" s="1240"/>
      <c r="E29" s="1240"/>
      <c r="F29" s="1240"/>
      <c r="G29" s="1240"/>
      <c r="K29" s="110"/>
      <c r="L29" s="110"/>
      <c r="M29" s="110"/>
      <c r="O29" s="110"/>
      <c r="Q29" s="188"/>
    </row>
    <row r="30" spans="1:21">
      <c r="A30" s="1"/>
      <c r="O30" s="110"/>
      <c r="Q30" s="188"/>
    </row>
    <row r="31" spans="1:21">
      <c r="A31" s="1"/>
      <c r="O31" s="110"/>
      <c r="Q31" s="188"/>
    </row>
    <row r="32" spans="1:21">
      <c r="A32" s="1"/>
      <c r="O32" s="110"/>
      <c r="Q32" s="188"/>
    </row>
    <row r="33" spans="1:19" ht="13" thickBot="1">
      <c r="A33" s="1">
        <f>+A27+1</f>
        <v>4</v>
      </c>
      <c r="K33" t="str">
        <f>"Net (Gain) or Loss for "&amp;TCOS!L4&amp;""</f>
        <v>Net (Gain) or Loss for 2024</v>
      </c>
      <c r="O33" s="197">
        <f>SUM(O17:O27)</f>
        <v>0</v>
      </c>
      <c r="Q33" s="198"/>
      <c r="S33" s="197">
        <f>SUM(S17:S27)</f>
        <v>0</v>
      </c>
    </row>
    <row r="34" spans="1:19" ht="13" thickTop="1">
      <c r="A34" s="1"/>
      <c r="O34" s="110"/>
      <c r="Q34" s="198"/>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3" type="noConversion"/>
  <pageMargins left="0.75" right="0.75" top="1" bottom="1" header="0.75" footer="0.5"/>
  <pageSetup scale="77"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203"/>
  <sheetViews>
    <sheetView view="pageBreakPreview" topLeftCell="A16" zoomScaleNormal="75" zoomScaleSheetLayoutView="100" workbookViewId="0">
      <selection activeCell="D41" sqref="D41"/>
    </sheetView>
  </sheetViews>
  <sheetFormatPr defaultColWidth="9.1796875" defaultRowHeight="12.5"/>
  <cols>
    <col min="1" max="1" width="8.1796875" style="920" customWidth="1"/>
    <col min="2" max="2" width="28.81640625" style="920" customWidth="1"/>
    <col min="3" max="3" width="17.81640625" style="920" customWidth="1"/>
    <col min="4" max="4" width="19.26953125" style="920" customWidth="1"/>
    <col min="5" max="6" width="19.81640625" style="920" customWidth="1"/>
    <col min="7" max="7" width="21.453125" style="920" customWidth="1"/>
    <col min="8" max="9" width="19.81640625" style="920" customWidth="1"/>
    <col min="10" max="10" width="21.26953125" style="920" customWidth="1"/>
    <col min="11" max="11" width="18.1796875" style="920" customWidth="1"/>
    <col min="12" max="12" width="22.453125" style="920" customWidth="1"/>
    <col min="13" max="13" width="22.1796875" style="920" customWidth="1"/>
    <col min="14" max="14" width="11.1796875" style="920" customWidth="1"/>
    <col min="15" max="15" width="11.26953125" style="920" bestFit="1" customWidth="1"/>
    <col min="16" max="16" width="12.453125" style="920" customWidth="1"/>
    <col min="17" max="17" width="9.1796875" style="920"/>
    <col min="18" max="18" width="10.26953125" style="920" bestFit="1" customWidth="1"/>
    <col min="19" max="19" width="9.1796875" style="920"/>
    <col min="20" max="20" width="12.81640625" style="920" customWidth="1"/>
    <col min="21" max="21" width="13.54296875" style="920" customWidth="1"/>
    <col min="22" max="16384" width="9.1796875" style="920"/>
  </cols>
  <sheetData>
    <row r="1" spans="1:17" ht="15">
      <c r="A1" s="919" t="s">
        <v>116</v>
      </c>
    </row>
    <row r="2" spans="1:17" ht="15">
      <c r="A2" s="919" t="s">
        <v>116</v>
      </c>
    </row>
    <row r="3" spans="1:17" ht="15">
      <c r="A3" s="1242" t="s">
        <v>389</v>
      </c>
      <c r="B3" s="1242"/>
      <c r="C3" s="1242"/>
      <c r="D3" s="1242"/>
      <c r="E3" s="1242"/>
      <c r="F3" s="1242"/>
      <c r="G3" s="1242"/>
      <c r="H3" s="1242"/>
      <c r="I3" s="1242"/>
      <c r="J3" s="1242"/>
      <c r="K3" s="1242"/>
      <c r="L3" s="921"/>
      <c r="M3" s="921"/>
      <c r="N3" s="922"/>
      <c r="O3" s="922"/>
      <c r="P3" s="922"/>
      <c r="Q3" s="922"/>
    </row>
    <row r="4" spans="1:17" ht="15">
      <c r="A4" s="1243" t="str">
        <f>"Cost of Service Formula Rate Using Actual/Projected FF1 Balances"</f>
        <v>Cost of Service Formula Rate Using Actual/Projected FF1 Balances</v>
      </c>
      <c r="B4" s="1244"/>
      <c r="C4" s="1244"/>
      <c r="D4" s="1244"/>
      <c r="E4" s="1244"/>
      <c r="F4" s="1244"/>
      <c r="G4" s="1244"/>
      <c r="H4" s="1244"/>
      <c r="I4" s="1244"/>
      <c r="J4" s="1244"/>
      <c r="K4" s="1244"/>
      <c r="L4" s="923"/>
      <c r="M4" s="925"/>
      <c r="N4" s="926"/>
      <c r="O4" s="926"/>
      <c r="P4" s="926"/>
      <c r="Q4" s="926"/>
    </row>
    <row r="5" spans="1:17" ht="15">
      <c r="A5" s="1243" t="s">
        <v>859</v>
      </c>
      <c r="B5" s="1243"/>
      <c r="C5" s="1243"/>
      <c r="D5" s="1243"/>
      <c r="E5" s="1243"/>
      <c r="F5" s="1243"/>
      <c r="G5" s="1243"/>
      <c r="H5" s="1243"/>
      <c r="I5" s="1243"/>
      <c r="J5" s="1243"/>
      <c r="K5" s="1243"/>
      <c r="L5" s="923"/>
      <c r="M5" s="927"/>
      <c r="N5" s="927"/>
      <c r="O5" s="927"/>
      <c r="P5" s="927"/>
      <c r="Q5" s="927"/>
    </row>
    <row r="6" spans="1:17" ht="15">
      <c r="A6" s="1245" t="str">
        <f>TCOS!F9</f>
        <v>KENTUCKY POWER COMPANY</v>
      </c>
      <c r="B6" s="1245"/>
      <c r="C6" s="1245"/>
      <c r="D6" s="1245"/>
      <c r="E6" s="1245"/>
      <c r="F6" s="1245"/>
      <c r="G6" s="1245"/>
      <c r="H6" s="1245"/>
      <c r="I6" s="1245"/>
      <c r="J6" s="1245"/>
      <c r="K6" s="1245"/>
      <c r="L6" s="928"/>
      <c r="M6" s="928"/>
      <c r="N6" s="929"/>
      <c r="O6" s="929"/>
      <c r="P6" s="929"/>
      <c r="Q6" s="929"/>
    </row>
    <row r="9" spans="1:17">
      <c r="B9" s="1246"/>
      <c r="C9" s="1246"/>
      <c r="D9" s="1246"/>
      <c r="E9" s="1246"/>
      <c r="F9" s="1246"/>
      <c r="G9" s="1246"/>
      <c r="H9" s="1246"/>
      <c r="I9" s="1246"/>
      <c r="J9" s="1246"/>
      <c r="K9" s="1246"/>
      <c r="L9" s="1246"/>
      <c r="M9" s="1246"/>
      <c r="N9" s="931"/>
      <c r="O9" s="931"/>
      <c r="P9" s="931"/>
      <c r="Q9" s="931"/>
    </row>
    <row r="10" spans="1:17">
      <c r="I10" s="931"/>
      <c r="J10" s="931"/>
      <c r="K10" s="931"/>
      <c r="L10" s="931"/>
      <c r="M10" s="931"/>
      <c r="N10" s="931"/>
      <c r="O10" s="931"/>
      <c r="P10" s="931"/>
      <c r="Q10" s="931"/>
    </row>
    <row r="11" spans="1:17">
      <c r="I11" s="931"/>
      <c r="J11" s="931"/>
      <c r="K11" s="931"/>
      <c r="L11" s="931"/>
      <c r="M11" s="931"/>
      <c r="N11" s="931"/>
      <c r="O11" s="931"/>
      <c r="P11" s="931"/>
      <c r="Q11" s="931"/>
    </row>
    <row r="12" spans="1:17">
      <c r="A12" s="924">
        <v>1</v>
      </c>
      <c r="B12" s="920" t="s">
        <v>833</v>
      </c>
      <c r="E12" s="939">
        <v>52287952</v>
      </c>
      <c r="J12" s="931"/>
      <c r="K12" s="931"/>
      <c r="L12" s="931"/>
      <c r="M12" s="931"/>
      <c r="N12" s="931"/>
      <c r="O12" s="931"/>
      <c r="P12" s="931"/>
      <c r="Q12" s="931"/>
    </row>
    <row r="13" spans="1:17">
      <c r="J13" s="931"/>
      <c r="K13" s="931"/>
      <c r="L13" s="931"/>
      <c r="M13" s="931"/>
      <c r="N13" s="931"/>
      <c r="O13" s="931"/>
      <c r="P13" s="931"/>
      <c r="Q13" s="931"/>
    </row>
    <row r="14" spans="1:17">
      <c r="B14" s="1241" t="str">
        <f>"Allocation of PBOP Settlement Amount for "&amp;TCOS!L4&amp;""</f>
        <v>Allocation of PBOP Settlement Amount for 2024</v>
      </c>
      <c r="C14" s="1241"/>
      <c r="D14" s="932"/>
      <c r="E14" s="932"/>
      <c r="F14" s="932"/>
      <c r="G14" s="932"/>
      <c r="H14" s="932"/>
      <c r="I14" s="932"/>
      <c r="J14" s="932"/>
      <c r="K14" s="932"/>
      <c r="L14" s="932"/>
      <c r="M14" s="932"/>
      <c r="N14" s="931"/>
      <c r="O14" s="931"/>
      <c r="P14" s="931"/>
      <c r="Q14" s="931"/>
    </row>
    <row r="15" spans="1:17">
      <c r="C15" s="1246" t="s">
        <v>834</v>
      </c>
      <c r="D15" s="1246"/>
      <c r="E15" s="1246"/>
      <c r="F15" s="930"/>
      <c r="N15" s="931"/>
      <c r="O15" s="931"/>
      <c r="P15" s="931"/>
      <c r="Q15" s="931"/>
    </row>
    <row r="16" spans="1:17">
      <c r="C16" s="1249" t="s">
        <v>835</v>
      </c>
      <c r="D16" s="1249" t="s">
        <v>836</v>
      </c>
      <c r="E16" s="1249" t="s">
        <v>837</v>
      </c>
      <c r="F16" s="951"/>
      <c r="G16" s="951"/>
      <c r="H16" s="951"/>
      <c r="I16" s="1249" t="s">
        <v>838</v>
      </c>
      <c r="N16" s="931"/>
      <c r="O16" s="931"/>
      <c r="P16" s="931"/>
      <c r="Q16" s="931"/>
    </row>
    <row r="17" spans="1:17" ht="12.75" customHeight="1">
      <c r="C17" s="1247"/>
      <c r="D17" s="1247"/>
      <c r="E17" s="1247"/>
      <c r="F17" s="1249" t="str">
        <f>"Labor Allocator for "&amp;TCOS!L4&amp;""</f>
        <v>Labor Allocator for 2024</v>
      </c>
      <c r="G17" s="953"/>
      <c r="H17" s="1250" t="s">
        <v>839</v>
      </c>
      <c r="I17" s="1249"/>
      <c r="N17" s="931"/>
      <c r="O17" s="931"/>
      <c r="P17" s="931"/>
      <c r="Q17" s="931"/>
    </row>
    <row r="18" spans="1:17">
      <c r="A18" s="933" t="s">
        <v>840</v>
      </c>
      <c r="B18" s="930" t="s">
        <v>185</v>
      </c>
      <c r="C18" s="1247"/>
      <c r="D18" s="1247"/>
      <c r="E18" s="1247"/>
      <c r="F18" s="1249"/>
      <c r="G18" s="955" t="s">
        <v>841</v>
      </c>
      <c r="H18" s="1250"/>
      <c r="I18" s="1249"/>
      <c r="N18" s="931"/>
      <c r="O18" s="931"/>
      <c r="P18" s="931"/>
      <c r="Q18" s="931"/>
    </row>
    <row r="19" spans="1:17">
      <c r="B19" s="930"/>
      <c r="C19" s="941"/>
      <c r="D19" s="941"/>
      <c r="E19" s="941"/>
      <c r="F19" s="951"/>
      <c r="G19" s="953"/>
      <c r="H19" s="953"/>
      <c r="I19" s="941"/>
      <c r="N19" s="931"/>
      <c r="O19" s="931"/>
      <c r="P19" s="931"/>
      <c r="Q19" s="931"/>
    </row>
    <row r="20" spans="1:17">
      <c r="B20" s="930"/>
      <c r="C20" s="951" t="s">
        <v>164</v>
      </c>
      <c r="D20" s="951" t="s">
        <v>842</v>
      </c>
      <c r="E20" s="952" t="str">
        <f>"(C )=(B) * "&amp;E12&amp;""</f>
        <v>(C )=(B) * 52287952</v>
      </c>
      <c r="F20" s="951" t="s">
        <v>167</v>
      </c>
      <c r="G20" s="956" t="s">
        <v>843</v>
      </c>
      <c r="H20" s="956" t="s">
        <v>844</v>
      </c>
      <c r="I20" s="952" t="s">
        <v>845</v>
      </c>
      <c r="N20" s="931"/>
      <c r="O20" s="931"/>
      <c r="P20" s="931"/>
      <c r="Q20" s="931"/>
    </row>
    <row r="21" spans="1:17">
      <c r="B21" s="930"/>
      <c r="C21" s="951" t="str">
        <f>"(Line "&amp;A47&amp;")"</f>
        <v>(Line 14)</v>
      </c>
      <c r="D21" s="951"/>
      <c r="E21" s="952"/>
      <c r="F21" s="951"/>
      <c r="G21" s="953"/>
      <c r="H21" s="954"/>
      <c r="I21" s="952"/>
      <c r="N21" s="931"/>
      <c r="O21" s="931"/>
      <c r="P21" s="931"/>
      <c r="Q21" s="931"/>
    </row>
    <row r="22" spans="1:17">
      <c r="A22" s="920">
        <v>2</v>
      </c>
      <c r="B22" s="920" t="s">
        <v>846</v>
      </c>
      <c r="C22" s="986">
        <v>-28089628.566056948</v>
      </c>
      <c r="D22" s="1049">
        <f t="shared" ref="D22:D27" si="0">+C22/C$28</f>
        <v>0.35971085900067357</v>
      </c>
      <c r="E22" s="940">
        <f t="shared" ref="E22:E27" si="1">ROUND(D22*E$28,0)</f>
        <v>18808544</v>
      </c>
      <c r="F22" s="988">
        <v>0.10717827348053025</v>
      </c>
      <c r="G22" s="1050">
        <f t="shared" ref="G22:G27" si="2">+C22*F22</f>
        <v>-3010597.8924193662</v>
      </c>
      <c r="H22" s="1050">
        <f t="shared" ref="H22:H27" si="3">+F22*E22</f>
        <v>2015867.2726025863</v>
      </c>
      <c r="I22" s="940">
        <f t="shared" ref="I22:I27" si="4">+G22-H22</f>
        <v>-5026465.1650219522</v>
      </c>
      <c r="N22" s="931"/>
      <c r="O22" s="931"/>
      <c r="P22" s="931"/>
      <c r="Q22" s="931"/>
    </row>
    <row r="23" spans="1:17">
      <c r="A23" s="920">
        <f t="shared" ref="A23:A28" si="5">+A22+1</f>
        <v>3</v>
      </c>
      <c r="B23" s="920" t="s">
        <v>847</v>
      </c>
      <c r="C23" s="986">
        <v>-20588132.712423295</v>
      </c>
      <c r="D23" s="1049">
        <f t="shared" si="0"/>
        <v>0.2636480181925463</v>
      </c>
      <c r="E23" s="940">
        <f t="shared" si="1"/>
        <v>13785615</v>
      </c>
      <c r="F23" s="988">
        <v>5.1135848117019871E-2</v>
      </c>
      <c r="G23" s="1050">
        <f t="shared" si="2"/>
        <v>-1052791.627395526</v>
      </c>
      <c r="H23" s="1050">
        <f t="shared" si="3"/>
        <v>704939.11483971088</v>
      </c>
      <c r="I23" s="940">
        <f t="shared" si="4"/>
        <v>-1757730.7422352368</v>
      </c>
      <c r="N23" s="931"/>
      <c r="O23" s="931"/>
      <c r="P23" s="931"/>
      <c r="Q23" s="931"/>
    </row>
    <row r="24" spans="1:17">
      <c r="A24" s="920">
        <f t="shared" si="5"/>
        <v>4</v>
      </c>
      <c r="B24" s="920" t="s">
        <v>848</v>
      </c>
      <c r="C24" s="986">
        <v>-6450809.7209908422</v>
      </c>
      <c r="D24" s="1049">
        <f t="shared" si="0"/>
        <v>8.2607938390167127E-2</v>
      </c>
      <c r="E24" s="940">
        <f t="shared" si="1"/>
        <v>4319400</v>
      </c>
      <c r="F24" s="988">
        <v>9.8323665191820911E-2</v>
      </c>
      <c r="G24" s="1050">
        <f t="shared" si="2"/>
        <v>-634267.25522284722</v>
      </c>
      <c r="H24" s="1050">
        <f t="shared" si="3"/>
        <v>424699.23942955123</v>
      </c>
      <c r="I24" s="940">
        <f t="shared" si="4"/>
        <v>-1058966.4946523984</v>
      </c>
      <c r="N24" s="931"/>
      <c r="O24" s="931"/>
      <c r="P24" s="931"/>
      <c r="Q24" s="931"/>
    </row>
    <row r="25" spans="1:17">
      <c r="A25" s="920">
        <f t="shared" si="5"/>
        <v>5</v>
      </c>
      <c r="B25" s="920" t="s">
        <v>849</v>
      </c>
      <c r="C25" s="986">
        <v>-701394.5378321592</v>
      </c>
      <c r="D25" s="1049">
        <f t="shared" si="0"/>
        <v>8.9819354894162141E-3</v>
      </c>
      <c r="E25" s="940">
        <f t="shared" si="1"/>
        <v>469647</v>
      </c>
      <c r="F25" s="988">
        <v>8.9987662007902425E-2</v>
      </c>
      <c r="G25" s="1050">
        <f t="shared" si="2"/>
        <v>-63116.854604629276</v>
      </c>
      <c r="H25" s="1050">
        <f t="shared" si="3"/>
        <v>42262.435499025349</v>
      </c>
      <c r="I25" s="940">
        <f t="shared" si="4"/>
        <v>-105379.29010365462</v>
      </c>
      <c r="N25" s="931"/>
      <c r="O25" s="931"/>
      <c r="P25" s="931"/>
      <c r="Q25" s="931"/>
    </row>
    <row r="26" spans="1:17">
      <c r="A26" s="920">
        <f t="shared" si="5"/>
        <v>6</v>
      </c>
      <c r="B26" s="920" t="s">
        <v>850</v>
      </c>
      <c r="C26" s="986">
        <v>-20853937.977060094</v>
      </c>
      <c r="D26" s="1049">
        <f t="shared" si="0"/>
        <v>0.26705187381294215</v>
      </c>
      <c r="E26" s="940">
        <f t="shared" si="1"/>
        <v>13963596</v>
      </c>
      <c r="F26" s="988">
        <v>0.12482296603541986</v>
      </c>
      <c r="G26" s="1050">
        <f t="shared" si="2"/>
        <v>-2603050.3918153243</v>
      </c>
      <c r="H26" s="1050">
        <f t="shared" si="3"/>
        <v>1742977.4692403246</v>
      </c>
      <c r="I26" s="940">
        <f t="shared" si="4"/>
        <v>-4346027.8610556489</v>
      </c>
      <c r="N26" s="931"/>
      <c r="O26" s="931"/>
      <c r="P26" s="931"/>
      <c r="Q26" s="931"/>
    </row>
    <row r="27" spans="1:17">
      <c r="A27" s="920">
        <f t="shared" si="5"/>
        <v>7</v>
      </c>
      <c r="B27" s="920" t="s">
        <v>851</v>
      </c>
      <c r="C27" s="987">
        <v>-1405561.5746078787</v>
      </c>
      <c r="D27" s="1049">
        <f t="shared" si="0"/>
        <v>1.7999375114254555E-2</v>
      </c>
      <c r="E27" s="957">
        <f t="shared" si="1"/>
        <v>941150</v>
      </c>
      <c r="F27" s="1051">
        <v>2.8842754279883847E-2</v>
      </c>
      <c r="G27" s="1052">
        <f t="shared" si="2"/>
        <v>-40540.267121661673</v>
      </c>
      <c r="H27" s="1052">
        <f t="shared" si="3"/>
        <v>27145.358190512681</v>
      </c>
      <c r="I27" s="957">
        <f t="shared" si="4"/>
        <v>-67685.62531217435</v>
      </c>
      <c r="N27" s="931"/>
      <c r="O27" s="931"/>
      <c r="P27" s="931"/>
      <c r="Q27" s="931"/>
    </row>
    <row r="28" spans="1:17">
      <c r="A28" s="920">
        <f t="shared" si="5"/>
        <v>8</v>
      </c>
      <c r="B28" s="930" t="str">
        <f>"Sum of Lines "&amp;A22&amp;" to "&amp;A27&amp;""</f>
        <v>Sum of Lines 2 to 7</v>
      </c>
      <c r="C28" s="940">
        <f>SUM(C22:C27)</f>
        <v>-78089465.088971227</v>
      </c>
      <c r="E28" s="953">
        <f>+E12</f>
        <v>52287952</v>
      </c>
      <c r="F28" s="953"/>
      <c r="G28" s="953">
        <f>SUM(G22:G27)</f>
        <v>-7404364.2885793541</v>
      </c>
      <c r="H28" s="953">
        <f>SUM(H22:H27)</f>
        <v>4957890.8898017108</v>
      </c>
      <c r="I28" s="953">
        <f>SUM(I22:I27)</f>
        <v>-12362255.178381065</v>
      </c>
      <c r="N28" s="931"/>
      <c r="O28" s="931"/>
      <c r="P28" s="931"/>
      <c r="Q28" s="931"/>
    </row>
    <row r="29" spans="1:17">
      <c r="C29" s="940"/>
      <c r="N29" s="931"/>
      <c r="O29" s="931"/>
      <c r="P29" s="931"/>
      <c r="Q29" s="931"/>
    </row>
    <row r="30" spans="1:17">
      <c r="N30" s="931"/>
      <c r="O30" s="931"/>
      <c r="P30" s="931"/>
      <c r="Q30" s="931"/>
    </row>
    <row r="31" spans="1:17">
      <c r="J31" s="931"/>
      <c r="K31" s="931"/>
      <c r="L31" s="931"/>
      <c r="M31" s="931"/>
      <c r="N31" s="931"/>
      <c r="O31" s="931"/>
      <c r="P31" s="931"/>
      <c r="Q31" s="931"/>
    </row>
    <row r="32" spans="1:17">
      <c r="J32" s="931"/>
      <c r="K32" s="931"/>
      <c r="L32" s="931"/>
      <c r="M32" s="931"/>
      <c r="N32" s="931"/>
      <c r="O32" s="931"/>
      <c r="P32" s="931"/>
      <c r="Q32" s="931"/>
    </row>
    <row r="33" spans="1:17">
      <c r="B33" s="933" t="s">
        <v>860</v>
      </c>
      <c r="F33" s="934"/>
      <c r="J33" s="931"/>
      <c r="K33" s="931"/>
      <c r="L33" s="931"/>
      <c r="M33" s="931"/>
      <c r="N33" s="931"/>
      <c r="O33" s="931"/>
      <c r="P33" s="931"/>
      <c r="Q33" s="931"/>
    </row>
    <row r="34" spans="1:17">
      <c r="E34" s="934"/>
      <c r="I34" s="935"/>
      <c r="J34" s="931"/>
      <c r="K34" s="931"/>
      <c r="L34" s="931"/>
      <c r="M34" s="931"/>
      <c r="N34" s="931"/>
      <c r="O34" s="931"/>
      <c r="P34" s="931"/>
      <c r="Q34" s="931"/>
    </row>
    <row r="35" spans="1:17">
      <c r="D35" s="936" t="s">
        <v>846</v>
      </c>
      <c r="E35" s="937"/>
      <c r="F35" s="936" t="s">
        <v>847</v>
      </c>
      <c r="G35" s="936" t="s">
        <v>848</v>
      </c>
      <c r="H35" s="936" t="s">
        <v>852</v>
      </c>
      <c r="I35" s="938" t="s">
        <v>850</v>
      </c>
      <c r="J35" s="938" t="s">
        <v>851</v>
      </c>
      <c r="K35" s="938" t="s">
        <v>853</v>
      </c>
      <c r="L35" s="931"/>
      <c r="M35" s="931"/>
      <c r="N35" s="931"/>
      <c r="O35" s="931"/>
      <c r="P35" s="931"/>
      <c r="Q35" s="931"/>
    </row>
    <row r="36" spans="1:17">
      <c r="E36" s="931"/>
      <c r="I36" s="931"/>
      <c r="J36" s="931"/>
      <c r="K36" s="931"/>
      <c r="L36" s="931"/>
      <c r="M36" s="931"/>
      <c r="N36" s="931"/>
      <c r="O36" s="931"/>
      <c r="P36" s="931"/>
      <c r="Q36" s="931"/>
    </row>
    <row r="37" spans="1:17">
      <c r="A37" s="920">
        <f>+A28+1</f>
        <v>9</v>
      </c>
      <c r="B37" s="920" t="s">
        <v>854</v>
      </c>
      <c r="D37" s="1048">
        <v>-9880000</v>
      </c>
      <c r="E37" s="979"/>
      <c r="F37" s="1048">
        <v>-8311000</v>
      </c>
      <c r="G37" s="1048">
        <v>-1994000</v>
      </c>
      <c r="H37" s="1048">
        <v>-231000</v>
      </c>
      <c r="I37" s="1048">
        <v>-7132000</v>
      </c>
      <c r="J37" s="1048">
        <v>-946000</v>
      </c>
      <c r="K37" s="934">
        <f>SUM(D37:J37)</f>
        <v>-28494000</v>
      </c>
      <c r="L37" s="931" t="s">
        <v>116</v>
      </c>
      <c r="M37" s="931"/>
      <c r="N37" s="931"/>
      <c r="O37" s="931"/>
      <c r="P37" s="931"/>
      <c r="Q37" s="931"/>
    </row>
    <row r="38" spans="1:17">
      <c r="D38" s="940"/>
      <c r="E38" s="931"/>
      <c r="F38" s="940"/>
      <c r="G38" s="940"/>
      <c r="H38" s="940"/>
      <c r="I38" s="940"/>
      <c r="J38" s="940"/>
    </row>
    <row r="39" spans="1:17" ht="12.75" customHeight="1">
      <c r="A39" s="920">
        <f>+A37+1</f>
        <v>10</v>
      </c>
      <c r="B39" s="1248" t="s">
        <v>855</v>
      </c>
      <c r="C39" s="1248"/>
      <c r="D39" s="1048">
        <v>672186.22299999744</v>
      </c>
      <c r="E39" s="979"/>
      <c r="F39" s="1048">
        <v>2408275.3649999965</v>
      </c>
      <c r="G39" s="1048">
        <v>581811.02999999933</v>
      </c>
      <c r="H39" s="1048">
        <v>2.9999999795109034E-2</v>
      </c>
      <c r="I39" s="1048">
        <v>2.9999999329447746E-2</v>
      </c>
      <c r="J39" s="1048">
        <v>-539281.00000000047</v>
      </c>
      <c r="K39" s="934"/>
      <c r="L39" s="931"/>
      <c r="M39" s="931"/>
      <c r="N39" s="931"/>
      <c r="O39" s="931"/>
      <c r="P39" s="931"/>
      <c r="Q39" s="931"/>
    </row>
    <row r="40" spans="1:17">
      <c r="B40" s="941"/>
      <c r="C40" s="941"/>
      <c r="D40" s="934"/>
      <c r="E40" s="931"/>
      <c r="F40" s="934"/>
      <c r="G40" s="934"/>
      <c r="H40" s="934"/>
      <c r="I40" s="934"/>
      <c r="J40" s="934"/>
      <c r="L40" s="931"/>
      <c r="M40" s="931"/>
      <c r="N40" s="931"/>
      <c r="O40" s="931"/>
      <c r="P40" s="931"/>
      <c r="Q40" s="931"/>
    </row>
    <row r="41" spans="1:17">
      <c r="A41" s="920">
        <f>+A39+1</f>
        <v>11</v>
      </c>
      <c r="B41" s="920" t="s">
        <v>856</v>
      </c>
      <c r="D41" s="1048">
        <v>0</v>
      </c>
      <c r="E41" s="979"/>
      <c r="F41" s="1048">
        <v>0</v>
      </c>
      <c r="G41" s="1048">
        <v>0</v>
      </c>
      <c r="H41" s="1048">
        <v>0</v>
      </c>
      <c r="I41" s="1048">
        <v>0</v>
      </c>
      <c r="J41" s="1048">
        <v>0</v>
      </c>
      <c r="K41" s="934">
        <f>SUM(D41:J41)</f>
        <v>0</v>
      </c>
      <c r="L41" s="931"/>
      <c r="M41" s="931"/>
      <c r="N41" s="931"/>
      <c r="O41" s="931"/>
      <c r="P41" s="931"/>
      <c r="Q41" s="931"/>
    </row>
    <row r="42" spans="1:17">
      <c r="D42" s="942"/>
      <c r="E42" s="943"/>
      <c r="F42" s="942"/>
      <c r="G42" s="942"/>
      <c r="H42" s="942"/>
      <c r="I42" s="943"/>
      <c r="J42" s="943"/>
      <c r="K42" s="942"/>
      <c r="L42" s="931"/>
      <c r="M42" s="931"/>
      <c r="N42" s="931"/>
      <c r="O42" s="931"/>
      <c r="P42" s="931"/>
      <c r="Q42" s="931"/>
    </row>
    <row r="43" spans="1:17">
      <c r="A43" s="920">
        <f>+A41+1</f>
        <v>12</v>
      </c>
      <c r="B43" s="920" t="str">
        <f>"Net Company Expense (Ln "&amp;A37&amp;" + Ln "&amp;A39&amp;" + Ln  "&amp;A41&amp;")"</f>
        <v>Net Company Expense (Ln 9 + Ln 10 + Ln  11)</v>
      </c>
      <c r="D43" s="934">
        <f t="shared" ref="D43:J43" si="6">+D37+D41+D39</f>
        <v>-9207813.7770000026</v>
      </c>
      <c r="E43" s="935"/>
      <c r="F43" s="934">
        <f t="shared" si="6"/>
        <v>-5902724.6350000035</v>
      </c>
      <c r="G43" s="934">
        <f t="shared" si="6"/>
        <v>-1412188.9700000007</v>
      </c>
      <c r="H43" s="934">
        <f t="shared" si="6"/>
        <v>-230999.9700000002</v>
      </c>
      <c r="I43" s="934">
        <f t="shared" si="6"/>
        <v>-7131999.9700000007</v>
      </c>
      <c r="J43" s="934">
        <f t="shared" si="6"/>
        <v>-1485281.0000000005</v>
      </c>
      <c r="K43" s="934">
        <f>SUM(D43:J43)</f>
        <v>-25371008.322000008</v>
      </c>
      <c r="L43" s="931"/>
      <c r="M43" s="931"/>
      <c r="N43" s="931"/>
      <c r="O43" s="931"/>
      <c r="P43" s="931"/>
      <c r="Q43" s="931"/>
    </row>
    <row r="44" spans="1:17">
      <c r="E44" s="931"/>
      <c r="G44" s="934">
        <f>+G40+G42</f>
        <v>0</v>
      </c>
      <c r="I44" s="931"/>
      <c r="J44" s="931"/>
      <c r="L44" s="944"/>
      <c r="M44" s="931"/>
      <c r="N44" s="931"/>
      <c r="O44" s="931"/>
      <c r="P44" s="931"/>
      <c r="Q44" s="931"/>
    </row>
    <row r="45" spans="1:17">
      <c r="A45" s="920">
        <f>+A43+1</f>
        <v>13</v>
      </c>
      <c r="B45" s="1247" t="s">
        <v>857</v>
      </c>
      <c r="C45" s="1247"/>
      <c r="D45" s="1048">
        <v>-6901941.7890569456</v>
      </c>
      <c r="E45" s="979"/>
      <c r="F45" s="1048">
        <v>-3895823.0774232922</v>
      </c>
      <c r="G45" s="1048">
        <v>-1524370.7509908418</v>
      </c>
      <c r="H45" s="1048">
        <v>-204836.56783215897</v>
      </c>
      <c r="I45" s="1048">
        <v>-5390620.0070600919</v>
      </c>
      <c r="J45" s="1048">
        <v>-259813.57460787817</v>
      </c>
      <c r="K45" s="934">
        <f>SUM(D45:J45)</f>
        <v>-18177405.766971208</v>
      </c>
      <c r="L45" s="945" t="s">
        <v>116</v>
      </c>
      <c r="M45" s="931"/>
      <c r="N45" s="931"/>
      <c r="O45" s="931"/>
      <c r="P45" s="931"/>
      <c r="Q45" s="931"/>
    </row>
    <row r="46" spans="1:17">
      <c r="B46" s="1247"/>
      <c r="C46" s="1247"/>
      <c r="E46" s="931"/>
      <c r="I46" s="931"/>
      <c r="J46" s="931"/>
      <c r="L46" s="931"/>
      <c r="M46" s="931"/>
      <c r="N46" s="931"/>
      <c r="O46" s="931"/>
      <c r="P46" s="931"/>
      <c r="Q46" s="931"/>
    </row>
    <row r="47" spans="1:17" ht="13" thickBot="1">
      <c r="A47" s="920">
        <f>+A45+1</f>
        <v>14</v>
      </c>
      <c r="B47" s="920" t="str">
        <f>"Company PBOP Expense (Ln "&amp;A43&amp;" + Ln  "&amp;A45&amp;")"</f>
        <v>Company PBOP Expense (Ln 12 + Ln  13)</v>
      </c>
      <c r="D47" s="946">
        <f>+D45+D41+D39+D37</f>
        <v>-16109755.566056948</v>
      </c>
      <c r="E47" s="947"/>
      <c r="F47" s="946">
        <f>+F45+F41+F39+F37</f>
        <v>-9798547.7124232948</v>
      </c>
      <c r="G47" s="946">
        <f>+G45+G41+G39+G37</f>
        <v>-2936559.7209908422</v>
      </c>
      <c r="H47" s="946">
        <f>+H45+H41+H39+H37</f>
        <v>-435836.5378321592</v>
      </c>
      <c r="I47" s="946">
        <f>+I45+I41+I39+I37</f>
        <v>-12522619.977060093</v>
      </c>
      <c r="J47" s="946">
        <f>+J45+J41+J39+J37</f>
        <v>-1745094.5746078787</v>
      </c>
      <c r="K47" s="948">
        <f>SUM(D47:J47)</f>
        <v>-43548414.088971213</v>
      </c>
      <c r="L47" s="931"/>
      <c r="M47" s="931"/>
      <c r="N47" s="931"/>
      <c r="O47" s="931"/>
      <c r="P47" s="931"/>
      <c r="Q47" s="931"/>
    </row>
    <row r="48" spans="1:17" ht="13" thickTop="1">
      <c r="I48" s="931"/>
      <c r="J48" s="931"/>
      <c r="K48" s="931"/>
      <c r="L48" s="931"/>
      <c r="M48" s="931"/>
      <c r="N48" s="931"/>
      <c r="O48" s="931"/>
      <c r="P48" s="931"/>
      <c r="Q48" s="931"/>
    </row>
    <row r="49" spans="1:17">
      <c r="A49" s="1248" t="s">
        <v>858</v>
      </c>
      <c r="B49" s="1248"/>
      <c r="C49" s="1248"/>
      <c r="D49" s="1248"/>
      <c r="E49" s="1248"/>
      <c r="F49" s="1248"/>
      <c r="G49" s="1248"/>
      <c r="H49" s="1248"/>
      <c r="I49" s="1248"/>
      <c r="J49" s="1248"/>
      <c r="K49" s="1248"/>
      <c r="L49" s="949"/>
      <c r="M49" s="931"/>
      <c r="N49" s="931"/>
      <c r="O49" s="931"/>
      <c r="P49" s="931"/>
      <c r="Q49" s="931"/>
    </row>
    <row r="50" spans="1:17">
      <c r="A50" s="1248"/>
      <c r="B50" s="1248"/>
      <c r="C50" s="1248"/>
      <c r="D50" s="1248"/>
      <c r="E50" s="1248"/>
      <c r="F50" s="1248"/>
      <c r="G50" s="1248"/>
      <c r="H50" s="1248"/>
      <c r="I50" s="1248"/>
      <c r="J50" s="1248"/>
      <c r="K50" s="1248"/>
      <c r="L50" s="931"/>
      <c r="M50" s="931"/>
      <c r="N50" s="931"/>
      <c r="O50" s="931"/>
      <c r="P50" s="931"/>
      <c r="Q50" s="931"/>
    </row>
    <row r="51" spans="1:17">
      <c r="A51" s="1248"/>
      <c r="B51" s="1248"/>
      <c r="C51" s="1248"/>
      <c r="D51" s="1248"/>
      <c r="E51" s="1248"/>
      <c r="F51" s="1248"/>
      <c r="G51" s="1248"/>
      <c r="H51" s="1248"/>
      <c r="I51" s="1248"/>
      <c r="J51" s="1248"/>
      <c r="K51" s="1248"/>
      <c r="L51" s="931"/>
      <c r="M51" s="931"/>
      <c r="N51" s="931"/>
      <c r="O51" s="931"/>
      <c r="P51" s="931"/>
      <c r="Q51" s="931"/>
    </row>
    <row r="52" spans="1:17">
      <c r="A52" s="1248"/>
      <c r="B52" s="1248"/>
      <c r="C52" s="1248"/>
      <c r="D52" s="1248"/>
      <c r="E52" s="1248"/>
      <c r="F52" s="1248"/>
      <c r="G52" s="1248"/>
      <c r="H52" s="1248"/>
      <c r="I52" s="1248"/>
      <c r="J52" s="1248"/>
      <c r="K52" s="1248"/>
      <c r="Q52" s="931"/>
    </row>
    <row r="53" spans="1:17">
      <c r="A53" s="1248"/>
      <c r="B53" s="1248"/>
      <c r="C53" s="1248"/>
      <c r="D53" s="1248"/>
      <c r="E53" s="1248"/>
      <c r="F53" s="1248"/>
      <c r="G53" s="1248"/>
      <c r="H53" s="1248"/>
      <c r="I53" s="1248"/>
      <c r="J53" s="1248"/>
      <c r="K53" s="1248"/>
      <c r="Q53" s="931"/>
    </row>
    <row r="54" spans="1:17">
      <c r="A54" s="1248"/>
      <c r="B54" s="1248"/>
      <c r="C54" s="1248"/>
      <c r="D54" s="1248"/>
      <c r="E54" s="1248"/>
      <c r="F54" s="1248"/>
      <c r="G54" s="1248"/>
      <c r="H54" s="1248"/>
      <c r="I54" s="1248"/>
      <c r="J54" s="1248"/>
      <c r="K54" s="1248"/>
      <c r="Q54" s="931"/>
    </row>
    <row r="55" spans="1:17">
      <c r="A55" s="1248"/>
      <c r="B55" s="1248"/>
      <c r="C55" s="1248"/>
      <c r="D55" s="1248"/>
      <c r="E55" s="1248"/>
      <c r="F55" s="1248"/>
      <c r="G55" s="1248"/>
      <c r="H55" s="1248"/>
      <c r="I55" s="1248"/>
      <c r="J55" s="1248"/>
      <c r="K55" s="1248"/>
      <c r="Q55" s="931"/>
    </row>
    <row r="56" spans="1:17">
      <c r="A56" s="1248"/>
      <c r="B56" s="1248"/>
      <c r="C56" s="1248"/>
      <c r="D56" s="1248"/>
      <c r="E56" s="1248"/>
      <c r="F56" s="1248"/>
      <c r="G56" s="1248"/>
      <c r="H56" s="1248"/>
      <c r="I56" s="1248"/>
      <c r="J56" s="1248"/>
      <c r="K56" s="1248"/>
      <c r="Q56" s="931"/>
    </row>
    <row r="57" spans="1:17">
      <c r="A57" s="1248"/>
      <c r="B57" s="1248"/>
      <c r="C57" s="1248"/>
      <c r="D57" s="1248"/>
      <c r="E57" s="1248"/>
      <c r="F57" s="1248"/>
      <c r="G57" s="1248"/>
      <c r="H57" s="1248"/>
      <c r="I57" s="1248"/>
      <c r="J57" s="1248"/>
      <c r="K57" s="1248"/>
      <c r="Q57" s="931"/>
    </row>
    <row r="58" spans="1:17">
      <c r="Q58" s="950"/>
    </row>
    <row r="62" spans="1:17" ht="12.75" customHeight="1"/>
    <row r="63" spans="1:17" ht="12.75" customHeight="1"/>
    <row r="65" ht="12.75" customHeight="1"/>
    <row r="80" ht="12.75" customHeight="1"/>
    <row r="81" ht="12.75" customHeight="1"/>
    <row r="82" ht="12.75" customHeight="1"/>
    <row r="98" spans="13:13">
      <c r="M98" s="940"/>
    </row>
    <row r="99" spans="13:13">
      <c r="M99" s="951"/>
    </row>
    <row r="100" spans="13:13">
      <c r="M100" s="941"/>
    </row>
    <row r="101" spans="13:13" ht="12.75" customHeight="1">
      <c r="M101" s="941"/>
    </row>
    <row r="102" spans="13:13">
      <c r="M102" s="941"/>
    </row>
    <row r="103" spans="13:13">
      <c r="M103" s="941"/>
    </row>
    <row r="104" spans="13:13">
      <c r="M104" s="952"/>
    </row>
    <row r="105" spans="13:13">
      <c r="M105" s="952"/>
    </row>
    <row r="106" spans="13:13">
      <c r="M106" s="940"/>
    </row>
    <row r="107" spans="13:13">
      <c r="M107" s="940"/>
    </row>
    <row r="108" spans="13:13">
      <c r="M108" s="940"/>
    </row>
    <row r="109" spans="13:13">
      <c r="M109" s="940"/>
    </row>
    <row r="110" spans="13:13">
      <c r="M110" s="940"/>
    </row>
    <row r="111" spans="13:13">
      <c r="M111" s="940"/>
    </row>
    <row r="112" spans="13:13">
      <c r="M112" s="940"/>
    </row>
    <row r="113" spans="13:13">
      <c r="M113" s="953"/>
    </row>
    <row r="115" spans="13:13">
      <c r="M115" s="940"/>
    </row>
    <row r="120" spans="13:13">
      <c r="M120" s="940"/>
    </row>
    <row r="121" spans="13:13">
      <c r="M121" s="951"/>
    </row>
    <row r="122" spans="13:13">
      <c r="M122" s="941"/>
    </row>
    <row r="123" spans="13:13" ht="12.75" customHeight="1">
      <c r="M123" s="941"/>
    </row>
    <row r="124" spans="13:13">
      <c r="M124" s="941"/>
    </row>
    <row r="125" spans="13:13">
      <c r="M125" s="941"/>
    </row>
    <row r="126" spans="13:13">
      <c r="M126" s="952"/>
    </row>
    <row r="127" spans="13:13">
      <c r="M127" s="952"/>
    </row>
    <row r="128" spans="13:13">
      <c r="M128" s="940"/>
    </row>
    <row r="129" spans="13:13">
      <c r="M129" s="940"/>
    </row>
    <row r="130" spans="13:13">
      <c r="M130" s="940"/>
    </row>
    <row r="131" spans="13:13">
      <c r="M131" s="940"/>
    </row>
    <row r="132" spans="13:13">
      <c r="M132" s="940"/>
    </row>
    <row r="133" spans="13:13">
      <c r="M133" s="940"/>
    </row>
    <row r="134" spans="13:13">
      <c r="M134" s="940"/>
    </row>
    <row r="135" spans="13:13">
      <c r="M135" s="953"/>
    </row>
    <row r="137" spans="13:13">
      <c r="M137" s="940"/>
    </row>
    <row r="142" spans="13:13">
      <c r="M142" s="940"/>
    </row>
    <row r="143" spans="13:13">
      <c r="M143" s="951"/>
    </row>
    <row r="144" spans="13:13">
      <c r="M144" s="941"/>
    </row>
    <row r="145" spans="13:13" ht="12.75" customHeight="1">
      <c r="M145" s="941"/>
    </row>
    <row r="146" spans="13:13">
      <c r="M146" s="941"/>
    </row>
    <row r="147" spans="13:13">
      <c r="M147" s="941"/>
    </row>
    <row r="148" spans="13:13">
      <c r="M148" s="952"/>
    </row>
    <row r="149" spans="13:13">
      <c r="M149" s="952"/>
    </row>
    <row r="150" spans="13:13">
      <c r="M150" s="940"/>
    </row>
    <row r="151" spans="13:13">
      <c r="M151" s="940"/>
    </row>
    <row r="152" spans="13:13">
      <c r="M152" s="940"/>
    </row>
    <row r="153" spans="13:13">
      <c r="M153" s="940"/>
    </row>
    <row r="154" spans="13:13">
      <c r="M154" s="940"/>
    </row>
    <row r="155" spans="13:13">
      <c r="M155" s="940"/>
    </row>
    <row r="156" spans="13:13">
      <c r="M156" s="940"/>
    </row>
    <row r="157" spans="13:13">
      <c r="M157" s="953"/>
    </row>
    <row r="159" spans="13:13">
      <c r="M159" s="940"/>
    </row>
    <row r="164" spans="13:13">
      <c r="M164" s="940"/>
    </row>
    <row r="165" spans="13:13">
      <c r="M165" s="951"/>
    </row>
    <row r="166" spans="13:13">
      <c r="M166" s="941"/>
    </row>
    <row r="167" spans="13:13" ht="12.75" customHeight="1">
      <c r="M167" s="941"/>
    </row>
    <row r="168" spans="13:13">
      <c r="M168" s="941"/>
    </row>
    <row r="169" spans="13:13">
      <c r="M169" s="941"/>
    </row>
    <row r="170" spans="13:13">
      <c r="M170" s="952"/>
    </row>
    <row r="171" spans="13:13">
      <c r="M171" s="952"/>
    </row>
    <row r="172" spans="13:13">
      <c r="M172" s="940"/>
    </row>
    <row r="173" spans="13:13">
      <c r="M173" s="940"/>
    </row>
    <row r="174" spans="13:13">
      <c r="M174" s="940"/>
    </row>
    <row r="175" spans="13:13">
      <c r="M175" s="940"/>
    </row>
    <row r="176" spans="13:13">
      <c r="M176" s="940"/>
    </row>
    <row r="177" spans="13:13">
      <c r="M177" s="940"/>
    </row>
    <row r="178" spans="13:13">
      <c r="M178" s="940"/>
    </row>
    <row r="179" spans="13:13">
      <c r="M179" s="953"/>
    </row>
    <row r="181" spans="13:13">
      <c r="M181" s="940"/>
    </row>
    <row r="186" spans="13:13">
      <c r="M186" s="940"/>
    </row>
    <row r="187" spans="13:13">
      <c r="M187" s="951"/>
    </row>
    <row r="188" spans="13:13" ht="12.75" customHeight="1">
      <c r="M188" s="941"/>
    </row>
    <row r="189" spans="13:13" ht="12.75" customHeight="1">
      <c r="M189" s="941"/>
    </row>
    <row r="190" spans="13:13">
      <c r="M190" s="941"/>
    </row>
    <row r="191" spans="13:13" ht="12.75" customHeight="1">
      <c r="M191" s="941"/>
    </row>
    <row r="192" spans="13:13">
      <c r="M192" s="952"/>
    </row>
    <row r="193" spans="13:13">
      <c r="M193" s="952"/>
    </row>
    <row r="194" spans="13:13">
      <c r="M194" s="940"/>
    </row>
    <row r="195" spans="13:13">
      <c r="M195" s="940"/>
    </row>
    <row r="196" spans="13:13">
      <c r="M196" s="940"/>
    </row>
    <row r="197" spans="13:13">
      <c r="M197" s="940"/>
    </row>
    <row r="198" spans="13:13">
      <c r="M198" s="940"/>
    </row>
    <row r="199" spans="13:13">
      <c r="M199" s="940"/>
    </row>
    <row r="200" spans="13:13">
      <c r="M200" s="940"/>
    </row>
    <row r="201" spans="13:13">
      <c r="M201" s="953"/>
    </row>
    <row r="203" spans="13:13">
      <c r="M203" s="940"/>
    </row>
  </sheetData>
  <mergeCells count="16">
    <mergeCell ref="B45:C46"/>
    <mergeCell ref="A49:K57"/>
    <mergeCell ref="C15:E15"/>
    <mergeCell ref="C16:C18"/>
    <mergeCell ref="D16:D18"/>
    <mergeCell ref="E16:E18"/>
    <mergeCell ref="I16:I18"/>
    <mergeCell ref="F17:F18"/>
    <mergeCell ref="H17:H18"/>
    <mergeCell ref="B39:C39"/>
    <mergeCell ref="B14:C14"/>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2" manualBreakCount="2">
    <brk id="76" max="18" man="1"/>
    <brk id="158"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pageSetUpPr fitToPage="1"/>
  </sheetPr>
  <dimension ref="A1:S56"/>
  <sheetViews>
    <sheetView defaultGridColor="0" colorId="22" zoomScale="70" zoomScaleNormal="70" workbookViewId="0">
      <selection activeCell="G22" sqref="G22"/>
    </sheetView>
  </sheetViews>
  <sheetFormatPr defaultColWidth="14.7265625" defaultRowHeight="12.5"/>
  <cols>
    <col min="1" max="1" width="33.1796875" customWidth="1"/>
    <col min="2" max="2" width="11" customWidth="1"/>
    <col min="3" max="3" width="16.81640625" customWidth="1"/>
    <col min="4" max="4" width="16.7265625" customWidth="1"/>
    <col min="5" max="5" width="14.7265625" customWidth="1"/>
    <col min="6" max="6" width="4.81640625" customWidth="1"/>
    <col min="7" max="7" width="14.7265625" customWidth="1"/>
    <col min="8" max="8" width="18.26953125" customWidth="1"/>
    <col min="9" max="9" width="15.54296875" customWidth="1"/>
    <col min="10" max="10" width="6.1796875" customWidth="1"/>
    <col min="11" max="11" width="14.7265625" customWidth="1"/>
    <col min="12" max="12" width="16.1796875" customWidth="1"/>
    <col min="13" max="13" width="14.7265625" customWidth="1"/>
    <col min="14" max="14" width="4.81640625" customWidth="1"/>
    <col min="15" max="15" width="18.54296875" customWidth="1"/>
    <col min="257" max="257" width="33.1796875" customWidth="1"/>
    <col min="258" max="258" width="11" customWidth="1"/>
    <col min="259" max="259" width="16.81640625" customWidth="1"/>
    <col min="260" max="260" width="16.7265625" customWidth="1"/>
    <col min="261" max="261" width="14.7265625" customWidth="1"/>
    <col min="262" max="262" width="4.81640625" customWidth="1"/>
    <col min="263" max="263" width="14.7265625" customWidth="1"/>
    <col min="264" max="264" width="18.26953125" customWidth="1"/>
    <col min="265" max="265" width="15.54296875" customWidth="1"/>
    <col min="266" max="266" width="6.1796875" customWidth="1"/>
    <col min="267" max="267" width="14.7265625" customWidth="1"/>
    <col min="268" max="268" width="16.1796875" customWidth="1"/>
    <col min="269" max="269" width="14.7265625" customWidth="1"/>
    <col min="270" max="270" width="4.81640625" customWidth="1"/>
    <col min="271" max="271" width="18.54296875" customWidth="1"/>
    <col min="513" max="513" width="33.1796875" customWidth="1"/>
    <col min="514" max="514" width="11" customWidth="1"/>
    <col min="515" max="515" width="16.81640625" customWidth="1"/>
    <col min="516" max="516" width="16.7265625" customWidth="1"/>
    <col min="517" max="517" width="14.7265625" customWidth="1"/>
    <col min="518" max="518" width="4.81640625" customWidth="1"/>
    <col min="519" max="519" width="14.7265625" customWidth="1"/>
    <col min="520" max="520" width="18.26953125" customWidth="1"/>
    <col min="521" max="521" width="15.54296875" customWidth="1"/>
    <col min="522" max="522" width="6.1796875" customWidth="1"/>
    <col min="523" max="523" width="14.7265625" customWidth="1"/>
    <col min="524" max="524" width="16.1796875" customWidth="1"/>
    <col min="525" max="525" width="14.7265625" customWidth="1"/>
    <col min="526" max="526" width="4.81640625" customWidth="1"/>
    <col min="527" max="527" width="18.54296875" customWidth="1"/>
    <col min="769" max="769" width="33.1796875" customWidth="1"/>
    <col min="770" max="770" width="11" customWidth="1"/>
    <col min="771" max="771" width="16.81640625" customWidth="1"/>
    <col min="772" max="772" width="16.7265625" customWidth="1"/>
    <col min="773" max="773" width="14.7265625" customWidth="1"/>
    <col min="774" max="774" width="4.81640625" customWidth="1"/>
    <col min="775" max="775" width="14.7265625" customWidth="1"/>
    <col min="776" max="776" width="18.26953125" customWidth="1"/>
    <col min="777" max="777" width="15.54296875" customWidth="1"/>
    <col min="778" max="778" width="6.1796875" customWidth="1"/>
    <col min="779" max="779" width="14.7265625" customWidth="1"/>
    <col min="780" max="780" width="16.1796875" customWidth="1"/>
    <col min="781" max="781" width="14.7265625" customWidth="1"/>
    <col min="782" max="782" width="4.81640625" customWidth="1"/>
    <col min="783" max="783" width="18.54296875" customWidth="1"/>
    <col min="1025" max="1025" width="33.1796875" customWidth="1"/>
    <col min="1026" max="1026" width="11" customWidth="1"/>
    <col min="1027" max="1027" width="16.81640625" customWidth="1"/>
    <col min="1028" max="1028" width="16.7265625" customWidth="1"/>
    <col min="1029" max="1029" width="14.7265625" customWidth="1"/>
    <col min="1030" max="1030" width="4.81640625" customWidth="1"/>
    <col min="1031" max="1031" width="14.7265625" customWidth="1"/>
    <col min="1032" max="1032" width="18.26953125" customWidth="1"/>
    <col min="1033" max="1033" width="15.54296875" customWidth="1"/>
    <col min="1034" max="1034" width="6.1796875" customWidth="1"/>
    <col min="1035" max="1035" width="14.7265625" customWidth="1"/>
    <col min="1036" max="1036" width="16.1796875" customWidth="1"/>
    <col min="1037" max="1037" width="14.7265625" customWidth="1"/>
    <col min="1038" max="1038" width="4.81640625" customWidth="1"/>
    <col min="1039" max="1039" width="18.54296875" customWidth="1"/>
    <col min="1281" max="1281" width="33.1796875" customWidth="1"/>
    <col min="1282" max="1282" width="11" customWidth="1"/>
    <col min="1283" max="1283" width="16.81640625" customWidth="1"/>
    <col min="1284" max="1284" width="16.7265625" customWidth="1"/>
    <col min="1285" max="1285" width="14.7265625" customWidth="1"/>
    <col min="1286" max="1286" width="4.81640625" customWidth="1"/>
    <col min="1287" max="1287" width="14.7265625" customWidth="1"/>
    <col min="1288" max="1288" width="18.26953125" customWidth="1"/>
    <col min="1289" max="1289" width="15.54296875" customWidth="1"/>
    <col min="1290" max="1290" width="6.1796875" customWidth="1"/>
    <col min="1291" max="1291" width="14.7265625" customWidth="1"/>
    <col min="1292" max="1292" width="16.1796875" customWidth="1"/>
    <col min="1293" max="1293" width="14.7265625" customWidth="1"/>
    <col min="1294" max="1294" width="4.81640625" customWidth="1"/>
    <col min="1295" max="1295" width="18.54296875" customWidth="1"/>
    <col min="1537" max="1537" width="33.1796875" customWidth="1"/>
    <col min="1538" max="1538" width="11" customWidth="1"/>
    <col min="1539" max="1539" width="16.81640625" customWidth="1"/>
    <col min="1540" max="1540" width="16.7265625" customWidth="1"/>
    <col min="1541" max="1541" width="14.7265625" customWidth="1"/>
    <col min="1542" max="1542" width="4.81640625" customWidth="1"/>
    <col min="1543" max="1543" width="14.7265625" customWidth="1"/>
    <col min="1544" max="1544" width="18.26953125" customWidth="1"/>
    <col min="1545" max="1545" width="15.54296875" customWidth="1"/>
    <col min="1546" max="1546" width="6.1796875" customWidth="1"/>
    <col min="1547" max="1547" width="14.7265625" customWidth="1"/>
    <col min="1548" max="1548" width="16.1796875" customWidth="1"/>
    <col min="1549" max="1549" width="14.7265625" customWidth="1"/>
    <col min="1550" max="1550" width="4.81640625" customWidth="1"/>
    <col min="1551" max="1551" width="18.54296875" customWidth="1"/>
    <col min="1793" max="1793" width="33.1796875" customWidth="1"/>
    <col min="1794" max="1794" width="11" customWidth="1"/>
    <col min="1795" max="1795" width="16.81640625" customWidth="1"/>
    <col min="1796" max="1796" width="16.7265625" customWidth="1"/>
    <col min="1797" max="1797" width="14.7265625" customWidth="1"/>
    <col min="1798" max="1798" width="4.81640625" customWidth="1"/>
    <col min="1799" max="1799" width="14.7265625" customWidth="1"/>
    <col min="1800" max="1800" width="18.26953125" customWidth="1"/>
    <col min="1801" max="1801" width="15.54296875" customWidth="1"/>
    <col min="1802" max="1802" width="6.1796875" customWidth="1"/>
    <col min="1803" max="1803" width="14.7265625" customWidth="1"/>
    <col min="1804" max="1804" width="16.1796875" customWidth="1"/>
    <col min="1805" max="1805" width="14.7265625" customWidth="1"/>
    <col min="1806" max="1806" width="4.81640625" customWidth="1"/>
    <col min="1807" max="1807" width="18.54296875" customWidth="1"/>
    <col min="2049" max="2049" width="33.1796875" customWidth="1"/>
    <col min="2050" max="2050" width="11" customWidth="1"/>
    <col min="2051" max="2051" width="16.81640625" customWidth="1"/>
    <col min="2052" max="2052" width="16.7265625" customWidth="1"/>
    <col min="2053" max="2053" width="14.7265625" customWidth="1"/>
    <col min="2054" max="2054" width="4.81640625" customWidth="1"/>
    <col min="2055" max="2055" width="14.7265625" customWidth="1"/>
    <col min="2056" max="2056" width="18.26953125" customWidth="1"/>
    <col min="2057" max="2057" width="15.54296875" customWidth="1"/>
    <col min="2058" max="2058" width="6.1796875" customWidth="1"/>
    <col min="2059" max="2059" width="14.7265625" customWidth="1"/>
    <col min="2060" max="2060" width="16.1796875" customWidth="1"/>
    <col min="2061" max="2061" width="14.7265625" customWidth="1"/>
    <col min="2062" max="2062" width="4.81640625" customWidth="1"/>
    <col min="2063" max="2063" width="18.54296875" customWidth="1"/>
    <col min="2305" max="2305" width="33.1796875" customWidth="1"/>
    <col min="2306" max="2306" width="11" customWidth="1"/>
    <col min="2307" max="2307" width="16.81640625" customWidth="1"/>
    <col min="2308" max="2308" width="16.7265625" customWidth="1"/>
    <col min="2309" max="2309" width="14.7265625" customWidth="1"/>
    <col min="2310" max="2310" width="4.81640625" customWidth="1"/>
    <col min="2311" max="2311" width="14.7265625" customWidth="1"/>
    <col min="2312" max="2312" width="18.26953125" customWidth="1"/>
    <col min="2313" max="2313" width="15.54296875" customWidth="1"/>
    <col min="2314" max="2314" width="6.1796875" customWidth="1"/>
    <col min="2315" max="2315" width="14.7265625" customWidth="1"/>
    <col min="2316" max="2316" width="16.1796875" customWidth="1"/>
    <col min="2317" max="2317" width="14.7265625" customWidth="1"/>
    <col min="2318" max="2318" width="4.81640625" customWidth="1"/>
    <col min="2319" max="2319" width="18.54296875" customWidth="1"/>
    <col min="2561" max="2561" width="33.1796875" customWidth="1"/>
    <col min="2562" max="2562" width="11" customWidth="1"/>
    <col min="2563" max="2563" width="16.81640625" customWidth="1"/>
    <col min="2564" max="2564" width="16.7265625" customWidth="1"/>
    <col min="2565" max="2565" width="14.7265625" customWidth="1"/>
    <col min="2566" max="2566" width="4.81640625" customWidth="1"/>
    <col min="2567" max="2567" width="14.7265625" customWidth="1"/>
    <col min="2568" max="2568" width="18.26953125" customWidth="1"/>
    <col min="2569" max="2569" width="15.54296875" customWidth="1"/>
    <col min="2570" max="2570" width="6.1796875" customWidth="1"/>
    <col min="2571" max="2571" width="14.7265625" customWidth="1"/>
    <col min="2572" max="2572" width="16.1796875" customWidth="1"/>
    <col min="2573" max="2573" width="14.7265625" customWidth="1"/>
    <col min="2574" max="2574" width="4.81640625" customWidth="1"/>
    <col min="2575" max="2575" width="18.54296875" customWidth="1"/>
    <col min="2817" max="2817" width="33.1796875" customWidth="1"/>
    <col min="2818" max="2818" width="11" customWidth="1"/>
    <col min="2819" max="2819" width="16.81640625" customWidth="1"/>
    <col min="2820" max="2820" width="16.7265625" customWidth="1"/>
    <col min="2821" max="2821" width="14.7265625" customWidth="1"/>
    <col min="2822" max="2822" width="4.81640625" customWidth="1"/>
    <col min="2823" max="2823" width="14.7265625" customWidth="1"/>
    <col min="2824" max="2824" width="18.26953125" customWidth="1"/>
    <col min="2825" max="2825" width="15.54296875" customWidth="1"/>
    <col min="2826" max="2826" width="6.1796875" customWidth="1"/>
    <col min="2827" max="2827" width="14.7265625" customWidth="1"/>
    <col min="2828" max="2828" width="16.1796875" customWidth="1"/>
    <col min="2829" max="2829" width="14.7265625" customWidth="1"/>
    <col min="2830" max="2830" width="4.81640625" customWidth="1"/>
    <col min="2831" max="2831" width="18.54296875" customWidth="1"/>
    <col min="3073" max="3073" width="33.1796875" customWidth="1"/>
    <col min="3074" max="3074" width="11" customWidth="1"/>
    <col min="3075" max="3075" width="16.81640625" customWidth="1"/>
    <col min="3076" max="3076" width="16.7265625" customWidth="1"/>
    <col min="3077" max="3077" width="14.7265625" customWidth="1"/>
    <col min="3078" max="3078" width="4.81640625" customWidth="1"/>
    <col min="3079" max="3079" width="14.7265625" customWidth="1"/>
    <col min="3080" max="3080" width="18.26953125" customWidth="1"/>
    <col min="3081" max="3081" width="15.54296875" customWidth="1"/>
    <col min="3082" max="3082" width="6.1796875" customWidth="1"/>
    <col min="3083" max="3083" width="14.7265625" customWidth="1"/>
    <col min="3084" max="3084" width="16.1796875" customWidth="1"/>
    <col min="3085" max="3085" width="14.7265625" customWidth="1"/>
    <col min="3086" max="3086" width="4.81640625" customWidth="1"/>
    <col min="3087" max="3087" width="18.54296875" customWidth="1"/>
    <col min="3329" max="3329" width="33.1796875" customWidth="1"/>
    <col min="3330" max="3330" width="11" customWidth="1"/>
    <col min="3331" max="3331" width="16.81640625" customWidth="1"/>
    <col min="3332" max="3332" width="16.7265625" customWidth="1"/>
    <col min="3333" max="3333" width="14.7265625" customWidth="1"/>
    <col min="3334" max="3334" width="4.81640625" customWidth="1"/>
    <col min="3335" max="3335" width="14.7265625" customWidth="1"/>
    <col min="3336" max="3336" width="18.26953125" customWidth="1"/>
    <col min="3337" max="3337" width="15.54296875" customWidth="1"/>
    <col min="3338" max="3338" width="6.1796875" customWidth="1"/>
    <col min="3339" max="3339" width="14.7265625" customWidth="1"/>
    <col min="3340" max="3340" width="16.1796875" customWidth="1"/>
    <col min="3341" max="3341" width="14.7265625" customWidth="1"/>
    <col min="3342" max="3342" width="4.81640625" customWidth="1"/>
    <col min="3343" max="3343" width="18.54296875" customWidth="1"/>
    <col min="3585" max="3585" width="33.1796875" customWidth="1"/>
    <col min="3586" max="3586" width="11" customWidth="1"/>
    <col min="3587" max="3587" width="16.81640625" customWidth="1"/>
    <col min="3588" max="3588" width="16.7265625" customWidth="1"/>
    <col min="3589" max="3589" width="14.7265625" customWidth="1"/>
    <col min="3590" max="3590" width="4.81640625" customWidth="1"/>
    <col min="3591" max="3591" width="14.7265625" customWidth="1"/>
    <col min="3592" max="3592" width="18.26953125" customWidth="1"/>
    <col min="3593" max="3593" width="15.54296875" customWidth="1"/>
    <col min="3594" max="3594" width="6.1796875" customWidth="1"/>
    <col min="3595" max="3595" width="14.7265625" customWidth="1"/>
    <col min="3596" max="3596" width="16.1796875" customWidth="1"/>
    <col min="3597" max="3597" width="14.7265625" customWidth="1"/>
    <col min="3598" max="3598" width="4.81640625" customWidth="1"/>
    <col min="3599" max="3599" width="18.54296875" customWidth="1"/>
    <col min="3841" max="3841" width="33.1796875" customWidth="1"/>
    <col min="3842" max="3842" width="11" customWidth="1"/>
    <col min="3843" max="3843" width="16.81640625" customWidth="1"/>
    <col min="3844" max="3844" width="16.7265625" customWidth="1"/>
    <col min="3845" max="3845" width="14.7265625" customWidth="1"/>
    <col min="3846" max="3846" width="4.81640625" customWidth="1"/>
    <col min="3847" max="3847" width="14.7265625" customWidth="1"/>
    <col min="3848" max="3848" width="18.26953125" customWidth="1"/>
    <col min="3849" max="3849" width="15.54296875" customWidth="1"/>
    <col min="3850" max="3850" width="6.1796875" customWidth="1"/>
    <col min="3851" max="3851" width="14.7265625" customWidth="1"/>
    <col min="3852" max="3852" width="16.1796875" customWidth="1"/>
    <col min="3853" max="3853" width="14.7265625" customWidth="1"/>
    <col min="3854" max="3854" width="4.81640625" customWidth="1"/>
    <col min="3855" max="3855" width="18.54296875" customWidth="1"/>
    <col min="4097" max="4097" width="33.1796875" customWidth="1"/>
    <col min="4098" max="4098" width="11" customWidth="1"/>
    <col min="4099" max="4099" width="16.81640625" customWidth="1"/>
    <col min="4100" max="4100" width="16.7265625" customWidth="1"/>
    <col min="4101" max="4101" width="14.7265625" customWidth="1"/>
    <col min="4102" max="4102" width="4.81640625" customWidth="1"/>
    <col min="4103" max="4103" width="14.7265625" customWidth="1"/>
    <col min="4104" max="4104" width="18.26953125" customWidth="1"/>
    <col min="4105" max="4105" width="15.54296875" customWidth="1"/>
    <col min="4106" max="4106" width="6.1796875" customWidth="1"/>
    <col min="4107" max="4107" width="14.7265625" customWidth="1"/>
    <col min="4108" max="4108" width="16.1796875" customWidth="1"/>
    <col min="4109" max="4109" width="14.7265625" customWidth="1"/>
    <col min="4110" max="4110" width="4.81640625" customWidth="1"/>
    <col min="4111" max="4111" width="18.54296875" customWidth="1"/>
    <col min="4353" max="4353" width="33.1796875" customWidth="1"/>
    <col min="4354" max="4354" width="11" customWidth="1"/>
    <col min="4355" max="4355" width="16.81640625" customWidth="1"/>
    <col min="4356" max="4356" width="16.7265625" customWidth="1"/>
    <col min="4357" max="4357" width="14.7265625" customWidth="1"/>
    <col min="4358" max="4358" width="4.81640625" customWidth="1"/>
    <col min="4359" max="4359" width="14.7265625" customWidth="1"/>
    <col min="4360" max="4360" width="18.26953125" customWidth="1"/>
    <col min="4361" max="4361" width="15.54296875" customWidth="1"/>
    <col min="4362" max="4362" width="6.1796875" customWidth="1"/>
    <col min="4363" max="4363" width="14.7265625" customWidth="1"/>
    <col min="4364" max="4364" width="16.1796875" customWidth="1"/>
    <col min="4365" max="4365" width="14.7265625" customWidth="1"/>
    <col min="4366" max="4366" width="4.81640625" customWidth="1"/>
    <col min="4367" max="4367" width="18.54296875" customWidth="1"/>
    <col min="4609" max="4609" width="33.1796875" customWidth="1"/>
    <col min="4610" max="4610" width="11" customWidth="1"/>
    <col min="4611" max="4611" width="16.81640625" customWidth="1"/>
    <col min="4612" max="4612" width="16.7265625" customWidth="1"/>
    <col min="4613" max="4613" width="14.7265625" customWidth="1"/>
    <col min="4614" max="4614" width="4.81640625" customWidth="1"/>
    <col min="4615" max="4615" width="14.7265625" customWidth="1"/>
    <col min="4616" max="4616" width="18.26953125" customWidth="1"/>
    <col min="4617" max="4617" width="15.54296875" customWidth="1"/>
    <col min="4618" max="4618" width="6.1796875" customWidth="1"/>
    <col min="4619" max="4619" width="14.7265625" customWidth="1"/>
    <col min="4620" max="4620" width="16.1796875" customWidth="1"/>
    <col min="4621" max="4621" width="14.7265625" customWidth="1"/>
    <col min="4622" max="4622" width="4.81640625" customWidth="1"/>
    <col min="4623" max="4623" width="18.54296875" customWidth="1"/>
    <col min="4865" max="4865" width="33.1796875" customWidth="1"/>
    <col min="4866" max="4866" width="11" customWidth="1"/>
    <col min="4867" max="4867" width="16.81640625" customWidth="1"/>
    <col min="4868" max="4868" width="16.7265625" customWidth="1"/>
    <col min="4869" max="4869" width="14.7265625" customWidth="1"/>
    <col min="4870" max="4870" width="4.81640625" customWidth="1"/>
    <col min="4871" max="4871" width="14.7265625" customWidth="1"/>
    <col min="4872" max="4872" width="18.26953125" customWidth="1"/>
    <col min="4873" max="4873" width="15.54296875" customWidth="1"/>
    <col min="4874" max="4874" width="6.1796875" customWidth="1"/>
    <col min="4875" max="4875" width="14.7265625" customWidth="1"/>
    <col min="4876" max="4876" width="16.1796875" customWidth="1"/>
    <col min="4877" max="4877" width="14.7265625" customWidth="1"/>
    <col min="4878" max="4878" width="4.81640625" customWidth="1"/>
    <col min="4879" max="4879" width="18.54296875" customWidth="1"/>
    <col min="5121" max="5121" width="33.1796875" customWidth="1"/>
    <col min="5122" max="5122" width="11" customWidth="1"/>
    <col min="5123" max="5123" width="16.81640625" customWidth="1"/>
    <col min="5124" max="5124" width="16.7265625" customWidth="1"/>
    <col min="5125" max="5125" width="14.7265625" customWidth="1"/>
    <col min="5126" max="5126" width="4.81640625" customWidth="1"/>
    <col min="5127" max="5127" width="14.7265625" customWidth="1"/>
    <col min="5128" max="5128" width="18.26953125" customWidth="1"/>
    <col min="5129" max="5129" width="15.54296875" customWidth="1"/>
    <col min="5130" max="5130" width="6.1796875" customWidth="1"/>
    <col min="5131" max="5131" width="14.7265625" customWidth="1"/>
    <col min="5132" max="5132" width="16.1796875" customWidth="1"/>
    <col min="5133" max="5133" width="14.7265625" customWidth="1"/>
    <col min="5134" max="5134" width="4.81640625" customWidth="1"/>
    <col min="5135" max="5135" width="18.54296875" customWidth="1"/>
    <col min="5377" max="5377" width="33.1796875" customWidth="1"/>
    <col min="5378" max="5378" width="11" customWidth="1"/>
    <col min="5379" max="5379" width="16.81640625" customWidth="1"/>
    <col min="5380" max="5380" width="16.7265625" customWidth="1"/>
    <col min="5381" max="5381" width="14.7265625" customWidth="1"/>
    <col min="5382" max="5382" width="4.81640625" customWidth="1"/>
    <col min="5383" max="5383" width="14.7265625" customWidth="1"/>
    <col min="5384" max="5384" width="18.26953125" customWidth="1"/>
    <col min="5385" max="5385" width="15.54296875" customWidth="1"/>
    <col min="5386" max="5386" width="6.1796875" customWidth="1"/>
    <col min="5387" max="5387" width="14.7265625" customWidth="1"/>
    <col min="5388" max="5388" width="16.1796875" customWidth="1"/>
    <col min="5389" max="5389" width="14.7265625" customWidth="1"/>
    <col min="5390" max="5390" width="4.81640625" customWidth="1"/>
    <col min="5391" max="5391" width="18.54296875" customWidth="1"/>
    <col min="5633" max="5633" width="33.1796875" customWidth="1"/>
    <col min="5634" max="5634" width="11" customWidth="1"/>
    <col min="5635" max="5635" width="16.81640625" customWidth="1"/>
    <col min="5636" max="5636" width="16.7265625" customWidth="1"/>
    <col min="5637" max="5637" width="14.7265625" customWidth="1"/>
    <col min="5638" max="5638" width="4.81640625" customWidth="1"/>
    <col min="5639" max="5639" width="14.7265625" customWidth="1"/>
    <col min="5640" max="5640" width="18.26953125" customWidth="1"/>
    <col min="5641" max="5641" width="15.54296875" customWidth="1"/>
    <col min="5642" max="5642" width="6.1796875" customWidth="1"/>
    <col min="5643" max="5643" width="14.7265625" customWidth="1"/>
    <col min="5644" max="5644" width="16.1796875" customWidth="1"/>
    <col min="5645" max="5645" width="14.7265625" customWidth="1"/>
    <col min="5646" max="5646" width="4.81640625" customWidth="1"/>
    <col min="5647" max="5647" width="18.54296875" customWidth="1"/>
    <col min="5889" max="5889" width="33.1796875" customWidth="1"/>
    <col min="5890" max="5890" width="11" customWidth="1"/>
    <col min="5891" max="5891" width="16.81640625" customWidth="1"/>
    <col min="5892" max="5892" width="16.7265625" customWidth="1"/>
    <col min="5893" max="5893" width="14.7265625" customWidth="1"/>
    <col min="5894" max="5894" width="4.81640625" customWidth="1"/>
    <col min="5895" max="5895" width="14.7265625" customWidth="1"/>
    <col min="5896" max="5896" width="18.26953125" customWidth="1"/>
    <col min="5897" max="5897" width="15.54296875" customWidth="1"/>
    <col min="5898" max="5898" width="6.1796875" customWidth="1"/>
    <col min="5899" max="5899" width="14.7265625" customWidth="1"/>
    <col min="5900" max="5900" width="16.1796875" customWidth="1"/>
    <col min="5901" max="5901" width="14.7265625" customWidth="1"/>
    <col min="5902" max="5902" width="4.81640625" customWidth="1"/>
    <col min="5903" max="5903" width="18.54296875" customWidth="1"/>
    <col min="6145" max="6145" width="33.1796875" customWidth="1"/>
    <col min="6146" max="6146" width="11" customWidth="1"/>
    <col min="6147" max="6147" width="16.81640625" customWidth="1"/>
    <col min="6148" max="6148" width="16.7265625" customWidth="1"/>
    <col min="6149" max="6149" width="14.7265625" customWidth="1"/>
    <col min="6150" max="6150" width="4.81640625" customWidth="1"/>
    <col min="6151" max="6151" width="14.7265625" customWidth="1"/>
    <col min="6152" max="6152" width="18.26953125" customWidth="1"/>
    <col min="6153" max="6153" width="15.54296875" customWidth="1"/>
    <col min="6154" max="6154" width="6.1796875" customWidth="1"/>
    <col min="6155" max="6155" width="14.7265625" customWidth="1"/>
    <col min="6156" max="6156" width="16.1796875" customWidth="1"/>
    <col min="6157" max="6157" width="14.7265625" customWidth="1"/>
    <col min="6158" max="6158" width="4.81640625" customWidth="1"/>
    <col min="6159" max="6159" width="18.54296875" customWidth="1"/>
    <col min="6401" max="6401" width="33.1796875" customWidth="1"/>
    <col min="6402" max="6402" width="11" customWidth="1"/>
    <col min="6403" max="6403" width="16.81640625" customWidth="1"/>
    <col min="6404" max="6404" width="16.7265625" customWidth="1"/>
    <col min="6405" max="6405" width="14.7265625" customWidth="1"/>
    <col min="6406" max="6406" width="4.81640625" customWidth="1"/>
    <col min="6407" max="6407" width="14.7265625" customWidth="1"/>
    <col min="6408" max="6408" width="18.26953125" customWidth="1"/>
    <col min="6409" max="6409" width="15.54296875" customWidth="1"/>
    <col min="6410" max="6410" width="6.1796875" customWidth="1"/>
    <col min="6411" max="6411" width="14.7265625" customWidth="1"/>
    <col min="6412" max="6412" width="16.1796875" customWidth="1"/>
    <col min="6413" max="6413" width="14.7265625" customWidth="1"/>
    <col min="6414" max="6414" width="4.81640625" customWidth="1"/>
    <col min="6415" max="6415" width="18.54296875" customWidth="1"/>
    <col min="6657" max="6657" width="33.1796875" customWidth="1"/>
    <col min="6658" max="6658" width="11" customWidth="1"/>
    <col min="6659" max="6659" width="16.81640625" customWidth="1"/>
    <col min="6660" max="6660" width="16.7265625" customWidth="1"/>
    <col min="6661" max="6661" width="14.7265625" customWidth="1"/>
    <col min="6662" max="6662" width="4.81640625" customWidth="1"/>
    <col min="6663" max="6663" width="14.7265625" customWidth="1"/>
    <col min="6664" max="6664" width="18.26953125" customWidth="1"/>
    <col min="6665" max="6665" width="15.54296875" customWidth="1"/>
    <col min="6666" max="6666" width="6.1796875" customWidth="1"/>
    <col min="6667" max="6667" width="14.7265625" customWidth="1"/>
    <col min="6668" max="6668" width="16.1796875" customWidth="1"/>
    <col min="6669" max="6669" width="14.7265625" customWidth="1"/>
    <col min="6670" max="6670" width="4.81640625" customWidth="1"/>
    <col min="6671" max="6671" width="18.54296875" customWidth="1"/>
    <col min="6913" max="6913" width="33.1796875" customWidth="1"/>
    <col min="6914" max="6914" width="11" customWidth="1"/>
    <col min="6915" max="6915" width="16.81640625" customWidth="1"/>
    <col min="6916" max="6916" width="16.7265625" customWidth="1"/>
    <col min="6917" max="6917" width="14.7265625" customWidth="1"/>
    <col min="6918" max="6918" width="4.81640625" customWidth="1"/>
    <col min="6919" max="6919" width="14.7265625" customWidth="1"/>
    <col min="6920" max="6920" width="18.26953125" customWidth="1"/>
    <col min="6921" max="6921" width="15.54296875" customWidth="1"/>
    <col min="6922" max="6922" width="6.1796875" customWidth="1"/>
    <col min="6923" max="6923" width="14.7265625" customWidth="1"/>
    <col min="6924" max="6924" width="16.1796875" customWidth="1"/>
    <col min="6925" max="6925" width="14.7265625" customWidth="1"/>
    <col min="6926" max="6926" width="4.81640625" customWidth="1"/>
    <col min="6927" max="6927" width="18.54296875" customWidth="1"/>
    <col min="7169" max="7169" width="33.1796875" customWidth="1"/>
    <col min="7170" max="7170" width="11" customWidth="1"/>
    <col min="7171" max="7171" width="16.81640625" customWidth="1"/>
    <col min="7172" max="7172" width="16.7265625" customWidth="1"/>
    <col min="7173" max="7173" width="14.7265625" customWidth="1"/>
    <col min="7174" max="7174" width="4.81640625" customWidth="1"/>
    <col min="7175" max="7175" width="14.7265625" customWidth="1"/>
    <col min="7176" max="7176" width="18.26953125" customWidth="1"/>
    <col min="7177" max="7177" width="15.54296875" customWidth="1"/>
    <col min="7178" max="7178" width="6.1796875" customWidth="1"/>
    <col min="7179" max="7179" width="14.7265625" customWidth="1"/>
    <col min="7180" max="7180" width="16.1796875" customWidth="1"/>
    <col min="7181" max="7181" width="14.7265625" customWidth="1"/>
    <col min="7182" max="7182" width="4.81640625" customWidth="1"/>
    <col min="7183" max="7183" width="18.54296875" customWidth="1"/>
    <col min="7425" max="7425" width="33.1796875" customWidth="1"/>
    <col min="7426" max="7426" width="11" customWidth="1"/>
    <col min="7427" max="7427" width="16.81640625" customWidth="1"/>
    <col min="7428" max="7428" width="16.7265625" customWidth="1"/>
    <col min="7429" max="7429" width="14.7265625" customWidth="1"/>
    <col min="7430" max="7430" width="4.81640625" customWidth="1"/>
    <col min="7431" max="7431" width="14.7265625" customWidth="1"/>
    <col min="7432" max="7432" width="18.26953125" customWidth="1"/>
    <col min="7433" max="7433" width="15.54296875" customWidth="1"/>
    <col min="7434" max="7434" width="6.1796875" customWidth="1"/>
    <col min="7435" max="7435" width="14.7265625" customWidth="1"/>
    <col min="7436" max="7436" width="16.1796875" customWidth="1"/>
    <col min="7437" max="7437" width="14.7265625" customWidth="1"/>
    <col min="7438" max="7438" width="4.81640625" customWidth="1"/>
    <col min="7439" max="7439" width="18.54296875" customWidth="1"/>
    <col min="7681" max="7681" width="33.1796875" customWidth="1"/>
    <col min="7682" max="7682" width="11" customWidth="1"/>
    <col min="7683" max="7683" width="16.81640625" customWidth="1"/>
    <col min="7684" max="7684" width="16.7265625" customWidth="1"/>
    <col min="7685" max="7685" width="14.7265625" customWidth="1"/>
    <col min="7686" max="7686" width="4.81640625" customWidth="1"/>
    <col min="7687" max="7687" width="14.7265625" customWidth="1"/>
    <col min="7688" max="7688" width="18.26953125" customWidth="1"/>
    <col min="7689" max="7689" width="15.54296875" customWidth="1"/>
    <col min="7690" max="7690" width="6.1796875" customWidth="1"/>
    <col min="7691" max="7691" width="14.7265625" customWidth="1"/>
    <col min="7692" max="7692" width="16.1796875" customWidth="1"/>
    <col min="7693" max="7693" width="14.7265625" customWidth="1"/>
    <col min="7694" max="7694" width="4.81640625" customWidth="1"/>
    <col min="7695" max="7695" width="18.54296875" customWidth="1"/>
    <col min="7937" max="7937" width="33.1796875" customWidth="1"/>
    <col min="7938" max="7938" width="11" customWidth="1"/>
    <col min="7939" max="7939" width="16.81640625" customWidth="1"/>
    <col min="7940" max="7940" width="16.7265625" customWidth="1"/>
    <col min="7941" max="7941" width="14.7265625" customWidth="1"/>
    <col min="7942" max="7942" width="4.81640625" customWidth="1"/>
    <col min="7943" max="7943" width="14.7265625" customWidth="1"/>
    <col min="7944" max="7944" width="18.26953125" customWidth="1"/>
    <col min="7945" max="7945" width="15.54296875" customWidth="1"/>
    <col min="7946" max="7946" width="6.1796875" customWidth="1"/>
    <col min="7947" max="7947" width="14.7265625" customWidth="1"/>
    <col min="7948" max="7948" width="16.1796875" customWidth="1"/>
    <col min="7949" max="7949" width="14.7265625" customWidth="1"/>
    <col min="7950" max="7950" width="4.81640625" customWidth="1"/>
    <col min="7951" max="7951" width="18.54296875" customWidth="1"/>
    <col min="8193" max="8193" width="33.1796875" customWidth="1"/>
    <col min="8194" max="8194" width="11" customWidth="1"/>
    <col min="8195" max="8195" width="16.81640625" customWidth="1"/>
    <col min="8196" max="8196" width="16.7265625" customWidth="1"/>
    <col min="8197" max="8197" width="14.7265625" customWidth="1"/>
    <col min="8198" max="8198" width="4.81640625" customWidth="1"/>
    <col min="8199" max="8199" width="14.7265625" customWidth="1"/>
    <col min="8200" max="8200" width="18.26953125" customWidth="1"/>
    <col min="8201" max="8201" width="15.54296875" customWidth="1"/>
    <col min="8202" max="8202" width="6.1796875" customWidth="1"/>
    <col min="8203" max="8203" width="14.7265625" customWidth="1"/>
    <col min="8204" max="8204" width="16.1796875" customWidth="1"/>
    <col min="8205" max="8205" width="14.7265625" customWidth="1"/>
    <col min="8206" max="8206" width="4.81640625" customWidth="1"/>
    <col min="8207" max="8207" width="18.54296875" customWidth="1"/>
    <col min="8449" max="8449" width="33.1796875" customWidth="1"/>
    <col min="8450" max="8450" width="11" customWidth="1"/>
    <col min="8451" max="8451" width="16.81640625" customWidth="1"/>
    <col min="8452" max="8452" width="16.7265625" customWidth="1"/>
    <col min="8453" max="8453" width="14.7265625" customWidth="1"/>
    <col min="8454" max="8454" width="4.81640625" customWidth="1"/>
    <col min="8455" max="8455" width="14.7265625" customWidth="1"/>
    <col min="8456" max="8456" width="18.26953125" customWidth="1"/>
    <col min="8457" max="8457" width="15.54296875" customWidth="1"/>
    <col min="8458" max="8458" width="6.1796875" customWidth="1"/>
    <col min="8459" max="8459" width="14.7265625" customWidth="1"/>
    <col min="8460" max="8460" width="16.1796875" customWidth="1"/>
    <col min="8461" max="8461" width="14.7265625" customWidth="1"/>
    <col min="8462" max="8462" width="4.81640625" customWidth="1"/>
    <col min="8463" max="8463" width="18.54296875" customWidth="1"/>
    <col min="8705" max="8705" width="33.1796875" customWidth="1"/>
    <col min="8706" max="8706" width="11" customWidth="1"/>
    <col min="8707" max="8707" width="16.81640625" customWidth="1"/>
    <col min="8708" max="8708" width="16.7265625" customWidth="1"/>
    <col min="8709" max="8709" width="14.7265625" customWidth="1"/>
    <col min="8710" max="8710" width="4.81640625" customWidth="1"/>
    <col min="8711" max="8711" width="14.7265625" customWidth="1"/>
    <col min="8712" max="8712" width="18.26953125" customWidth="1"/>
    <col min="8713" max="8713" width="15.54296875" customWidth="1"/>
    <col min="8714" max="8714" width="6.1796875" customWidth="1"/>
    <col min="8715" max="8715" width="14.7265625" customWidth="1"/>
    <col min="8716" max="8716" width="16.1796875" customWidth="1"/>
    <col min="8717" max="8717" width="14.7265625" customWidth="1"/>
    <col min="8718" max="8718" width="4.81640625" customWidth="1"/>
    <col min="8719" max="8719" width="18.54296875" customWidth="1"/>
    <col min="8961" max="8961" width="33.1796875" customWidth="1"/>
    <col min="8962" max="8962" width="11" customWidth="1"/>
    <col min="8963" max="8963" width="16.81640625" customWidth="1"/>
    <col min="8964" max="8964" width="16.7265625" customWidth="1"/>
    <col min="8965" max="8965" width="14.7265625" customWidth="1"/>
    <col min="8966" max="8966" width="4.81640625" customWidth="1"/>
    <col min="8967" max="8967" width="14.7265625" customWidth="1"/>
    <col min="8968" max="8968" width="18.26953125" customWidth="1"/>
    <col min="8969" max="8969" width="15.54296875" customWidth="1"/>
    <col min="8970" max="8970" width="6.1796875" customWidth="1"/>
    <col min="8971" max="8971" width="14.7265625" customWidth="1"/>
    <col min="8972" max="8972" width="16.1796875" customWidth="1"/>
    <col min="8973" max="8973" width="14.7265625" customWidth="1"/>
    <col min="8974" max="8974" width="4.81640625" customWidth="1"/>
    <col min="8975" max="8975" width="18.54296875" customWidth="1"/>
    <col min="9217" max="9217" width="33.1796875" customWidth="1"/>
    <col min="9218" max="9218" width="11" customWidth="1"/>
    <col min="9219" max="9219" width="16.81640625" customWidth="1"/>
    <col min="9220" max="9220" width="16.7265625" customWidth="1"/>
    <col min="9221" max="9221" width="14.7265625" customWidth="1"/>
    <col min="9222" max="9222" width="4.81640625" customWidth="1"/>
    <col min="9223" max="9223" width="14.7265625" customWidth="1"/>
    <col min="9224" max="9224" width="18.26953125" customWidth="1"/>
    <col min="9225" max="9225" width="15.54296875" customWidth="1"/>
    <col min="9226" max="9226" width="6.1796875" customWidth="1"/>
    <col min="9227" max="9227" width="14.7265625" customWidth="1"/>
    <col min="9228" max="9228" width="16.1796875" customWidth="1"/>
    <col min="9229" max="9229" width="14.7265625" customWidth="1"/>
    <col min="9230" max="9230" width="4.81640625" customWidth="1"/>
    <col min="9231" max="9231" width="18.54296875" customWidth="1"/>
    <col min="9473" max="9473" width="33.1796875" customWidth="1"/>
    <col min="9474" max="9474" width="11" customWidth="1"/>
    <col min="9475" max="9475" width="16.81640625" customWidth="1"/>
    <col min="9476" max="9476" width="16.7265625" customWidth="1"/>
    <col min="9477" max="9477" width="14.7265625" customWidth="1"/>
    <col min="9478" max="9478" width="4.81640625" customWidth="1"/>
    <col min="9479" max="9479" width="14.7265625" customWidth="1"/>
    <col min="9480" max="9480" width="18.26953125" customWidth="1"/>
    <col min="9481" max="9481" width="15.54296875" customWidth="1"/>
    <col min="9482" max="9482" width="6.1796875" customWidth="1"/>
    <col min="9483" max="9483" width="14.7265625" customWidth="1"/>
    <col min="9484" max="9484" width="16.1796875" customWidth="1"/>
    <col min="9485" max="9485" width="14.7265625" customWidth="1"/>
    <col min="9486" max="9486" width="4.81640625" customWidth="1"/>
    <col min="9487" max="9487" width="18.54296875" customWidth="1"/>
    <col min="9729" max="9729" width="33.1796875" customWidth="1"/>
    <col min="9730" max="9730" width="11" customWidth="1"/>
    <col min="9731" max="9731" width="16.81640625" customWidth="1"/>
    <col min="9732" max="9732" width="16.7265625" customWidth="1"/>
    <col min="9733" max="9733" width="14.7265625" customWidth="1"/>
    <col min="9734" max="9734" width="4.81640625" customWidth="1"/>
    <col min="9735" max="9735" width="14.7265625" customWidth="1"/>
    <col min="9736" max="9736" width="18.26953125" customWidth="1"/>
    <col min="9737" max="9737" width="15.54296875" customWidth="1"/>
    <col min="9738" max="9738" width="6.1796875" customWidth="1"/>
    <col min="9739" max="9739" width="14.7265625" customWidth="1"/>
    <col min="9740" max="9740" width="16.1796875" customWidth="1"/>
    <col min="9741" max="9741" width="14.7265625" customWidth="1"/>
    <col min="9742" max="9742" width="4.81640625" customWidth="1"/>
    <col min="9743" max="9743" width="18.54296875" customWidth="1"/>
    <col min="9985" max="9985" width="33.1796875" customWidth="1"/>
    <col min="9986" max="9986" width="11" customWidth="1"/>
    <col min="9987" max="9987" width="16.81640625" customWidth="1"/>
    <col min="9988" max="9988" width="16.7265625" customWidth="1"/>
    <col min="9989" max="9989" width="14.7265625" customWidth="1"/>
    <col min="9990" max="9990" width="4.81640625" customWidth="1"/>
    <col min="9991" max="9991" width="14.7265625" customWidth="1"/>
    <col min="9992" max="9992" width="18.26953125" customWidth="1"/>
    <col min="9993" max="9993" width="15.54296875" customWidth="1"/>
    <col min="9994" max="9994" width="6.1796875" customWidth="1"/>
    <col min="9995" max="9995" width="14.7265625" customWidth="1"/>
    <col min="9996" max="9996" width="16.1796875" customWidth="1"/>
    <col min="9997" max="9997" width="14.7265625" customWidth="1"/>
    <col min="9998" max="9998" width="4.81640625" customWidth="1"/>
    <col min="9999" max="9999" width="18.54296875" customWidth="1"/>
    <col min="10241" max="10241" width="33.1796875" customWidth="1"/>
    <col min="10242" max="10242" width="11" customWidth="1"/>
    <col min="10243" max="10243" width="16.81640625" customWidth="1"/>
    <col min="10244" max="10244" width="16.7265625" customWidth="1"/>
    <col min="10245" max="10245" width="14.7265625" customWidth="1"/>
    <col min="10246" max="10246" width="4.81640625" customWidth="1"/>
    <col min="10247" max="10247" width="14.7265625" customWidth="1"/>
    <col min="10248" max="10248" width="18.26953125" customWidth="1"/>
    <col min="10249" max="10249" width="15.54296875" customWidth="1"/>
    <col min="10250" max="10250" width="6.1796875" customWidth="1"/>
    <col min="10251" max="10251" width="14.7265625" customWidth="1"/>
    <col min="10252" max="10252" width="16.1796875" customWidth="1"/>
    <col min="10253" max="10253" width="14.7265625" customWidth="1"/>
    <col min="10254" max="10254" width="4.81640625" customWidth="1"/>
    <col min="10255" max="10255" width="18.54296875" customWidth="1"/>
    <col min="10497" max="10497" width="33.1796875" customWidth="1"/>
    <col min="10498" max="10498" width="11" customWidth="1"/>
    <col min="10499" max="10499" width="16.81640625" customWidth="1"/>
    <col min="10500" max="10500" width="16.7265625" customWidth="1"/>
    <col min="10501" max="10501" width="14.7265625" customWidth="1"/>
    <col min="10502" max="10502" width="4.81640625" customWidth="1"/>
    <col min="10503" max="10503" width="14.7265625" customWidth="1"/>
    <col min="10504" max="10504" width="18.26953125" customWidth="1"/>
    <col min="10505" max="10505" width="15.54296875" customWidth="1"/>
    <col min="10506" max="10506" width="6.1796875" customWidth="1"/>
    <col min="10507" max="10507" width="14.7265625" customWidth="1"/>
    <col min="10508" max="10508" width="16.1796875" customWidth="1"/>
    <col min="10509" max="10509" width="14.7265625" customWidth="1"/>
    <col min="10510" max="10510" width="4.81640625" customWidth="1"/>
    <col min="10511" max="10511" width="18.54296875" customWidth="1"/>
    <col min="10753" max="10753" width="33.1796875" customWidth="1"/>
    <col min="10754" max="10754" width="11" customWidth="1"/>
    <col min="10755" max="10755" width="16.81640625" customWidth="1"/>
    <col min="10756" max="10756" width="16.7265625" customWidth="1"/>
    <col min="10757" max="10757" width="14.7265625" customWidth="1"/>
    <col min="10758" max="10758" width="4.81640625" customWidth="1"/>
    <col min="10759" max="10759" width="14.7265625" customWidth="1"/>
    <col min="10760" max="10760" width="18.26953125" customWidth="1"/>
    <col min="10761" max="10761" width="15.54296875" customWidth="1"/>
    <col min="10762" max="10762" width="6.1796875" customWidth="1"/>
    <col min="10763" max="10763" width="14.7265625" customWidth="1"/>
    <col min="10764" max="10764" width="16.1796875" customWidth="1"/>
    <col min="10765" max="10765" width="14.7265625" customWidth="1"/>
    <col min="10766" max="10766" width="4.81640625" customWidth="1"/>
    <col min="10767" max="10767" width="18.54296875" customWidth="1"/>
    <col min="11009" max="11009" width="33.1796875" customWidth="1"/>
    <col min="11010" max="11010" width="11" customWidth="1"/>
    <col min="11011" max="11011" width="16.81640625" customWidth="1"/>
    <col min="11012" max="11012" width="16.7265625" customWidth="1"/>
    <col min="11013" max="11013" width="14.7265625" customWidth="1"/>
    <col min="11014" max="11014" width="4.81640625" customWidth="1"/>
    <col min="11015" max="11015" width="14.7265625" customWidth="1"/>
    <col min="11016" max="11016" width="18.26953125" customWidth="1"/>
    <col min="11017" max="11017" width="15.54296875" customWidth="1"/>
    <col min="11018" max="11018" width="6.1796875" customWidth="1"/>
    <col min="11019" max="11019" width="14.7265625" customWidth="1"/>
    <col min="11020" max="11020" width="16.1796875" customWidth="1"/>
    <col min="11021" max="11021" width="14.7265625" customWidth="1"/>
    <col min="11022" max="11022" width="4.81640625" customWidth="1"/>
    <col min="11023" max="11023" width="18.54296875" customWidth="1"/>
    <col min="11265" max="11265" width="33.1796875" customWidth="1"/>
    <col min="11266" max="11266" width="11" customWidth="1"/>
    <col min="11267" max="11267" width="16.81640625" customWidth="1"/>
    <col min="11268" max="11268" width="16.7265625" customWidth="1"/>
    <col min="11269" max="11269" width="14.7265625" customWidth="1"/>
    <col min="11270" max="11270" width="4.81640625" customWidth="1"/>
    <col min="11271" max="11271" width="14.7265625" customWidth="1"/>
    <col min="11272" max="11272" width="18.26953125" customWidth="1"/>
    <col min="11273" max="11273" width="15.54296875" customWidth="1"/>
    <col min="11274" max="11274" width="6.1796875" customWidth="1"/>
    <col min="11275" max="11275" width="14.7265625" customWidth="1"/>
    <col min="11276" max="11276" width="16.1796875" customWidth="1"/>
    <col min="11277" max="11277" width="14.7265625" customWidth="1"/>
    <col min="11278" max="11278" width="4.81640625" customWidth="1"/>
    <col min="11279" max="11279" width="18.54296875" customWidth="1"/>
    <col min="11521" max="11521" width="33.1796875" customWidth="1"/>
    <col min="11522" max="11522" width="11" customWidth="1"/>
    <col min="11523" max="11523" width="16.81640625" customWidth="1"/>
    <col min="11524" max="11524" width="16.7265625" customWidth="1"/>
    <col min="11525" max="11525" width="14.7265625" customWidth="1"/>
    <col min="11526" max="11526" width="4.81640625" customWidth="1"/>
    <col min="11527" max="11527" width="14.7265625" customWidth="1"/>
    <col min="11528" max="11528" width="18.26953125" customWidth="1"/>
    <col min="11529" max="11529" width="15.54296875" customWidth="1"/>
    <col min="11530" max="11530" width="6.1796875" customWidth="1"/>
    <col min="11531" max="11531" width="14.7265625" customWidth="1"/>
    <col min="11532" max="11532" width="16.1796875" customWidth="1"/>
    <col min="11533" max="11533" width="14.7265625" customWidth="1"/>
    <col min="11534" max="11534" width="4.81640625" customWidth="1"/>
    <col min="11535" max="11535" width="18.54296875" customWidth="1"/>
    <col min="11777" max="11777" width="33.1796875" customWidth="1"/>
    <col min="11778" max="11778" width="11" customWidth="1"/>
    <col min="11779" max="11779" width="16.81640625" customWidth="1"/>
    <col min="11780" max="11780" width="16.7265625" customWidth="1"/>
    <col min="11781" max="11781" width="14.7265625" customWidth="1"/>
    <col min="11782" max="11782" width="4.81640625" customWidth="1"/>
    <col min="11783" max="11783" width="14.7265625" customWidth="1"/>
    <col min="11784" max="11784" width="18.26953125" customWidth="1"/>
    <col min="11785" max="11785" width="15.54296875" customWidth="1"/>
    <col min="11786" max="11786" width="6.1796875" customWidth="1"/>
    <col min="11787" max="11787" width="14.7265625" customWidth="1"/>
    <col min="11788" max="11788" width="16.1796875" customWidth="1"/>
    <col min="11789" max="11789" width="14.7265625" customWidth="1"/>
    <col min="11790" max="11790" width="4.81640625" customWidth="1"/>
    <col min="11791" max="11791" width="18.54296875" customWidth="1"/>
    <col min="12033" max="12033" width="33.1796875" customWidth="1"/>
    <col min="12034" max="12034" width="11" customWidth="1"/>
    <col min="12035" max="12035" width="16.81640625" customWidth="1"/>
    <col min="12036" max="12036" width="16.7265625" customWidth="1"/>
    <col min="12037" max="12037" width="14.7265625" customWidth="1"/>
    <col min="12038" max="12038" width="4.81640625" customWidth="1"/>
    <col min="12039" max="12039" width="14.7265625" customWidth="1"/>
    <col min="12040" max="12040" width="18.26953125" customWidth="1"/>
    <col min="12041" max="12041" width="15.54296875" customWidth="1"/>
    <col min="12042" max="12042" width="6.1796875" customWidth="1"/>
    <col min="12043" max="12043" width="14.7265625" customWidth="1"/>
    <col min="12044" max="12044" width="16.1796875" customWidth="1"/>
    <col min="12045" max="12045" width="14.7265625" customWidth="1"/>
    <col min="12046" max="12046" width="4.81640625" customWidth="1"/>
    <col min="12047" max="12047" width="18.54296875" customWidth="1"/>
    <col min="12289" max="12289" width="33.1796875" customWidth="1"/>
    <col min="12290" max="12290" width="11" customWidth="1"/>
    <col min="12291" max="12291" width="16.81640625" customWidth="1"/>
    <col min="12292" max="12292" width="16.7265625" customWidth="1"/>
    <col min="12293" max="12293" width="14.7265625" customWidth="1"/>
    <col min="12294" max="12294" width="4.81640625" customWidth="1"/>
    <col min="12295" max="12295" width="14.7265625" customWidth="1"/>
    <col min="12296" max="12296" width="18.26953125" customWidth="1"/>
    <col min="12297" max="12297" width="15.54296875" customWidth="1"/>
    <col min="12298" max="12298" width="6.1796875" customWidth="1"/>
    <col min="12299" max="12299" width="14.7265625" customWidth="1"/>
    <col min="12300" max="12300" width="16.1796875" customWidth="1"/>
    <col min="12301" max="12301" width="14.7265625" customWidth="1"/>
    <col min="12302" max="12302" width="4.81640625" customWidth="1"/>
    <col min="12303" max="12303" width="18.54296875" customWidth="1"/>
    <col min="12545" max="12545" width="33.1796875" customWidth="1"/>
    <col min="12546" max="12546" width="11" customWidth="1"/>
    <col min="12547" max="12547" width="16.81640625" customWidth="1"/>
    <col min="12548" max="12548" width="16.7265625" customWidth="1"/>
    <col min="12549" max="12549" width="14.7265625" customWidth="1"/>
    <col min="12550" max="12550" width="4.81640625" customWidth="1"/>
    <col min="12551" max="12551" width="14.7265625" customWidth="1"/>
    <col min="12552" max="12552" width="18.26953125" customWidth="1"/>
    <col min="12553" max="12553" width="15.54296875" customWidth="1"/>
    <col min="12554" max="12554" width="6.1796875" customWidth="1"/>
    <col min="12555" max="12555" width="14.7265625" customWidth="1"/>
    <col min="12556" max="12556" width="16.1796875" customWidth="1"/>
    <col min="12557" max="12557" width="14.7265625" customWidth="1"/>
    <col min="12558" max="12558" width="4.81640625" customWidth="1"/>
    <col min="12559" max="12559" width="18.54296875" customWidth="1"/>
    <col min="12801" max="12801" width="33.1796875" customWidth="1"/>
    <col min="12802" max="12802" width="11" customWidth="1"/>
    <col min="12803" max="12803" width="16.81640625" customWidth="1"/>
    <col min="12804" max="12804" width="16.7265625" customWidth="1"/>
    <col min="12805" max="12805" width="14.7265625" customWidth="1"/>
    <col min="12806" max="12806" width="4.81640625" customWidth="1"/>
    <col min="12807" max="12807" width="14.7265625" customWidth="1"/>
    <col min="12808" max="12808" width="18.26953125" customWidth="1"/>
    <col min="12809" max="12809" width="15.54296875" customWidth="1"/>
    <col min="12810" max="12810" width="6.1796875" customWidth="1"/>
    <col min="12811" max="12811" width="14.7265625" customWidth="1"/>
    <col min="12812" max="12812" width="16.1796875" customWidth="1"/>
    <col min="12813" max="12813" width="14.7265625" customWidth="1"/>
    <col min="12814" max="12814" width="4.81640625" customWidth="1"/>
    <col min="12815" max="12815" width="18.54296875" customWidth="1"/>
    <col min="13057" max="13057" width="33.1796875" customWidth="1"/>
    <col min="13058" max="13058" width="11" customWidth="1"/>
    <col min="13059" max="13059" width="16.81640625" customWidth="1"/>
    <col min="13060" max="13060" width="16.7265625" customWidth="1"/>
    <col min="13061" max="13061" width="14.7265625" customWidth="1"/>
    <col min="13062" max="13062" width="4.81640625" customWidth="1"/>
    <col min="13063" max="13063" width="14.7265625" customWidth="1"/>
    <col min="13064" max="13064" width="18.26953125" customWidth="1"/>
    <col min="13065" max="13065" width="15.54296875" customWidth="1"/>
    <col min="13066" max="13066" width="6.1796875" customWidth="1"/>
    <col min="13067" max="13067" width="14.7265625" customWidth="1"/>
    <col min="13068" max="13068" width="16.1796875" customWidth="1"/>
    <col min="13069" max="13069" width="14.7265625" customWidth="1"/>
    <col min="13070" max="13070" width="4.81640625" customWidth="1"/>
    <col min="13071" max="13071" width="18.54296875" customWidth="1"/>
    <col min="13313" max="13313" width="33.1796875" customWidth="1"/>
    <col min="13314" max="13314" width="11" customWidth="1"/>
    <col min="13315" max="13315" width="16.81640625" customWidth="1"/>
    <col min="13316" max="13316" width="16.7265625" customWidth="1"/>
    <col min="13317" max="13317" width="14.7265625" customWidth="1"/>
    <col min="13318" max="13318" width="4.81640625" customWidth="1"/>
    <col min="13319" max="13319" width="14.7265625" customWidth="1"/>
    <col min="13320" max="13320" width="18.26953125" customWidth="1"/>
    <col min="13321" max="13321" width="15.54296875" customWidth="1"/>
    <col min="13322" max="13322" width="6.1796875" customWidth="1"/>
    <col min="13323" max="13323" width="14.7265625" customWidth="1"/>
    <col min="13324" max="13324" width="16.1796875" customWidth="1"/>
    <col min="13325" max="13325" width="14.7265625" customWidth="1"/>
    <col min="13326" max="13326" width="4.81640625" customWidth="1"/>
    <col min="13327" max="13327" width="18.54296875" customWidth="1"/>
    <col min="13569" max="13569" width="33.1796875" customWidth="1"/>
    <col min="13570" max="13570" width="11" customWidth="1"/>
    <col min="13571" max="13571" width="16.81640625" customWidth="1"/>
    <col min="13572" max="13572" width="16.7265625" customWidth="1"/>
    <col min="13573" max="13573" width="14.7265625" customWidth="1"/>
    <col min="13574" max="13574" width="4.81640625" customWidth="1"/>
    <col min="13575" max="13575" width="14.7265625" customWidth="1"/>
    <col min="13576" max="13576" width="18.26953125" customWidth="1"/>
    <col min="13577" max="13577" width="15.54296875" customWidth="1"/>
    <col min="13578" max="13578" width="6.1796875" customWidth="1"/>
    <col min="13579" max="13579" width="14.7265625" customWidth="1"/>
    <col min="13580" max="13580" width="16.1796875" customWidth="1"/>
    <col min="13581" max="13581" width="14.7265625" customWidth="1"/>
    <col min="13582" max="13582" width="4.81640625" customWidth="1"/>
    <col min="13583" max="13583" width="18.54296875" customWidth="1"/>
    <col min="13825" max="13825" width="33.1796875" customWidth="1"/>
    <col min="13826" max="13826" width="11" customWidth="1"/>
    <col min="13827" max="13827" width="16.81640625" customWidth="1"/>
    <col min="13828" max="13828" width="16.7265625" customWidth="1"/>
    <col min="13829" max="13829" width="14.7265625" customWidth="1"/>
    <col min="13830" max="13830" width="4.81640625" customWidth="1"/>
    <col min="13831" max="13831" width="14.7265625" customWidth="1"/>
    <col min="13832" max="13832" width="18.26953125" customWidth="1"/>
    <col min="13833" max="13833" width="15.54296875" customWidth="1"/>
    <col min="13834" max="13834" width="6.1796875" customWidth="1"/>
    <col min="13835" max="13835" width="14.7265625" customWidth="1"/>
    <col min="13836" max="13836" width="16.1796875" customWidth="1"/>
    <col min="13837" max="13837" width="14.7265625" customWidth="1"/>
    <col min="13838" max="13838" width="4.81640625" customWidth="1"/>
    <col min="13839" max="13839" width="18.54296875" customWidth="1"/>
    <col min="14081" max="14081" width="33.1796875" customWidth="1"/>
    <col min="14082" max="14082" width="11" customWidth="1"/>
    <col min="14083" max="14083" width="16.81640625" customWidth="1"/>
    <col min="14084" max="14084" width="16.7265625" customWidth="1"/>
    <col min="14085" max="14085" width="14.7265625" customWidth="1"/>
    <col min="14086" max="14086" width="4.81640625" customWidth="1"/>
    <col min="14087" max="14087" width="14.7265625" customWidth="1"/>
    <col min="14088" max="14088" width="18.26953125" customWidth="1"/>
    <col min="14089" max="14089" width="15.54296875" customWidth="1"/>
    <col min="14090" max="14090" width="6.1796875" customWidth="1"/>
    <col min="14091" max="14091" width="14.7265625" customWidth="1"/>
    <col min="14092" max="14092" width="16.1796875" customWidth="1"/>
    <col min="14093" max="14093" width="14.7265625" customWidth="1"/>
    <col min="14094" max="14094" width="4.81640625" customWidth="1"/>
    <col min="14095" max="14095" width="18.54296875" customWidth="1"/>
    <col min="14337" max="14337" width="33.1796875" customWidth="1"/>
    <col min="14338" max="14338" width="11" customWidth="1"/>
    <col min="14339" max="14339" width="16.81640625" customWidth="1"/>
    <col min="14340" max="14340" width="16.7265625" customWidth="1"/>
    <col min="14341" max="14341" width="14.7265625" customWidth="1"/>
    <col min="14342" max="14342" width="4.81640625" customWidth="1"/>
    <col min="14343" max="14343" width="14.7265625" customWidth="1"/>
    <col min="14344" max="14344" width="18.26953125" customWidth="1"/>
    <col min="14345" max="14345" width="15.54296875" customWidth="1"/>
    <col min="14346" max="14346" width="6.1796875" customWidth="1"/>
    <col min="14347" max="14347" width="14.7265625" customWidth="1"/>
    <col min="14348" max="14348" width="16.1796875" customWidth="1"/>
    <col min="14349" max="14349" width="14.7265625" customWidth="1"/>
    <col min="14350" max="14350" width="4.81640625" customWidth="1"/>
    <col min="14351" max="14351" width="18.54296875" customWidth="1"/>
    <col min="14593" max="14593" width="33.1796875" customWidth="1"/>
    <col min="14594" max="14594" width="11" customWidth="1"/>
    <col min="14595" max="14595" width="16.81640625" customWidth="1"/>
    <col min="14596" max="14596" width="16.7265625" customWidth="1"/>
    <col min="14597" max="14597" width="14.7265625" customWidth="1"/>
    <col min="14598" max="14598" width="4.81640625" customWidth="1"/>
    <col min="14599" max="14599" width="14.7265625" customWidth="1"/>
    <col min="14600" max="14600" width="18.26953125" customWidth="1"/>
    <col min="14601" max="14601" width="15.54296875" customWidth="1"/>
    <col min="14602" max="14602" width="6.1796875" customWidth="1"/>
    <col min="14603" max="14603" width="14.7265625" customWidth="1"/>
    <col min="14604" max="14604" width="16.1796875" customWidth="1"/>
    <col min="14605" max="14605" width="14.7265625" customWidth="1"/>
    <col min="14606" max="14606" width="4.81640625" customWidth="1"/>
    <col min="14607" max="14607" width="18.54296875" customWidth="1"/>
    <col min="14849" max="14849" width="33.1796875" customWidth="1"/>
    <col min="14850" max="14850" width="11" customWidth="1"/>
    <col min="14851" max="14851" width="16.81640625" customWidth="1"/>
    <col min="14852" max="14852" width="16.7265625" customWidth="1"/>
    <col min="14853" max="14853" width="14.7265625" customWidth="1"/>
    <col min="14854" max="14854" width="4.81640625" customWidth="1"/>
    <col min="14855" max="14855" width="14.7265625" customWidth="1"/>
    <col min="14856" max="14856" width="18.26953125" customWidth="1"/>
    <col min="14857" max="14857" width="15.54296875" customWidth="1"/>
    <col min="14858" max="14858" width="6.1796875" customWidth="1"/>
    <col min="14859" max="14859" width="14.7265625" customWidth="1"/>
    <col min="14860" max="14860" width="16.1796875" customWidth="1"/>
    <col min="14861" max="14861" width="14.7265625" customWidth="1"/>
    <col min="14862" max="14862" width="4.81640625" customWidth="1"/>
    <col min="14863" max="14863" width="18.54296875" customWidth="1"/>
    <col min="15105" max="15105" width="33.1796875" customWidth="1"/>
    <col min="15106" max="15106" width="11" customWidth="1"/>
    <col min="15107" max="15107" width="16.81640625" customWidth="1"/>
    <col min="15108" max="15108" width="16.7265625" customWidth="1"/>
    <col min="15109" max="15109" width="14.7265625" customWidth="1"/>
    <col min="15110" max="15110" width="4.81640625" customWidth="1"/>
    <col min="15111" max="15111" width="14.7265625" customWidth="1"/>
    <col min="15112" max="15112" width="18.26953125" customWidth="1"/>
    <col min="15113" max="15113" width="15.54296875" customWidth="1"/>
    <col min="15114" max="15114" width="6.1796875" customWidth="1"/>
    <col min="15115" max="15115" width="14.7265625" customWidth="1"/>
    <col min="15116" max="15116" width="16.1796875" customWidth="1"/>
    <col min="15117" max="15117" width="14.7265625" customWidth="1"/>
    <col min="15118" max="15118" width="4.81640625" customWidth="1"/>
    <col min="15119" max="15119" width="18.54296875" customWidth="1"/>
    <col min="15361" max="15361" width="33.1796875" customWidth="1"/>
    <col min="15362" max="15362" width="11" customWidth="1"/>
    <col min="15363" max="15363" width="16.81640625" customWidth="1"/>
    <col min="15364" max="15364" width="16.7265625" customWidth="1"/>
    <col min="15365" max="15365" width="14.7265625" customWidth="1"/>
    <col min="15366" max="15366" width="4.81640625" customWidth="1"/>
    <col min="15367" max="15367" width="14.7265625" customWidth="1"/>
    <col min="15368" max="15368" width="18.26953125" customWidth="1"/>
    <col min="15369" max="15369" width="15.54296875" customWidth="1"/>
    <col min="15370" max="15370" width="6.1796875" customWidth="1"/>
    <col min="15371" max="15371" width="14.7265625" customWidth="1"/>
    <col min="15372" max="15372" width="16.1796875" customWidth="1"/>
    <col min="15373" max="15373" width="14.7265625" customWidth="1"/>
    <col min="15374" max="15374" width="4.81640625" customWidth="1"/>
    <col min="15375" max="15375" width="18.54296875" customWidth="1"/>
    <col min="15617" max="15617" width="33.1796875" customWidth="1"/>
    <col min="15618" max="15618" width="11" customWidth="1"/>
    <col min="15619" max="15619" width="16.81640625" customWidth="1"/>
    <col min="15620" max="15620" width="16.7265625" customWidth="1"/>
    <col min="15621" max="15621" width="14.7265625" customWidth="1"/>
    <col min="15622" max="15622" width="4.81640625" customWidth="1"/>
    <col min="15623" max="15623" width="14.7265625" customWidth="1"/>
    <col min="15624" max="15624" width="18.26953125" customWidth="1"/>
    <col min="15625" max="15625" width="15.54296875" customWidth="1"/>
    <col min="15626" max="15626" width="6.1796875" customWidth="1"/>
    <col min="15627" max="15627" width="14.7265625" customWidth="1"/>
    <col min="15628" max="15628" width="16.1796875" customWidth="1"/>
    <col min="15629" max="15629" width="14.7265625" customWidth="1"/>
    <col min="15630" max="15630" width="4.81640625" customWidth="1"/>
    <col min="15631" max="15631" width="18.54296875" customWidth="1"/>
    <col min="15873" max="15873" width="33.1796875" customWidth="1"/>
    <col min="15874" max="15874" width="11" customWidth="1"/>
    <col min="15875" max="15875" width="16.81640625" customWidth="1"/>
    <col min="15876" max="15876" width="16.7265625" customWidth="1"/>
    <col min="15877" max="15877" width="14.7265625" customWidth="1"/>
    <col min="15878" max="15878" width="4.81640625" customWidth="1"/>
    <col min="15879" max="15879" width="14.7265625" customWidth="1"/>
    <col min="15880" max="15880" width="18.26953125" customWidth="1"/>
    <col min="15881" max="15881" width="15.54296875" customWidth="1"/>
    <col min="15882" max="15882" width="6.1796875" customWidth="1"/>
    <col min="15883" max="15883" width="14.7265625" customWidth="1"/>
    <col min="15884" max="15884" width="16.1796875" customWidth="1"/>
    <col min="15885" max="15885" width="14.7265625" customWidth="1"/>
    <col min="15886" max="15886" width="4.81640625" customWidth="1"/>
    <col min="15887" max="15887" width="18.54296875" customWidth="1"/>
    <col min="16129" max="16129" width="33.1796875" customWidth="1"/>
    <col min="16130" max="16130" width="11" customWidth="1"/>
    <col min="16131" max="16131" width="16.81640625" customWidth="1"/>
    <col min="16132" max="16132" width="16.7265625" customWidth="1"/>
    <col min="16133" max="16133" width="14.7265625" customWidth="1"/>
    <col min="16134" max="16134" width="4.81640625" customWidth="1"/>
    <col min="16135" max="16135" width="14.7265625" customWidth="1"/>
    <col min="16136" max="16136" width="18.26953125" customWidth="1"/>
    <col min="16137" max="16137" width="15.54296875" customWidth="1"/>
    <col min="16138" max="16138" width="6.1796875" customWidth="1"/>
    <col min="16139" max="16139" width="14.7265625" customWidth="1"/>
    <col min="16140" max="16140" width="16.1796875" customWidth="1"/>
    <col min="16141" max="16141" width="14.7265625" customWidth="1"/>
    <col min="16142" max="16142" width="4.81640625" customWidth="1"/>
    <col min="16143" max="16143" width="18.54296875" customWidth="1"/>
  </cols>
  <sheetData>
    <row r="1" spans="1:19" ht="15.5">
      <c r="A1" s="694" t="s">
        <v>116</v>
      </c>
      <c r="B1" s="585"/>
      <c r="C1" s="585"/>
      <c r="D1" s="585"/>
      <c r="E1" s="585"/>
      <c r="F1" s="585"/>
      <c r="G1" s="230"/>
      <c r="H1" s="585"/>
      <c r="I1" s="585"/>
      <c r="J1" s="585"/>
      <c r="K1" s="585"/>
      <c r="L1" s="585"/>
      <c r="M1" s="585"/>
      <c r="N1" s="585"/>
      <c r="O1" s="585"/>
      <c r="P1" s="585"/>
      <c r="Q1" s="585"/>
      <c r="R1" s="585"/>
      <c r="S1" s="585"/>
    </row>
    <row r="2" spans="1:19" ht="15.5">
      <c r="A2" s="694" t="s">
        <v>116</v>
      </c>
      <c r="B2" s="585"/>
      <c r="C2" s="585"/>
      <c r="D2" s="585"/>
      <c r="E2" s="585"/>
      <c r="F2" s="585"/>
      <c r="G2" s="230"/>
      <c r="H2" s="585"/>
      <c r="I2" s="585"/>
      <c r="J2" s="585"/>
      <c r="K2" s="585"/>
      <c r="L2" s="585"/>
      <c r="M2" s="585"/>
      <c r="N2" s="585"/>
      <c r="O2" s="585"/>
      <c r="P2" s="585"/>
      <c r="Q2" s="585"/>
      <c r="R2" s="585"/>
      <c r="S2" s="585"/>
    </row>
    <row r="3" spans="1:19" ht="18">
      <c r="A3" s="1251" t="s">
        <v>393</v>
      </c>
      <c r="B3" s="1251"/>
      <c r="C3" s="1251"/>
      <c r="D3" s="1251"/>
      <c r="E3" s="1251"/>
      <c r="F3" s="1251"/>
      <c r="G3" s="1251"/>
      <c r="H3" s="1251"/>
      <c r="I3" s="1251"/>
      <c r="J3" s="1251"/>
      <c r="K3" s="1251"/>
      <c r="L3" s="1251"/>
      <c r="M3" s="1251"/>
      <c r="N3" s="1251"/>
      <c r="O3" s="1251"/>
      <c r="P3" s="584"/>
      <c r="Q3" s="584"/>
      <c r="R3" s="584"/>
      <c r="S3" s="584"/>
    </row>
    <row r="4" spans="1:19" ht="18">
      <c r="A4" s="1251" t="s">
        <v>394</v>
      </c>
      <c r="B4" s="1251"/>
      <c r="C4" s="1251"/>
      <c r="D4" s="1251"/>
      <c r="E4" s="1251"/>
      <c r="F4" s="1251"/>
      <c r="G4" s="1251"/>
      <c r="H4" s="1251"/>
      <c r="I4" s="1251"/>
      <c r="J4" s="1251"/>
      <c r="K4" s="1251"/>
      <c r="L4" s="1251"/>
      <c r="M4" s="1251"/>
      <c r="N4" s="1251"/>
      <c r="O4" s="1251"/>
      <c r="P4" s="584"/>
      <c r="Q4" s="584"/>
      <c r="R4" s="584"/>
      <c r="S4" s="584"/>
    </row>
    <row r="5" spans="1:19" ht="18">
      <c r="A5" s="1251" t="s">
        <v>395</v>
      </c>
      <c r="B5" s="1251"/>
      <c r="C5" s="1251"/>
      <c r="D5" s="1251"/>
      <c r="E5" s="1251"/>
      <c r="F5" s="1251"/>
      <c r="G5" s="1251"/>
      <c r="H5" s="1251"/>
      <c r="I5" s="1251"/>
      <c r="J5" s="1251"/>
      <c r="K5" s="1251"/>
      <c r="L5" s="1251"/>
      <c r="M5" s="1251"/>
      <c r="N5" s="1251"/>
      <c r="O5" s="1251"/>
      <c r="P5" s="584"/>
      <c r="Q5" s="584"/>
      <c r="R5" s="584"/>
      <c r="S5" s="584"/>
    </row>
    <row r="6" spans="1:19" ht="18">
      <c r="A6" s="1251" t="s">
        <v>396</v>
      </c>
      <c r="B6" s="1251"/>
      <c r="C6" s="1251"/>
      <c r="D6" s="1251"/>
      <c r="E6" s="1251"/>
      <c r="F6" s="1251"/>
      <c r="G6" s="1251"/>
      <c r="H6" s="1251"/>
      <c r="I6" s="1251"/>
      <c r="J6" s="1251"/>
      <c r="K6" s="1251"/>
      <c r="L6" s="1251"/>
      <c r="M6" s="1251"/>
      <c r="N6" s="1251"/>
      <c r="O6" s="1251"/>
      <c r="P6" s="584"/>
      <c r="Q6" s="584"/>
      <c r="R6" s="584"/>
      <c r="S6" s="584"/>
    </row>
    <row r="7" spans="1:19" ht="18">
      <c r="A7" s="1251" t="s">
        <v>1032</v>
      </c>
      <c r="B7" s="1251"/>
      <c r="C7" s="1251"/>
      <c r="D7" s="1251"/>
      <c r="E7" s="1251"/>
      <c r="F7" s="1251"/>
      <c r="G7" s="1251"/>
      <c r="H7" s="1251"/>
      <c r="I7" s="1251"/>
      <c r="J7" s="1251"/>
      <c r="K7" s="1251"/>
      <c r="L7" s="1251"/>
      <c r="M7" s="1251"/>
      <c r="N7" s="1251"/>
      <c r="O7" s="1251"/>
      <c r="P7" s="584"/>
      <c r="Q7" s="584"/>
      <c r="R7" s="584"/>
      <c r="S7" s="584"/>
    </row>
    <row r="8" spans="1:19" ht="18">
      <c r="A8" s="1251" t="s">
        <v>397</v>
      </c>
      <c r="B8" s="1251"/>
      <c r="C8" s="1251"/>
      <c r="D8" s="1251"/>
      <c r="E8" s="1251"/>
      <c r="F8" s="1251"/>
      <c r="G8" s="1251"/>
      <c r="H8" s="1251"/>
      <c r="I8" s="1251"/>
      <c r="J8" s="1251"/>
      <c r="K8" s="1251"/>
      <c r="L8" s="1251"/>
      <c r="M8" s="1251"/>
      <c r="N8" s="1251"/>
      <c r="O8" s="1251"/>
      <c r="P8" s="584"/>
      <c r="Q8" s="584"/>
      <c r="R8" s="584"/>
      <c r="S8" s="584"/>
    </row>
    <row r="9" spans="1:19" ht="18">
      <c r="A9" s="1252" t="s">
        <v>1033</v>
      </c>
      <c r="B9" s="1251"/>
      <c r="C9" s="1251"/>
      <c r="D9" s="1251"/>
      <c r="E9" s="1251"/>
      <c r="F9" s="1251"/>
      <c r="G9" s="1251"/>
      <c r="H9" s="1251"/>
      <c r="I9" s="1251"/>
      <c r="J9" s="1251"/>
      <c r="K9" s="1251"/>
      <c r="L9" s="1251"/>
      <c r="M9" s="1251"/>
      <c r="N9" s="1251"/>
      <c r="O9" s="1251"/>
      <c r="P9" s="584"/>
      <c r="Q9" s="584"/>
      <c r="R9" s="584"/>
      <c r="S9" s="584"/>
    </row>
    <row r="10" spans="1:19" ht="18">
      <c r="A10" s="1253"/>
      <c r="B10" s="1253"/>
      <c r="C10" s="1253"/>
      <c r="D10" s="1253"/>
      <c r="E10" s="1253"/>
      <c r="F10" s="1253"/>
      <c r="G10" s="1253"/>
      <c r="H10" s="1253"/>
      <c r="I10" s="1253"/>
      <c r="J10" s="1253"/>
      <c r="K10" s="1253"/>
      <c r="L10" s="1253"/>
      <c r="M10" s="1253"/>
      <c r="N10" s="1253"/>
      <c r="O10" s="1253"/>
      <c r="P10" s="991"/>
      <c r="Q10" s="991"/>
      <c r="R10" s="991"/>
      <c r="S10" s="991"/>
    </row>
    <row r="11" spans="1:19" ht="15.5">
      <c r="A11" s="585"/>
      <c r="B11" s="585"/>
      <c r="C11" s="585"/>
      <c r="D11" s="585"/>
      <c r="E11" s="585"/>
      <c r="F11" s="585"/>
      <c r="G11" s="230"/>
      <c r="H11" s="585"/>
      <c r="I11" s="585"/>
      <c r="J11" s="585"/>
      <c r="K11" s="585"/>
      <c r="L11" s="585"/>
      <c r="M11" s="585"/>
      <c r="N11" s="585"/>
      <c r="O11" s="585"/>
      <c r="P11" s="585"/>
      <c r="Q11" s="585"/>
      <c r="R11" s="585"/>
      <c r="S11" s="585"/>
    </row>
    <row r="12" spans="1:19" ht="16" thickBot="1">
      <c r="A12" s="586"/>
      <c r="B12" s="586"/>
      <c r="C12" s="1254" t="s">
        <v>603</v>
      </c>
      <c r="D12" s="1254"/>
      <c r="E12" s="1254"/>
      <c r="F12" s="586"/>
      <c r="G12" s="1254" t="s">
        <v>604</v>
      </c>
      <c r="H12" s="1254"/>
      <c r="I12" s="1254"/>
      <c r="J12" s="586"/>
      <c r="K12" s="1254" t="s">
        <v>398</v>
      </c>
      <c r="L12" s="1254"/>
      <c r="M12" s="1254"/>
      <c r="N12" s="586"/>
      <c r="O12" s="1254" t="s">
        <v>605</v>
      </c>
      <c r="P12" s="1254"/>
      <c r="Q12" s="1254"/>
      <c r="R12" s="586"/>
      <c r="S12" s="1054" t="s">
        <v>399</v>
      </c>
    </row>
    <row r="13" spans="1:19" ht="15.5">
      <c r="A13" s="586"/>
      <c r="B13" s="586"/>
      <c r="C13" s="587" t="s">
        <v>123</v>
      </c>
      <c r="D13" s="588"/>
      <c r="E13" s="588"/>
      <c r="F13" s="588"/>
      <c r="G13" s="589" t="s">
        <v>124</v>
      </c>
      <c r="H13" s="590"/>
      <c r="I13" s="590"/>
      <c r="J13" s="590"/>
      <c r="K13" s="591" t="s">
        <v>125</v>
      </c>
      <c r="L13" s="590"/>
      <c r="M13" s="590"/>
      <c r="N13" s="590"/>
      <c r="O13" s="592" t="s">
        <v>126</v>
      </c>
      <c r="P13" s="590"/>
      <c r="Q13" s="590"/>
      <c r="R13" s="590"/>
      <c r="S13" s="590"/>
    </row>
    <row r="14" spans="1:19" ht="15.5">
      <c r="A14" s="586"/>
      <c r="B14" s="586"/>
      <c r="C14" s="587" t="s">
        <v>116</v>
      </c>
      <c r="D14" s="588"/>
      <c r="E14" s="587" t="s">
        <v>400</v>
      </c>
      <c r="F14" s="588"/>
      <c r="G14" s="589" t="s">
        <v>606</v>
      </c>
      <c r="H14" s="588"/>
      <c r="I14" s="587" t="s">
        <v>400</v>
      </c>
      <c r="J14" s="588"/>
      <c r="K14" s="585"/>
      <c r="L14" s="588"/>
      <c r="M14" s="587" t="s">
        <v>400</v>
      </c>
      <c r="N14" s="588"/>
      <c r="O14" s="585"/>
      <c r="P14" s="588"/>
      <c r="Q14" s="587" t="s">
        <v>400</v>
      </c>
      <c r="R14" s="588"/>
      <c r="S14" s="587" t="s">
        <v>400</v>
      </c>
    </row>
    <row r="15" spans="1:19" ht="15.5">
      <c r="A15" s="586"/>
      <c r="B15" s="587" t="s">
        <v>401</v>
      </c>
      <c r="C15" s="587" t="s">
        <v>607</v>
      </c>
      <c r="D15" s="587" t="s">
        <v>402</v>
      </c>
      <c r="E15" s="587" t="s">
        <v>403</v>
      </c>
      <c r="F15" s="588"/>
      <c r="G15" s="589" t="s">
        <v>404</v>
      </c>
      <c r="H15" s="587" t="s">
        <v>402</v>
      </c>
      <c r="I15" s="587" t="s">
        <v>403</v>
      </c>
      <c r="J15" s="588"/>
      <c r="K15" s="587" t="s">
        <v>81</v>
      </c>
      <c r="L15" s="587" t="s">
        <v>402</v>
      </c>
      <c r="M15" s="587" t="s">
        <v>403</v>
      </c>
      <c r="N15" s="588"/>
      <c r="O15" s="587" t="s">
        <v>81</v>
      </c>
      <c r="P15" s="587" t="s">
        <v>402</v>
      </c>
      <c r="Q15" s="587" t="s">
        <v>403</v>
      </c>
      <c r="R15" s="588"/>
      <c r="S15" s="587" t="s">
        <v>403</v>
      </c>
    </row>
    <row r="16" spans="1:19" ht="15.5">
      <c r="A16" s="587"/>
      <c r="B16" s="587" t="s">
        <v>405</v>
      </c>
      <c r="C16" s="587" t="s">
        <v>406</v>
      </c>
      <c r="D16" s="587" t="s">
        <v>608</v>
      </c>
      <c r="E16" s="587" t="s">
        <v>407</v>
      </c>
      <c r="F16" s="588"/>
      <c r="G16" s="589" t="s">
        <v>406</v>
      </c>
      <c r="H16" s="587" t="s">
        <v>608</v>
      </c>
      <c r="I16" s="587" t="s">
        <v>407</v>
      </c>
      <c r="J16" s="588"/>
      <c r="K16" s="587" t="s">
        <v>406</v>
      </c>
      <c r="L16" s="587" t="s">
        <v>608</v>
      </c>
      <c r="M16" s="587" t="s">
        <v>407</v>
      </c>
      <c r="N16" s="588"/>
      <c r="O16" s="587" t="s">
        <v>406</v>
      </c>
      <c r="P16" s="587" t="s">
        <v>608</v>
      </c>
      <c r="Q16" s="587" t="s">
        <v>407</v>
      </c>
      <c r="R16" s="588"/>
      <c r="S16" s="587" t="s">
        <v>407</v>
      </c>
    </row>
    <row r="17" spans="1:19" ht="15.5">
      <c r="A17" s="585"/>
      <c r="B17" s="585"/>
      <c r="C17" s="585"/>
      <c r="D17" s="585"/>
      <c r="E17" s="585"/>
      <c r="F17" s="585"/>
      <c r="G17" s="230"/>
      <c r="H17" s="585"/>
      <c r="I17" s="585"/>
      <c r="J17" s="585"/>
      <c r="K17" s="585"/>
      <c r="L17" s="585"/>
      <c r="M17" s="585"/>
      <c r="N17" s="585"/>
      <c r="O17" s="585"/>
      <c r="P17" s="585"/>
      <c r="Q17" s="585"/>
      <c r="R17" s="585"/>
      <c r="S17" s="585"/>
    </row>
    <row r="18" spans="1:19" ht="16" thickBot="1">
      <c r="A18" s="593"/>
      <c r="B18" s="586"/>
      <c r="C18" s="224"/>
      <c r="D18" s="586"/>
      <c r="E18" s="586"/>
      <c r="F18" s="586"/>
      <c r="G18" s="224"/>
      <c r="H18" s="586"/>
      <c r="I18" s="586"/>
      <c r="J18" s="586"/>
      <c r="K18" s="224"/>
      <c r="L18" s="586"/>
      <c r="M18" s="586"/>
      <c r="N18" s="586"/>
      <c r="O18" s="224"/>
      <c r="P18" s="586"/>
      <c r="Q18" s="586"/>
      <c r="R18" s="586"/>
      <c r="S18" s="586"/>
    </row>
    <row r="19" spans="1:19" ht="15.5">
      <c r="A19" s="594" t="s">
        <v>408</v>
      </c>
      <c r="B19" s="595"/>
      <c r="C19" s="225"/>
      <c r="D19" s="226"/>
      <c r="E19" s="227"/>
      <c r="F19" s="595"/>
      <c r="G19" s="225"/>
      <c r="H19" s="228"/>
      <c r="I19" s="227"/>
      <c r="J19" s="595"/>
      <c r="K19" s="595"/>
      <c r="L19" s="228"/>
      <c r="M19" s="227"/>
      <c r="N19" s="595"/>
      <c r="O19" s="595"/>
      <c r="P19" s="226"/>
      <c r="Q19" s="227"/>
      <c r="R19" s="595"/>
      <c r="S19" s="227"/>
    </row>
    <row r="20" spans="1:19" ht="15.5">
      <c r="A20" s="596" t="s">
        <v>609</v>
      </c>
      <c r="B20" s="229">
        <v>350.1</v>
      </c>
      <c r="C20" s="224">
        <v>6.5839999999999996E-3</v>
      </c>
      <c r="D20" s="998">
        <v>1</v>
      </c>
      <c r="E20" s="224">
        <f>ROUND((C20*D20),4)</f>
        <v>6.6E-3</v>
      </c>
      <c r="F20" s="586"/>
      <c r="G20" s="224"/>
      <c r="H20" s="231"/>
      <c r="I20" s="230"/>
      <c r="J20" s="586"/>
      <c r="K20" s="224"/>
      <c r="L20" s="231"/>
      <c r="M20" s="230"/>
      <c r="N20" s="586"/>
      <c r="O20" s="224"/>
      <c r="P20" s="998"/>
      <c r="Q20" s="230"/>
      <c r="R20" s="586"/>
      <c r="S20" s="224">
        <f>ROUND((((E20+I20)+M20)+Q20),4)</f>
        <v>6.6E-3</v>
      </c>
    </row>
    <row r="21" spans="1:19" ht="15.5">
      <c r="A21" s="596" t="s">
        <v>610</v>
      </c>
      <c r="B21" s="229">
        <v>351</v>
      </c>
      <c r="C21" s="224"/>
      <c r="D21" s="998"/>
      <c r="E21" s="224"/>
      <c r="F21" s="586"/>
      <c r="G21" s="224">
        <v>0.14219999999999999</v>
      </c>
      <c r="H21" s="231">
        <v>1</v>
      </c>
      <c r="I21" s="224">
        <f>ROUND((G21*H21),4)</f>
        <v>0.14219999999999999</v>
      </c>
      <c r="J21" s="586"/>
      <c r="K21" s="224"/>
      <c r="L21" s="231"/>
      <c r="M21" s="230"/>
      <c r="N21" s="586"/>
      <c r="O21" s="224"/>
      <c r="P21" s="998"/>
      <c r="Q21" s="230"/>
      <c r="R21" s="586"/>
      <c r="S21" s="224">
        <f>I21</f>
        <v>0.14219999999999999</v>
      </c>
    </row>
    <row r="22" spans="1:19" ht="15.5">
      <c r="A22" s="585" t="s">
        <v>409</v>
      </c>
      <c r="B22" s="229">
        <v>352</v>
      </c>
      <c r="C22" s="224">
        <v>1.9900000000000001E-2</v>
      </c>
      <c r="D22" s="231">
        <v>0.49482100000000001</v>
      </c>
      <c r="E22" s="224">
        <f t="shared" ref="E22:E28" si="0">ROUND((C22*D22),4)</f>
        <v>9.7999999999999997E-3</v>
      </c>
      <c r="F22" s="586"/>
      <c r="G22" s="224">
        <v>1.6199999999999999E-2</v>
      </c>
      <c r="H22" s="231">
        <v>0.41108299999999998</v>
      </c>
      <c r="I22" s="224">
        <f t="shared" ref="I22:I28" si="1">ROUND((G22*H22),4)</f>
        <v>6.7000000000000002E-3</v>
      </c>
      <c r="J22" s="586"/>
      <c r="K22" s="224">
        <v>2.1899999999999999E-2</v>
      </c>
      <c r="L22" s="231">
        <v>3.6533000000000003E-2</v>
      </c>
      <c r="M22" s="224">
        <f t="shared" ref="M22:M28" si="2">ROUND((K22*L22),4)</f>
        <v>8.0000000000000004E-4</v>
      </c>
      <c r="N22" s="586"/>
      <c r="O22" s="224">
        <v>2.1899999999999999E-2</v>
      </c>
      <c r="P22" s="231">
        <v>5.7563000000000003E-2</v>
      </c>
      <c r="Q22" s="224">
        <f t="shared" ref="Q22:Q28" si="3">ROUND((O22*P22),4)</f>
        <v>1.2999999999999999E-3</v>
      </c>
      <c r="R22" s="586"/>
      <c r="S22" s="224">
        <f t="shared" ref="S22:S28" si="4">ROUND((((E22+I22)+M22)+Q22),4)</f>
        <v>1.8599999999999998E-2</v>
      </c>
    </row>
    <row r="23" spans="1:19" ht="15.5">
      <c r="A23" s="585" t="s">
        <v>410</v>
      </c>
      <c r="B23" s="229">
        <v>353</v>
      </c>
      <c r="C23" s="224">
        <v>2.7E-2</v>
      </c>
      <c r="D23" s="231">
        <v>0.49482100000000001</v>
      </c>
      <c r="E23" s="224">
        <f t="shared" si="0"/>
        <v>1.34E-2</v>
      </c>
      <c r="F23" s="586"/>
      <c r="G23" s="224">
        <v>2.3699999999999999E-2</v>
      </c>
      <c r="H23" s="231">
        <v>0.41108299999999998</v>
      </c>
      <c r="I23" s="224">
        <f t="shared" si="1"/>
        <v>9.7000000000000003E-3</v>
      </c>
      <c r="J23" s="586"/>
      <c r="K23" s="224">
        <v>2.1899999999999999E-2</v>
      </c>
      <c r="L23" s="231">
        <v>3.6533000000000003E-2</v>
      </c>
      <c r="M23" s="224">
        <f t="shared" si="2"/>
        <v>8.0000000000000004E-4</v>
      </c>
      <c r="N23" s="586"/>
      <c r="O23" s="224">
        <v>2.1899999999999999E-2</v>
      </c>
      <c r="P23" s="231">
        <v>5.7563000000000003E-2</v>
      </c>
      <c r="Q23" s="224">
        <f t="shared" si="3"/>
        <v>1.2999999999999999E-3</v>
      </c>
      <c r="R23" s="586"/>
      <c r="S23" s="224">
        <f t="shared" si="4"/>
        <v>2.52E-2</v>
      </c>
    </row>
    <row r="24" spans="1:19" ht="15.5">
      <c r="A24" s="585" t="s">
        <v>411</v>
      </c>
      <c r="B24" s="229">
        <v>354</v>
      </c>
      <c r="C24" s="224">
        <v>1.6400000000000001E-2</v>
      </c>
      <c r="D24" s="231">
        <v>0.49482100000000001</v>
      </c>
      <c r="E24" s="224">
        <f t="shared" si="0"/>
        <v>8.0999999999999996E-3</v>
      </c>
      <c r="F24" s="586"/>
      <c r="G24" s="224">
        <v>1.5900000000000001E-2</v>
      </c>
      <c r="H24" s="231">
        <v>0.41108299999999998</v>
      </c>
      <c r="I24" s="224">
        <f t="shared" si="1"/>
        <v>6.4999999999999997E-3</v>
      </c>
      <c r="J24" s="586"/>
      <c r="K24" s="224">
        <v>2.1899999999999999E-2</v>
      </c>
      <c r="L24" s="231">
        <v>3.6533000000000003E-2</v>
      </c>
      <c r="M24" s="224">
        <f t="shared" si="2"/>
        <v>8.0000000000000004E-4</v>
      </c>
      <c r="N24" s="586"/>
      <c r="O24" s="224">
        <v>2.1899999999999999E-2</v>
      </c>
      <c r="P24" s="231">
        <v>5.7563000000000003E-2</v>
      </c>
      <c r="Q24" s="224">
        <f t="shared" si="3"/>
        <v>1.2999999999999999E-3</v>
      </c>
      <c r="R24" s="586"/>
      <c r="S24" s="224">
        <f t="shared" si="4"/>
        <v>1.67E-2</v>
      </c>
    </row>
    <row r="25" spans="1:19" ht="15.5">
      <c r="A25" s="585" t="s">
        <v>412</v>
      </c>
      <c r="B25" s="229">
        <v>355</v>
      </c>
      <c r="C25" s="224">
        <v>3.4599999999999999E-2</v>
      </c>
      <c r="D25" s="231">
        <v>0.49482100000000001</v>
      </c>
      <c r="E25" s="224">
        <f t="shared" si="0"/>
        <v>1.7100000000000001E-2</v>
      </c>
      <c r="F25" s="586"/>
      <c r="G25" s="224">
        <v>2.7099999999999999E-2</v>
      </c>
      <c r="H25" s="231">
        <v>0.41108299999999998</v>
      </c>
      <c r="I25" s="224">
        <f t="shared" si="1"/>
        <v>1.11E-2</v>
      </c>
      <c r="J25" s="586"/>
      <c r="K25" s="224">
        <v>2.1899999999999999E-2</v>
      </c>
      <c r="L25" s="231">
        <v>3.6533000000000003E-2</v>
      </c>
      <c r="M25" s="224">
        <f t="shared" si="2"/>
        <v>8.0000000000000004E-4</v>
      </c>
      <c r="N25" s="586"/>
      <c r="O25" s="224">
        <v>2.1899999999999999E-2</v>
      </c>
      <c r="P25" s="231">
        <v>5.7563000000000003E-2</v>
      </c>
      <c r="Q25" s="224">
        <f t="shared" si="3"/>
        <v>1.2999999999999999E-3</v>
      </c>
      <c r="R25" s="586"/>
      <c r="S25" s="224">
        <f t="shared" si="4"/>
        <v>3.0300000000000001E-2</v>
      </c>
    </row>
    <row r="26" spans="1:19" ht="15.5">
      <c r="A26" s="585" t="s">
        <v>611</v>
      </c>
      <c r="B26" s="229">
        <v>356</v>
      </c>
      <c r="C26" s="224">
        <v>1.6500000000000001E-2</v>
      </c>
      <c r="D26" s="231">
        <v>0.49482100000000001</v>
      </c>
      <c r="E26" s="224">
        <f t="shared" si="0"/>
        <v>8.2000000000000007E-3</v>
      </c>
      <c r="F26" s="586"/>
      <c r="G26" s="224">
        <v>1.5299999999999999E-2</v>
      </c>
      <c r="H26" s="231">
        <v>0.41108299999999998</v>
      </c>
      <c r="I26" s="224">
        <f t="shared" si="1"/>
        <v>6.3E-3</v>
      </c>
      <c r="J26" s="586"/>
      <c r="K26" s="224">
        <v>2.1899999999999999E-2</v>
      </c>
      <c r="L26" s="231">
        <v>3.6533000000000003E-2</v>
      </c>
      <c r="M26" s="224">
        <f t="shared" si="2"/>
        <v>8.0000000000000004E-4</v>
      </c>
      <c r="N26" s="586"/>
      <c r="O26" s="224">
        <v>2.1899999999999999E-2</v>
      </c>
      <c r="P26" s="231">
        <v>5.7563000000000003E-2</v>
      </c>
      <c r="Q26" s="224">
        <f t="shared" si="3"/>
        <v>1.2999999999999999E-3</v>
      </c>
      <c r="R26" s="586"/>
      <c r="S26" s="224">
        <f t="shared" si="4"/>
        <v>1.66E-2</v>
      </c>
    </row>
    <row r="27" spans="1:19" ht="15.5">
      <c r="A27" s="585" t="s">
        <v>413</v>
      </c>
      <c r="B27" s="229">
        <v>357</v>
      </c>
      <c r="C27" s="224">
        <v>2.4899999999999999E-2</v>
      </c>
      <c r="D27" s="231">
        <v>0.49482100000000001</v>
      </c>
      <c r="E27" s="224">
        <f t="shared" si="0"/>
        <v>1.23E-2</v>
      </c>
      <c r="F27" s="586"/>
      <c r="G27" s="224">
        <v>3.7100000000000001E-2</v>
      </c>
      <c r="H27" s="231">
        <v>0.41108299999999998</v>
      </c>
      <c r="I27" s="224">
        <f t="shared" si="1"/>
        <v>1.5299999999999999E-2</v>
      </c>
      <c r="J27" s="586"/>
      <c r="K27" s="224">
        <v>2.1899999999999999E-2</v>
      </c>
      <c r="L27" s="231">
        <v>3.6533000000000003E-2</v>
      </c>
      <c r="M27" s="224">
        <f t="shared" si="2"/>
        <v>8.0000000000000004E-4</v>
      </c>
      <c r="N27" s="586"/>
      <c r="O27" s="224">
        <v>2.1899999999999999E-2</v>
      </c>
      <c r="P27" s="231">
        <v>5.7563000000000003E-2</v>
      </c>
      <c r="Q27" s="224">
        <f t="shared" si="3"/>
        <v>1.2999999999999999E-3</v>
      </c>
      <c r="R27" s="586"/>
      <c r="S27" s="224">
        <f t="shared" si="4"/>
        <v>2.9700000000000001E-2</v>
      </c>
    </row>
    <row r="28" spans="1:19" ht="15.5">
      <c r="A28" s="585" t="s">
        <v>414</v>
      </c>
      <c r="B28" s="229">
        <v>358</v>
      </c>
      <c r="C28" s="224">
        <v>4.7199999999999999E-2</v>
      </c>
      <c r="D28" s="231">
        <v>0.49482100000000001</v>
      </c>
      <c r="E28" s="224">
        <f t="shared" si="0"/>
        <v>2.3400000000000001E-2</v>
      </c>
      <c r="F28" s="586"/>
      <c r="G28" s="224">
        <v>5.2400000000000002E-2</v>
      </c>
      <c r="H28" s="231">
        <v>0.41108299999999998</v>
      </c>
      <c r="I28" s="224">
        <f t="shared" si="1"/>
        <v>2.1499999999999998E-2</v>
      </c>
      <c r="J28" s="586"/>
      <c r="K28" s="224">
        <v>2.1899999999999999E-2</v>
      </c>
      <c r="L28" s="231">
        <v>3.6533000000000003E-2</v>
      </c>
      <c r="M28" s="224">
        <f t="shared" si="2"/>
        <v>8.0000000000000004E-4</v>
      </c>
      <c r="N28" s="586"/>
      <c r="O28" s="224">
        <v>2.1899999999999999E-2</v>
      </c>
      <c r="P28" s="231">
        <v>5.7563000000000003E-2</v>
      </c>
      <c r="Q28" s="224">
        <f t="shared" si="3"/>
        <v>1.2999999999999999E-3</v>
      </c>
      <c r="R28" s="586"/>
      <c r="S28" s="224">
        <f t="shared" si="4"/>
        <v>4.7E-2</v>
      </c>
    </row>
    <row r="29" spans="1:19" ht="16" thickBot="1">
      <c r="A29" s="585"/>
      <c r="B29" s="586"/>
      <c r="C29" s="224"/>
      <c r="D29" s="998"/>
      <c r="E29" s="230"/>
      <c r="F29" s="586"/>
      <c r="G29" s="224"/>
      <c r="H29" s="998"/>
      <c r="I29" s="230"/>
      <c r="J29" s="586"/>
      <c r="K29" s="224"/>
      <c r="L29" s="998"/>
      <c r="M29" s="230"/>
      <c r="N29" s="586"/>
      <c r="O29" s="224"/>
      <c r="P29" s="998"/>
      <c r="Q29" s="224"/>
      <c r="R29" s="586"/>
      <c r="S29" s="224"/>
    </row>
    <row r="30" spans="1:19" ht="15.5">
      <c r="A30" s="992" t="s">
        <v>937</v>
      </c>
      <c r="B30" s="999"/>
      <c r="C30" s="1000"/>
      <c r="D30" s="1001"/>
      <c r="E30" s="1002"/>
      <c r="F30" s="999"/>
      <c r="G30" s="1000"/>
      <c r="H30" s="1001"/>
      <c r="I30" s="1002"/>
      <c r="J30" s="999"/>
      <c r="K30" s="999"/>
      <c r="L30" s="1001"/>
      <c r="M30" s="1002"/>
      <c r="N30" s="999"/>
      <c r="O30" s="999"/>
      <c r="P30" s="1001"/>
      <c r="Q30" s="1002"/>
      <c r="R30" s="999"/>
      <c r="S30" s="1003"/>
    </row>
    <row r="31" spans="1:19" ht="15.5">
      <c r="A31" s="596" t="s">
        <v>817</v>
      </c>
      <c r="B31" s="229">
        <v>390</v>
      </c>
      <c r="C31" s="224">
        <v>1.89E-2</v>
      </c>
      <c r="D31" s="998">
        <v>0.523756</v>
      </c>
      <c r="E31" s="224">
        <f t="shared" ref="E31:E39" si="5">ROUND((C31*D31),4)</f>
        <v>9.9000000000000008E-3</v>
      </c>
      <c r="F31" s="586"/>
      <c r="G31" s="224">
        <v>1.9099999999999999E-2</v>
      </c>
      <c r="H31" s="231">
        <v>0.42594100000000001</v>
      </c>
      <c r="I31" s="224">
        <f t="shared" ref="I31:I39" si="6">ROUND((G31*H31),4)</f>
        <v>8.0999999999999996E-3</v>
      </c>
      <c r="J31" s="586"/>
      <c r="K31" s="224">
        <v>3.4300000000000004E-2</v>
      </c>
      <c r="L31" s="231">
        <v>1.9295E-2</v>
      </c>
      <c r="M31" s="224">
        <f t="shared" ref="M31:M39" si="7">ROUND((K31*L31),4)</f>
        <v>6.9999999999999999E-4</v>
      </c>
      <c r="N31" s="586"/>
      <c r="O31" s="224">
        <v>3.4300000000000004E-2</v>
      </c>
      <c r="P31" s="998">
        <v>3.1008999999999998E-2</v>
      </c>
      <c r="Q31" s="224">
        <f t="shared" ref="Q31:Q39" si="8">ROUND((O31*P31),4)</f>
        <v>1.1000000000000001E-3</v>
      </c>
      <c r="R31" s="586"/>
      <c r="S31" s="224">
        <f t="shared" ref="S31:S39" si="9">ROUND((((E31+I31)+M31)+Q31),4)</f>
        <v>1.9800000000000002E-2</v>
      </c>
    </row>
    <row r="32" spans="1:19" ht="15.5">
      <c r="A32" s="596" t="s">
        <v>818</v>
      </c>
      <c r="B32" s="229">
        <v>391</v>
      </c>
      <c r="C32" s="224">
        <v>3.2099999999999997E-2</v>
      </c>
      <c r="D32" s="998">
        <v>0.523756</v>
      </c>
      <c r="E32" s="224">
        <f t="shared" si="5"/>
        <v>1.6799999999999999E-2</v>
      </c>
      <c r="F32" s="586"/>
      <c r="G32" s="224">
        <v>3.1699999999999999E-2</v>
      </c>
      <c r="H32" s="231">
        <v>0.42594100000000001</v>
      </c>
      <c r="I32" s="224">
        <f t="shared" si="6"/>
        <v>1.35E-2</v>
      </c>
      <c r="J32" s="586"/>
      <c r="K32" s="224">
        <v>3.4300000000000004E-2</v>
      </c>
      <c r="L32" s="231">
        <v>1.9295E-2</v>
      </c>
      <c r="M32" s="224">
        <f t="shared" si="7"/>
        <v>6.9999999999999999E-4</v>
      </c>
      <c r="N32" s="586"/>
      <c r="O32" s="224">
        <v>3.4300000000000004E-2</v>
      </c>
      <c r="P32" s="998">
        <v>3.1008999999999998E-2</v>
      </c>
      <c r="Q32" s="224">
        <f t="shared" si="8"/>
        <v>1.1000000000000001E-3</v>
      </c>
      <c r="R32" s="586"/>
      <c r="S32" s="224">
        <f t="shared" si="9"/>
        <v>3.2099999999999997E-2</v>
      </c>
    </row>
    <row r="33" spans="1:19" ht="15.5">
      <c r="A33" s="596" t="s">
        <v>938</v>
      </c>
      <c r="B33" s="229">
        <v>392</v>
      </c>
      <c r="C33" s="224">
        <v>3.4599999999999999E-2</v>
      </c>
      <c r="D33" s="231">
        <v>0.523756</v>
      </c>
      <c r="E33" s="224">
        <f t="shared" si="5"/>
        <v>1.8100000000000002E-2</v>
      </c>
      <c r="F33" s="586"/>
      <c r="G33" s="224">
        <v>3.4000000000000002E-2</v>
      </c>
      <c r="H33" s="231">
        <v>0.42594100000000001</v>
      </c>
      <c r="I33" s="224">
        <f t="shared" si="6"/>
        <v>1.4500000000000001E-2</v>
      </c>
      <c r="J33" s="586"/>
      <c r="K33" s="224">
        <v>3.4300000000000004E-2</v>
      </c>
      <c r="L33" s="231">
        <v>1.9295E-2</v>
      </c>
      <c r="M33" s="224">
        <f t="shared" si="7"/>
        <v>6.9999999999999999E-4</v>
      </c>
      <c r="N33" s="586"/>
      <c r="O33" s="224">
        <v>3.4300000000000004E-2</v>
      </c>
      <c r="P33" s="231">
        <v>3.1008999999999998E-2</v>
      </c>
      <c r="Q33" s="224">
        <f t="shared" si="8"/>
        <v>1.1000000000000001E-3</v>
      </c>
      <c r="R33" s="586"/>
      <c r="S33" s="224">
        <f t="shared" si="9"/>
        <v>3.44E-2</v>
      </c>
    </row>
    <row r="34" spans="1:19" ht="15.5">
      <c r="A34" s="596" t="s">
        <v>819</v>
      </c>
      <c r="B34" s="229">
        <v>393</v>
      </c>
      <c r="C34" s="224">
        <v>1.78E-2</v>
      </c>
      <c r="D34" s="231">
        <v>0.523756</v>
      </c>
      <c r="E34" s="224">
        <f t="shared" si="5"/>
        <v>9.2999999999999992E-3</v>
      </c>
      <c r="F34" s="586"/>
      <c r="G34" s="224">
        <v>1.7999999999999999E-2</v>
      </c>
      <c r="H34" s="231">
        <v>0.42594100000000001</v>
      </c>
      <c r="I34" s="224">
        <f t="shared" si="6"/>
        <v>7.7000000000000002E-3</v>
      </c>
      <c r="J34" s="586"/>
      <c r="K34" s="224">
        <v>3.4300000000000004E-2</v>
      </c>
      <c r="L34" s="231">
        <v>1.9295E-2</v>
      </c>
      <c r="M34" s="224">
        <f t="shared" si="7"/>
        <v>6.9999999999999999E-4</v>
      </c>
      <c r="N34" s="586"/>
      <c r="O34" s="224">
        <v>3.4300000000000004E-2</v>
      </c>
      <c r="P34" s="231">
        <v>3.1008999999999998E-2</v>
      </c>
      <c r="Q34" s="224">
        <f t="shared" si="8"/>
        <v>1.1000000000000001E-3</v>
      </c>
      <c r="R34" s="586"/>
      <c r="S34" s="224">
        <f t="shared" si="9"/>
        <v>1.8800000000000001E-2</v>
      </c>
    </row>
    <row r="35" spans="1:19" ht="15.75" customHeight="1">
      <c r="A35" s="596" t="s">
        <v>820</v>
      </c>
      <c r="B35" s="229">
        <v>394</v>
      </c>
      <c r="C35" s="224">
        <v>2.5899999999999999E-2</v>
      </c>
      <c r="D35" s="231">
        <v>0.523756</v>
      </c>
      <c r="E35" s="224">
        <f t="shared" si="5"/>
        <v>1.3599999999999999E-2</v>
      </c>
      <c r="F35" s="586"/>
      <c r="G35" s="224">
        <v>2.5700000000000001E-2</v>
      </c>
      <c r="H35" s="231">
        <v>0.42594100000000001</v>
      </c>
      <c r="I35" s="224">
        <f t="shared" si="6"/>
        <v>1.09E-2</v>
      </c>
      <c r="J35" s="586"/>
      <c r="K35" s="224">
        <v>3.4300000000000004E-2</v>
      </c>
      <c r="L35" s="231">
        <v>1.9295E-2</v>
      </c>
      <c r="M35" s="224">
        <f t="shared" si="7"/>
        <v>6.9999999999999999E-4</v>
      </c>
      <c r="N35" s="586"/>
      <c r="O35" s="224">
        <v>3.4300000000000004E-2</v>
      </c>
      <c r="P35" s="231">
        <v>3.1008999999999998E-2</v>
      </c>
      <c r="Q35" s="224">
        <f t="shared" si="8"/>
        <v>1.1000000000000001E-3</v>
      </c>
      <c r="R35" s="586"/>
      <c r="S35" s="224">
        <f t="shared" si="9"/>
        <v>2.63E-2</v>
      </c>
    </row>
    <row r="36" spans="1:19" ht="15.75" customHeight="1">
      <c r="A36" s="596" t="s">
        <v>821</v>
      </c>
      <c r="B36" s="229">
        <v>395</v>
      </c>
      <c r="C36" s="224">
        <v>3.8699999999999998E-2</v>
      </c>
      <c r="D36" s="231">
        <v>0.523756</v>
      </c>
      <c r="E36" s="224">
        <f t="shared" si="5"/>
        <v>2.0299999999999999E-2</v>
      </c>
      <c r="F36" s="586"/>
      <c r="G36" s="224">
        <v>4.0099999999999997E-2</v>
      </c>
      <c r="H36" s="231">
        <v>0.42594100000000001</v>
      </c>
      <c r="I36" s="224">
        <f t="shared" si="6"/>
        <v>1.7100000000000001E-2</v>
      </c>
      <c r="J36" s="586"/>
      <c r="K36" s="224">
        <v>3.4300000000000004E-2</v>
      </c>
      <c r="L36" s="231">
        <v>1.9295E-2</v>
      </c>
      <c r="M36" s="224">
        <f t="shared" si="7"/>
        <v>6.9999999999999999E-4</v>
      </c>
      <c r="N36" s="586"/>
      <c r="O36" s="224">
        <v>3.4300000000000004E-2</v>
      </c>
      <c r="P36" s="231">
        <v>3.1008999999999998E-2</v>
      </c>
      <c r="Q36" s="224">
        <f t="shared" si="8"/>
        <v>1.1000000000000001E-3</v>
      </c>
      <c r="R36" s="586"/>
      <c r="S36" s="224">
        <f t="shared" si="9"/>
        <v>3.9199999999999999E-2</v>
      </c>
    </row>
    <row r="37" spans="1:19" ht="15.75" customHeight="1">
      <c r="A37" s="596" t="s">
        <v>939</v>
      </c>
      <c r="B37" s="229">
        <v>396</v>
      </c>
      <c r="C37" s="224">
        <v>0</v>
      </c>
      <c r="D37" s="231">
        <v>0.523756</v>
      </c>
      <c r="E37" s="224">
        <f t="shared" si="5"/>
        <v>0</v>
      </c>
      <c r="F37" s="586"/>
      <c r="G37" s="224">
        <v>3.9E-2</v>
      </c>
      <c r="H37" s="231">
        <v>0.42594100000000001</v>
      </c>
      <c r="I37" s="224">
        <f t="shared" si="6"/>
        <v>1.66E-2</v>
      </c>
      <c r="J37" s="586"/>
      <c r="K37" s="224">
        <v>3.4300000000000004E-2</v>
      </c>
      <c r="L37" s="231">
        <v>1.9295E-2</v>
      </c>
      <c r="M37" s="224">
        <f t="shared" si="7"/>
        <v>6.9999999999999999E-4</v>
      </c>
      <c r="N37" s="586"/>
      <c r="O37" s="224">
        <v>3.4300000000000004E-2</v>
      </c>
      <c r="P37" s="231">
        <v>3.1008999999999998E-2</v>
      </c>
      <c r="Q37" s="224">
        <f t="shared" si="8"/>
        <v>1.1000000000000001E-3</v>
      </c>
      <c r="R37" s="586"/>
      <c r="S37" s="224">
        <f t="shared" si="9"/>
        <v>1.84E-2</v>
      </c>
    </row>
    <row r="38" spans="1:19" ht="15.5">
      <c r="A38" s="596" t="s">
        <v>822</v>
      </c>
      <c r="B38" s="229">
        <v>397</v>
      </c>
      <c r="C38" s="224">
        <v>5.0500000000000003E-2</v>
      </c>
      <c r="D38" s="231">
        <v>0.523756</v>
      </c>
      <c r="E38" s="224">
        <f t="shared" si="5"/>
        <v>2.64E-2</v>
      </c>
      <c r="F38" s="586"/>
      <c r="G38" s="224">
        <v>4.9799999999999997E-2</v>
      </c>
      <c r="H38" s="231">
        <v>0.42594100000000001</v>
      </c>
      <c r="I38" s="224">
        <f t="shared" si="6"/>
        <v>2.12E-2</v>
      </c>
      <c r="J38" s="586"/>
      <c r="K38" s="224">
        <v>3.4300000000000004E-2</v>
      </c>
      <c r="L38" s="231">
        <v>1.9295E-2</v>
      </c>
      <c r="M38" s="224">
        <f t="shared" si="7"/>
        <v>6.9999999999999999E-4</v>
      </c>
      <c r="N38" s="586"/>
      <c r="O38" s="224">
        <v>3.4300000000000004E-2</v>
      </c>
      <c r="P38" s="231">
        <v>3.1008999999999998E-2</v>
      </c>
      <c r="Q38" s="224">
        <f t="shared" si="8"/>
        <v>1.1000000000000001E-3</v>
      </c>
      <c r="R38" s="586"/>
      <c r="S38" s="224">
        <f t="shared" si="9"/>
        <v>4.9399999999999999E-2</v>
      </c>
    </row>
    <row r="39" spans="1:19" ht="15.5">
      <c r="A39" s="596" t="s">
        <v>823</v>
      </c>
      <c r="B39" s="229">
        <v>398</v>
      </c>
      <c r="C39" s="224">
        <v>2.6700000000000002E-2</v>
      </c>
      <c r="D39" s="231">
        <v>0.523756</v>
      </c>
      <c r="E39" s="224">
        <f t="shared" si="5"/>
        <v>1.4E-2</v>
      </c>
      <c r="F39" s="586"/>
      <c r="G39" s="224">
        <v>2.7E-2</v>
      </c>
      <c r="H39" s="231">
        <v>0.42594100000000001</v>
      </c>
      <c r="I39" s="224">
        <f t="shared" si="6"/>
        <v>1.15E-2</v>
      </c>
      <c r="J39" s="586"/>
      <c r="K39" s="224">
        <v>3.4300000000000004E-2</v>
      </c>
      <c r="L39" s="231">
        <v>1.9295E-2</v>
      </c>
      <c r="M39" s="224">
        <f t="shared" si="7"/>
        <v>6.9999999999999999E-4</v>
      </c>
      <c r="N39" s="586"/>
      <c r="O39" s="224">
        <v>3.4300000000000004E-2</v>
      </c>
      <c r="P39" s="231">
        <v>3.1008999999999998E-2</v>
      </c>
      <c r="Q39" s="224">
        <f t="shared" si="8"/>
        <v>1.1000000000000001E-3</v>
      </c>
      <c r="R39" s="586"/>
      <c r="S39" s="224">
        <f t="shared" si="9"/>
        <v>2.7300000000000001E-2</v>
      </c>
    </row>
    <row r="40" spans="1:19" ht="16" thickBot="1">
      <c r="A40" s="993"/>
      <c r="B40" s="994"/>
      <c r="C40" s="995"/>
      <c r="D40" s="996"/>
      <c r="E40" s="997"/>
      <c r="F40" s="994"/>
      <c r="G40" s="997"/>
      <c r="H40" s="996"/>
      <c r="I40" s="997"/>
      <c r="J40" s="994"/>
      <c r="K40" s="995"/>
      <c r="L40" s="996"/>
      <c r="M40" s="997"/>
      <c r="N40" s="994"/>
      <c r="O40" s="995"/>
      <c r="P40" s="996"/>
      <c r="Q40" s="997"/>
      <c r="R40" s="994"/>
      <c r="S40" s="997"/>
    </row>
    <row r="41" spans="1:19" ht="15.5">
      <c r="A41" s="585"/>
      <c r="B41" s="586"/>
      <c r="C41" s="224"/>
      <c r="D41" s="585"/>
      <c r="E41" s="585"/>
      <c r="F41" s="585"/>
      <c r="G41" s="230"/>
      <c r="H41" s="585"/>
      <c r="I41" s="585"/>
      <c r="J41" s="585"/>
      <c r="K41" s="585"/>
      <c r="L41" s="585"/>
      <c r="M41" s="585"/>
      <c r="N41" s="585"/>
      <c r="O41" s="585"/>
      <c r="P41" s="585"/>
      <c r="Q41" s="585"/>
      <c r="R41" s="585"/>
      <c r="S41" s="585"/>
    </row>
    <row r="42" spans="1:19" ht="15" customHeight="1">
      <c r="A42" s="585" t="s">
        <v>1034</v>
      </c>
      <c r="B42" s="597"/>
      <c r="C42" s="232"/>
      <c r="D42" s="597"/>
      <c r="E42" s="585"/>
      <c r="F42" s="598" t="s">
        <v>125</v>
      </c>
      <c r="G42" s="230" t="s">
        <v>1035</v>
      </c>
      <c r="H42" s="586"/>
      <c r="I42" s="585"/>
      <c r="J42" s="585"/>
      <c r="K42" s="585"/>
      <c r="L42" s="598"/>
      <c r="M42" s="585"/>
      <c r="N42" s="585"/>
      <c r="O42" s="585"/>
      <c r="P42" s="585"/>
      <c r="Q42" s="585"/>
      <c r="R42" s="585"/>
      <c r="S42" s="585"/>
    </row>
    <row r="43" spans="1:19" ht="15.5">
      <c r="A43" s="585" t="s">
        <v>1036</v>
      </c>
      <c r="B43" s="597"/>
      <c r="C43" s="232"/>
      <c r="D43" s="597"/>
      <c r="E43" s="597"/>
      <c r="F43" s="599"/>
      <c r="G43" s="230"/>
      <c r="H43" s="586"/>
      <c r="I43" s="585"/>
      <c r="J43" s="585"/>
      <c r="K43" s="585"/>
      <c r="L43" s="585"/>
      <c r="M43" s="585"/>
      <c r="N43" s="585"/>
      <c r="O43" s="585"/>
      <c r="P43" s="585"/>
      <c r="Q43" s="585"/>
      <c r="R43" s="585"/>
      <c r="S43" s="585"/>
    </row>
    <row r="44" spans="1:19" ht="15" customHeight="1">
      <c r="A44" s="585"/>
      <c r="B44" s="597"/>
      <c r="C44" s="232"/>
      <c r="D44" s="600"/>
      <c r="E44" s="600"/>
      <c r="F44" s="598" t="s">
        <v>612</v>
      </c>
      <c r="G44" s="230" t="s">
        <v>1037</v>
      </c>
      <c r="H44" s="585"/>
      <c r="I44" s="585"/>
      <c r="J44" s="585"/>
      <c r="K44" s="585"/>
      <c r="L44" s="585"/>
      <c r="M44" s="585"/>
      <c r="N44" s="585"/>
      <c r="O44" s="585"/>
      <c r="P44" s="585"/>
      <c r="Q44" s="585"/>
      <c r="R44" s="585"/>
      <c r="S44" s="585"/>
    </row>
    <row r="45" spans="1:19" ht="15.5">
      <c r="A45" s="585" t="s">
        <v>1038</v>
      </c>
      <c r="B45" s="597"/>
      <c r="C45" s="232"/>
      <c r="D45" s="597"/>
      <c r="E45" s="597"/>
      <c r="F45" s="599"/>
      <c r="G45" s="230"/>
      <c r="H45" s="586"/>
      <c r="I45" s="585"/>
      <c r="J45" s="585"/>
      <c r="K45" s="585"/>
      <c r="L45" s="585"/>
      <c r="M45" s="585"/>
      <c r="N45" s="585"/>
      <c r="O45" s="585"/>
      <c r="P45" s="585"/>
      <c r="Q45" s="585"/>
      <c r="R45" s="585"/>
      <c r="S45" s="585"/>
    </row>
    <row r="46" spans="1:19" ht="15.5">
      <c r="A46" s="585" t="s">
        <v>1039</v>
      </c>
      <c r="B46" s="597"/>
      <c r="C46" s="232"/>
      <c r="D46" s="597"/>
      <c r="E46" s="597"/>
      <c r="F46" s="598" t="s">
        <v>613</v>
      </c>
      <c r="G46" s="1255" t="s">
        <v>614</v>
      </c>
      <c r="H46" s="1255"/>
      <c r="I46" s="1255"/>
      <c r="J46" s="1255"/>
      <c r="K46" s="1255"/>
      <c r="L46" s="1255"/>
      <c r="M46" s="585"/>
      <c r="N46" s="585"/>
      <c r="O46" s="585"/>
      <c r="P46" s="585"/>
      <c r="Q46" s="585"/>
      <c r="R46" s="585"/>
      <c r="S46" s="585"/>
    </row>
    <row r="47" spans="1:19" ht="15.5">
      <c r="A47" s="585"/>
      <c r="B47" s="597"/>
      <c r="C47" s="232"/>
      <c r="D47" s="597"/>
      <c r="E47" s="597"/>
      <c r="F47" s="598"/>
      <c r="G47" s="1255" t="s">
        <v>615</v>
      </c>
      <c r="H47" s="1255"/>
      <c r="I47" s="1255"/>
      <c r="J47" s="1255"/>
      <c r="K47" s="1255"/>
      <c r="L47" s="1255"/>
      <c r="M47" s="585"/>
      <c r="N47" s="585"/>
      <c r="O47" s="585"/>
      <c r="P47" s="585"/>
      <c r="Q47" s="585"/>
      <c r="R47" s="585"/>
      <c r="S47" s="585"/>
    </row>
    <row r="48" spans="1:19" ht="15.5">
      <c r="A48" s="585"/>
      <c r="B48" s="597"/>
      <c r="C48" s="232"/>
      <c r="D48" s="597"/>
      <c r="E48" s="597"/>
      <c r="F48" s="598"/>
      <c r="G48" s="1255" t="s">
        <v>616</v>
      </c>
      <c r="H48" s="1255"/>
      <c r="I48" s="1255"/>
      <c r="J48" s="1255"/>
      <c r="K48" s="1255"/>
      <c r="L48" s="1255"/>
      <c r="M48" s="585"/>
      <c r="N48" s="585"/>
      <c r="O48" s="585"/>
      <c r="P48" s="585"/>
      <c r="Q48" s="585"/>
      <c r="R48" s="585"/>
      <c r="S48" s="585"/>
    </row>
    <row r="49" spans="1:19" ht="15.5">
      <c r="A49" s="601"/>
      <c r="B49" s="586"/>
      <c r="C49" s="224"/>
      <c r="D49" s="585"/>
      <c r="E49" s="585"/>
      <c r="F49" s="585"/>
      <c r="G49" s="1255" t="s">
        <v>116</v>
      </c>
      <c r="H49" s="1255"/>
      <c r="I49" s="1255"/>
      <c r="J49" s="1255"/>
      <c r="K49" s="1255"/>
      <c r="L49" s="1255"/>
      <c r="M49" s="585"/>
      <c r="N49" s="585"/>
      <c r="O49" s="585"/>
      <c r="P49" s="585"/>
      <c r="Q49" s="585"/>
      <c r="R49" s="585"/>
      <c r="S49" s="585"/>
    </row>
    <row r="50" spans="1:19" ht="15.5">
      <c r="A50" s="601"/>
      <c r="B50" s="586"/>
      <c r="C50" s="224"/>
      <c r="D50" s="585"/>
      <c r="E50" s="585"/>
      <c r="F50" s="598" t="s">
        <v>617</v>
      </c>
      <c r="G50" s="1255" t="s">
        <v>1040</v>
      </c>
      <c r="H50" s="1255"/>
      <c r="I50" s="1255"/>
      <c r="J50" s="1255"/>
      <c r="K50" s="1255"/>
      <c r="L50" s="1255"/>
      <c r="M50" s="585"/>
      <c r="N50" s="585"/>
      <c r="O50" s="585"/>
      <c r="P50" s="585"/>
      <c r="Q50" s="585"/>
      <c r="R50" s="585"/>
      <c r="S50" s="585"/>
    </row>
    <row r="51" spans="1:19" ht="15.5">
      <c r="A51" s="601" t="s">
        <v>415</v>
      </c>
      <c r="B51" s="586"/>
      <c r="C51" s="224"/>
      <c r="D51" s="585"/>
      <c r="E51" s="585"/>
      <c r="F51" s="585"/>
      <c r="G51" s="585" t="s">
        <v>1041</v>
      </c>
      <c r="H51" s="585"/>
      <c r="I51" s="585"/>
      <c r="J51" s="585"/>
      <c r="K51" s="585"/>
      <c r="L51" s="585"/>
      <c r="M51" s="585"/>
      <c r="N51" s="585"/>
      <c r="O51" s="602"/>
      <c r="P51" s="585"/>
      <c r="Q51" s="585"/>
      <c r="R51" s="585"/>
      <c r="S51" s="585"/>
    </row>
    <row r="52" spans="1:19" ht="15.5">
      <c r="A52" s="901" t="s">
        <v>29</v>
      </c>
      <c r="B52" s="902"/>
      <c r="C52" s="902"/>
      <c r="D52" s="903"/>
      <c r="E52" s="585"/>
      <c r="F52" s="585"/>
      <c r="G52" s="230"/>
      <c r="H52" s="585"/>
      <c r="I52" s="585"/>
      <c r="J52" s="585"/>
      <c r="K52" s="585"/>
      <c r="L52" s="585"/>
      <c r="M52" s="585"/>
      <c r="N52" s="585"/>
      <c r="O52" s="602"/>
      <c r="P52" s="585"/>
      <c r="Q52" s="585"/>
      <c r="R52" s="585"/>
      <c r="S52" s="585"/>
    </row>
    <row r="53" spans="1:19" ht="15.5">
      <c r="A53" s="1256" t="s">
        <v>618</v>
      </c>
      <c r="B53" s="1257"/>
      <c r="C53" s="1257"/>
      <c r="D53" s="1257"/>
      <c r="E53" s="1257"/>
      <c r="F53" s="1257"/>
      <c r="G53" s="1257"/>
      <c r="H53" s="1257"/>
      <c r="I53" s="1257"/>
      <c r="J53" s="1257"/>
      <c r="K53" s="1257"/>
      <c r="L53" s="1257"/>
      <c r="M53" s="1257"/>
      <c r="N53" s="1257"/>
      <c r="O53" s="585"/>
      <c r="P53" s="585"/>
      <c r="Q53" s="585"/>
      <c r="R53" s="585"/>
      <c r="S53" s="585"/>
    </row>
    <row r="54" spans="1:19" ht="15.5">
      <c r="A54" s="1257"/>
      <c r="B54" s="1257"/>
      <c r="C54" s="1257"/>
      <c r="D54" s="1257"/>
      <c r="E54" s="1257"/>
      <c r="F54" s="1257"/>
      <c r="G54" s="1257"/>
      <c r="H54" s="1257"/>
      <c r="I54" s="1257"/>
      <c r="J54" s="1257"/>
      <c r="K54" s="1257"/>
      <c r="L54" s="1257"/>
      <c r="M54" s="1257"/>
      <c r="N54" s="1257"/>
      <c r="O54" s="585"/>
      <c r="P54" s="585"/>
      <c r="Q54" s="585"/>
      <c r="R54" s="585"/>
      <c r="S54" s="585"/>
    </row>
    <row r="55" spans="1:19" ht="15.5">
      <c r="A55" s="1165" t="s">
        <v>832</v>
      </c>
      <c r="B55" s="1165"/>
      <c r="C55" s="1165"/>
      <c r="D55" s="1165"/>
      <c r="E55" s="1165"/>
      <c r="F55" s="1165"/>
      <c r="G55" s="1165"/>
      <c r="H55" s="1165"/>
      <c r="I55" s="1165"/>
      <c r="J55" s="1165"/>
      <c r="K55" s="1165"/>
      <c r="L55" s="1165"/>
      <c r="M55" s="1165"/>
      <c r="N55" s="1165"/>
      <c r="O55" s="585"/>
      <c r="P55" s="585"/>
      <c r="Q55" s="585"/>
      <c r="R55" s="585"/>
      <c r="S55" s="585"/>
    </row>
    <row r="56" spans="1:19" ht="15.5">
      <c r="A56" s="1165"/>
      <c r="B56" s="1165"/>
      <c r="C56" s="1165"/>
      <c r="D56" s="1165"/>
      <c r="E56" s="1165"/>
      <c r="F56" s="1165"/>
      <c r="G56" s="1165"/>
      <c r="H56" s="1165"/>
      <c r="I56" s="1165"/>
      <c r="J56" s="1165"/>
      <c r="K56" s="1165"/>
      <c r="L56" s="1165"/>
      <c r="M56" s="1165"/>
      <c r="N56" s="1165"/>
      <c r="O56" s="585"/>
      <c r="P56" s="585"/>
      <c r="Q56" s="585"/>
      <c r="R56" s="585"/>
      <c r="S56" s="585"/>
    </row>
  </sheetData>
  <mergeCells count="19">
    <mergeCell ref="A55:N56"/>
    <mergeCell ref="G46:L46"/>
    <mergeCell ref="G47:L47"/>
    <mergeCell ref="G48:L48"/>
    <mergeCell ref="G49:L49"/>
    <mergeCell ref="G50:L50"/>
    <mergeCell ref="A53:N54"/>
    <mergeCell ref="A9:O9"/>
    <mergeCell ref="A10:O10"/>
    <mergeCell ref="C12:E12"/>
    <mergeCell ref="G12:I12"/>
    <mergeCell ref="K12:M12"/>
    <mergeCell ref="O12:Q12"/>
    <mergeCell ref="A8:O8"/>
    <mergeCell ref="A3:O3"/>
    <mergeCell ref="A4:O4"/>
    <mergeCell ref="A5:O5"/>
    <mergeCell ref="A6:O6"/>
    <mergeCell ref="A7:O7"/>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9"/>
  <sheetViews>
    <sheetView view="pageBreakPreview" zoomScale="60" zoomScaleNormal="70" workbookViewId="0">
      <selection activeCell="G22" sqref="G22"/>
    </sheetView>
  </sheetViews>
  <sheetFormatPr defaultColWidth="9.1796875" defaultRowHeight="12.5"/>
  <cols>
    <col min="1" max="1" width="34.26953125" style="893" customWidth="1"/>
    <col min="2" max="2" width="9.1796875" style="893"/>
    <col min="3" max="3" width="11.81640625" style="893" customWidth="1"/>
    <col min="4" max="4" width="18.26953125" style="893" customWidth="1"/>
    <col min="5" max="5" width="12.54296875" style="893" customWidth="1"/>
    <col min="6" max="6" width="9.1796875" style="893"/>
    <col min="7" max="7" width="12.1796875" style="893" customWidth="1"/>
    <col min="8" max="8" width="18.81640625" style="893" customWidth="1"/>
    <col min="9" max="9" width="15.54296875" style="893" bestFit="1" customWidth="1"/>
    <col min="10" max="16384" width="9.1796875" style="893"/>
  </cols>
  <sheetData>
    <row r="1" spans="1:11" s="585" customFormat="1" ht="15.5">
      <c r="A1" s="694" t="s">
        <v>116</v>
      </c>
      <c r="G1" s="230"/>
    </row>
    <row r="2" spans="1:11" s="585" customFormat="1" ht="15.5">
      <c r="A2" s="694" t="s">
        <v>116</v>
      </c>
      <c r="G2" s="230"/>
    </row>
    <row r="3" spans="1:11" ht="18">
      <c r="A3" s="1251" t="s">
        <v>393</v>
      </c>
      <c r="B3" s="1251"/>
      <c r="C3" s="1251"/>
      <c r="D3" s="1251"/>
      <c r="E3" s="1251"/>
      <c r="F3" s="1251"/>
      <c r="G3" s="1251"/>
      <c r="H3" s="1251"/>
      <c r="I3" s="1251"/>
      <c r="J3" s="1251"/>
      <c r="K3" s="1251"/>
    </row>
    <row r="4" spans="1:11" ht="18">
      <c r="A4" s="1251" t="s">
        <v>394</v>
      </c>
      <c r="B4" s="1251"/>
      <c r="C4" s="1251"/>
      <c r="D4" s="1251"/>
      <c r="E4" s="1251"/>
      <c r="F4" s="1251"/>
      <c r="G4" s="1251"/>
      <c r="H4" s="1251"/>
      <c r="I4" s="1251"/>
      <c r="J4" s="1251"/>
      <c r="K4" s="1251"/>
    </row>
    <row r="5" spans="1:11" ht="18">
      <c r="A5" s="1251" t="s">
        <v>395</v>
      </c>
      <c r="B5" s="1251"/>
      <c r="C5" s="1251"/>
      <c r="D5" s="1251"/>
      <c r="E5" s="1251"/>
      <c r="F5" s="1251"/>
      <c r="G5" s="1251"/>
      <c r="H5" s="1251"/>
      <c r="I5" s="1251"/>
      <c r="J5" s="1251"/>
      <c r="K5" s="1251"/>
    </row>
    <row r="6" spans="1:11" ht="18">
      <c r="A6" s="1251" t="s">
        <v>396</v>
      </c>
      <c r="B6" s="1251"/>
      <c r="C6" s="1251"/>
      <c r="D6" s="1251"/>
      <c r="E6" s="1251"/>
      <c r="F6" s="1251"/>
      <c r="G6" s="1251"/>
      <c r="H6" s="1251"/>
      <c r="I6" s="1251"/>
      <c r="J6" s="1251"/>
      <c r="K6" s="1251"/>
    </row>
    <row r="7" spans="1:11" ht="18">
      <c r="A7" s="1251" t="s">
        <v>1042</v>
      </c>
      <c r="B7" s="1251"/>
      <c r="C7" s="1251"/>
      <c r="D7" s="1251"/>
      <c r="E7" s="1251"/>
      <c r="F7" s="1251"/>
      <c r="G7" s="1251"/>
      <c r="H7" s="1251"/>
      <c r="I7" s="1251"/>
      <c r="J7" s="1251"/>
      <c r="K7" s="1251"/>
    </row>
    <row r="8" spans="1:11" ht="18">
      <c r="A8" s="1251" t="s">
        <v>397</v>
      </c>
      <c r="B8" s="1251"/>
      <c r="C8" s="1251"/>
      <c r="D8" s="1251"/>
      <c r="E8" s="1251"/>
      <c r="F8" s="1251"/>
      <c r="G8" s="1251"/>
      <c r="H8" s="1251"/>
      <c r="I8" s="1251"/>
      <c r="J8" s="1251"/>
      <c r="K8" s="1251"/>
    </row>
    <row r="9" spans="1:11" ht="18">
      <c r="A9" s="1251" t="s">
        <v>775</v>
      </c>
      <c r="B9" s="1251"/>
      <c r="C9" s="1251"/>
      <c r="D9" s="1251"/>
      <c r="E9" s="1251"/>
      <c r="F9" s="1251"/>
      <c r="G9" s="1251"/>
      <c r="H9" s="1251"/>
      <c r="I9" s="1251"/>
      <c r="J9" s="1251"/>
      <c r="K9" s="1251"/>
    </row>
    <row r="10" spans="1:11" ht="18">
      <c r="A10" s="1259"/>
      <c r="B10" s="1259"/>
      <c r="C10" s="1259"/>
      <c r="D10" s="1259"/>
      <c r="E10" s="1259"/>
      <c r="F10" s="1259"/>
      <c r="G10" s="1259"/>
      <c r="H10" s="1259"/>
      <c r="I10" s="1259"/>
      <c r="J10" s="1259"/>
      <c r="K10" s="1259"/>
    </row>
    <row r="11" spans="1:11" ht="16" thickBot="1">
      <c r="A11" s="894"/>
      <c r="B11" s="894"/>
      <c r="C11" s="1254" t="s">
        <v>776</v>
      </c>
      <c r="D11" s="1254"/>
      <c r="E11" s="1254"/>
      <c r="F11" s="894"/>
      <c r="G11" s="1254" t="s">
        <v>1043</v>
      </c>
      <c r="H11" s="1254"/>
      <c r="I11" s="1254"/>
      <c r="J11" s="894"/>
      <c r="K11" s="1054" t="s">
        <v>399</v>
      </c>
    </row>
    <row r="12" spans="1:11" ht="15.5">
      <c r="A12" s="895"/>
      <c r="B12" s="894"/>
      <c r="C12" s="587" t="s">
        <v>123</v>
      </c>
      <c r="D12" s="896"/>
      <c r="E12" s="896"/>
      <c r="F12" s="896"/>
      <c r="G12" s="589" t="s">
        <v>124</v>
      </c>
      <c r="H12" s="590"/>
      <c r="I12" s="590"/>
      <c r="J12" s="590"/>
      <c r="K12" s="590"/>
    </row>
    <row r="13" spans="1:11" ht="15.5">
      <c r="A13" s="894"/>
      <c r="B13" s="894"/>
      <c r="C13" s="587" t="s">
        <v>116</v>
      </c>
      <c r="D13" s="896"/>
      <c r="E13" s="587" t="s">
        <v>400</v>
      </c>
      <c r="F13" s="896"/>
      <c r="G13" s="589" t="s">
        <v>777</v>
      </c>
      <c r="H13" s="896"/>
      <c r="I13" s="587" t="s">
        <v>400</v>
      </c>
      <c r="J13" s="896"/>
      <c r="K13" s="587" t="s">
        <v>400</v>
      </c>
    </row>
    <row r="14" spans="1:11" ht="15.5">
      <c r="A14" s="894"/>
      <c r="B14" s="587" t="s">
        <v>401</v>
      </c>
      <c r="C14" s="587" t="s">
        <v>778</v>
      </c>
      <c r="D14" s="587" t="s">
        <v>402</v>
      </c>
      <c r="E14" s="587" t="s">
        <v>403</v>
      </c>
      <c r="F14" s="896"/>
      <c r="G14" s="589" t="s">
        <v>404</v>
      </c>
      <c r="H14" s="587" t="s">
        <v>402</v>
      </c>
      <c r="I14" s="587" t="s">
        <v>403</v>
      </c>
      <c r="J14" s="896"/>
      <c r="K14" s="587" t="s">
        <v>403</v>
      </c>
    </row>
    <row r="15" spans="1:11" ht="15.5">
      <c r="A15" s="587"/>
      <c r="B15" s="587" t="s">
        <v>405</v>
      </c>
      <c r="C15" s="587" t="s">
        <v>406</v>
      </c>
      <c r="D15" s="587" t="s">
        <v>779</v>
      </c>
      <c r="E15" s="587" t="s">
        <v>407</v>
      </c>
      <c r="F15" s="896"/>
      <c r="G15" s="589" t="s">
        <v>406</v>
      </c>
      <c r="H15" s="587" t="s">
        <v>779</v>
      </c>
      <c r="I15" s="587" t="s">
        <v>407</v>
      </c>
      <c r="J15" s="896"/>
      <c r="K15" s="587" t="s">
        <v>407</v>
      </c>
    </row>
    <row r="16" spans="1:11" ht="15.5">
      <c r="A16" s="585"/>
      <c r="B16" s="585"/>
      <c r="C16" s="585"/>
      <c r="D16" s="585"/>
      <c r="E16" s="585"/>
      <c r="F16" s="585"/>
      <c r="G16" s="230"/>
      <c r="H16" s="585"/>
      <c r="I16" s="585"/>
      <c r="J16" s="585"/>
      <c r="K16" s="585"/>
    </row>
    <row r="17" spans="1:11" ht="16" thickBot="1">
      <c r="A17" s="897"/>
      <c r="B17" s="894"/>
      <c r="C17" s="224"/>
      <c r="D17" s="894"/>
      <c r="E17" s="894"/>
      <c r="F17" s="894"/>
      <c r="G17" s="898"/>
      <c r="H17" s="894"/>
      <c r="I17" s="894"/>
      <c r="J17" s="894"/>
      <c r="K17" s="894"/>
    </row>
    <row r="18" spans="1:11" ht="15.5">
      <c r="A18" s="594" t="s">
        <v>408</v>
      </c>
      <c r="B18" s="899"/>
      <c r="C18" s="225"/>
      <c r="D18" s="226"/>
      <c r="E18" s="227"/>
      <c r="F18" s="899"/>
      <c r="G18" s="227"/>
      <c r="H18" s="228"/>
      <c r="I18" s="227"/>
      <c r="J18" s="899"/>
      <c r="K18" s="227"/>
    </row>
    <row r="19" spans="1:11" ht="15.5">
      <c r="A19" s="585" t="s">
        <v>780</v>
      </c>
      <c r="B19" s="229">
        <v>350.1</v>
      </c>
      <c r="C19" s="230">
        <v>1.66E-2</v>
      </c>
      <c r="D19" s="231">
        <v>0.66233529999999996</v>
      </c>
      <c r="E19" s="230">
        <f t="shared" ref="E19:E27" si="0">ROUND((C19*D19),6)</f>
        <v>1.0995E-2</v>
      </c>
      <c r="F19" s="894"/>
      <c r="G19" s="230">
        <v>1.6199999999999999E-2</v>
      </c>
      <c r="H19" s="231">
        <v>0.33766470000000004</v>
      </c>
      <c r="I19" s="230">
        <f t="shared" ref="I19:I27" si="1">ROUND((G19*H19),6)</f>
        <v>5.47E-3</v>
      </c>
      <c r="J19" s="894"/>
      <c r="K19" s="224">
        <f>ROUND(E19+I19,4)</f>
        <v>1.6500000000000001E-2</v>
      </c>
    </row>
    <row r="20" spans="1:11" ht="15.5">
      <c r="A20" s="585" t="s">
        <v>409</v>
      </c>
      <c r="B20" s="229">
        <v>352</v>
      </c>
      <c r="C20" s="230">
        <v>1.77E-2</v>
      </c>
      <c r="D20" s="231">
        <v>0.66233529999999996</v>
      </c>
      <c r="E20" s="230">
        <f t="shared" si="0"/>
        <v>1.1723000000000001E-2</v>
      </c>
      <c r="F20" s="894"/>
      <c r="G20" s="230">
        <v>1.7399999999999999E-2</v>
      </c>
      <c r="H20" s="231">
        <v>0.33766470000000004</v>
      </c>
      <c r="I20" s="230">
        <f t="shared" si="1"/>
        <v>5.875E-3</v>
      </c>
      <c r="J20" s="894"/>
      <c r="K20" s="224">
        <f t="shared" ref="K20:K27" si="2">ROUND(E20+I20,4)</f>
        <v>1.7600000000000001E-2</v>
      </c>
    </row>
    <row r="21" spans="1:11" ht="15.5">
      <c r="A21" s="585" t="s">
        <v>410</v>
      </c>
      <c r="B21" s="229">
        <v>353</v>
      </c>
      <c r="C21" s="230">
        <v>2.4299999999999999E-2</v>
      </c>
      <c r="D21" s="231">
        <v>0.66233529999999996</v>
      </c>
      <c r="E21" s="230">
        <f t="shared" si="0"/>
        <v>1.6095000000000002E-2</v>
      </c>
      <c r="F21" s="894"/>
      <c r="G21" s="230">
        <v>2.41E-2</v>
      </c>
      <c r="H21" s="231">
        <v>0.33766470000000004</v>
      </c>
      <c r="I21" s="230">
        <f t="shared" si="1"/>
        <v>8.1379999999999994E-3</v>
      </c>
      <c r="J21" s="894"/>
      <c r="K21" s="224">
        <f t="shared" si="2"/>
        <v>2.4199999999999999E-2</v>
      </c>
    </row>
    <row r="22" spans="1:11" ht="15.5">
      <c r="A22" s="585" t="s">
        <v>411</v>
      </c>
      <c r="B22" s="229">
        <v>354</v>
      </c>
      <c r="C22" s="230">
        <v>2.5700000000000001E-2</v>
      </c>
      <c r="D22" s="231">
        <v>0.66233529999999996</v>
      </c>
      <c r="E22" s="230">
        <f t="shared" si="0"/>
        <v>1.7021999999999999E-2</v>
      </c>
      <c r="F22" s="894"/>
      <c r="G22" s="230">
        <v>2.4500000000000001E-2</v>
      </c>
      <c r="H22" s="231">
        <v>0.33766470000000004</v>
      </c>
      <c r="I22" s="230">
        <f t="shared" si="1"/>
        <v>8.2730000000000008E-3</v>
      </c>
      <c r="J22" s="894"/>
      <c r="K22" s="224">
        <f t="shared" si="2"/>
        <v>2.53E-2</v>
      </c>
    </row>
    <row r="23" spans="1:11" ht="15.5">
      <c r="A23" s="585" t="s">
        <v>412</v>
      </c>
      <c r="B23" s="229">
        <v>355</v>
      </c>
      <c r="C23" s="230">
        <v>3.1899999999999998E-2</v>
      </c>
      <c r="D23" s="231">
        <v>0.66233529999999996</v>
      </c>
      <c r="E23" s="230">
        <f t="shared" si="0"/>
        <v>2.1128000000000001E-2</v>
      </c>
      <c r="F23" s="894"/>
      <c r="G23" s="230">
        <v>3.1699999999999999E-2</v>
      </c>
      <c r="H23" s="231">
        <v>0.33766470000000004</v>
      </c>
      <c r="I23" s="230">
        <f t="shared" si="1"/>
        <v>1.0704E-2</v>
      </c>
      <c r="J23" s="894"/>
      <c r="K23" s="224">
        <f t="shared" si="2"/>
        <v>3.1800000000000002E-2</v>
      </c>
    </row>
    <row r="24" spans="1:11" ht="15.5">
      <c r="A24" s="585" t="s">
        <v>781</v>
      </c>
      <c r="B24" s="229">
        <v>356</v>
      </c>
      <c r="C24" s="230">
        <v>2.35E-2</v>
      </c>
      <c r="D24" s="231">
        <v>0.66233529999999996</v>
      </c>
      <c r="E24" s="230">
        <f t="shared" si="0"/>
        <v>1.5565000000000001E-2</v>
      </c>
      <c r="F24" s="894"/>
      <c r="G24" s="230">
        <v>2.2800000000000001E-2</v>
      </c>
      <c r="H24" s="231">
        <v>0.33766470000000004</v>
      </c>
      <c r="I24" s="230">
        <f t="shared" si="1"/>
        <v>7.6990000000000001E-3</v>
      </c>
      <c r="J24" s="894"/>
      <c r="K24" s="224">
        <f t="shared" si="2"/>
        <v>2.3300000000000001E-2</v>
      </c>
    </row>
    <row r="25" spans="1:11" ht="15.5">
      <c r="A25" s="585" t="s">
        <v>413</v>
      </c>
      <c r="B25" s="229">
        <v>357</v>
      </c>
      <c r="C25" s="230">
        <v>2.3E-2</v>
      </c>
      <c r="D25" s="231">
        <v>0.66233529999999996</v>
      </c>
      <c r="E25" s="230">
        <f t="shared" si="0"/>
        <v>1.5233999999999999E-2</v>
      </c>
      <c r="F25" s="894"/>
      <c r="G25" s="230">
        <v>2.2100000000000002E-2</v>
      </c>
      <c r="H25" s="231">
        <v>0.33766470000000004</v>
      </c>
      <c r="I25" s="230">
        <f t="shared" si="1"/>
        <v>7.4619999999999999E-3</v>
      </c>
      <c r="J25" s="894"/>
      <c r="K25" s="224">
        <f t="shared" si="2"/>
        <v>2.2700000000000001E-2</v>
      </c>
    </row>
    <row r="26" spans="1:11" ht="15.5">
      <c r="A26" s="585" t="s">
        <v>414</v>
      </c>
      <c r="B26" s="229">
        <v>358</v>
      </c>
      <c r="C26" s="230">
        <v>1.9300000000000001E-2</v>
      </c>
      <c r="D26" s="231">
        <v>0.66233529999999996</v>
      </c>
      <c r="E26" s="230">
        <f t="shared" si="0"/>
        <v>1.2782999999999999E-2</v>
      </c>
      <c r="F26" s="894"/>
      <c r="G26" s="230">
        <v>1.9E-2</v>
      </c>
      <c r="H26" s="231">
        <v>0.33766470000000004</v>
      </c>
      <c r="I26" s="230">
        <f t="shared" si="1"/>
        <v>6.4159999999999998E-3</v>
      </c>
      <c r="J26" s="894"/>
      <c r="K26" s="224">
        <f t="shared" si="2"/>
        <v>1.9199999999999998E-2</v>
      </c>
    </row>
    <row r="27" spans="1:11" ht="15.5">
      <c r="A27" s="585" t="s">
        <v>782</v>
      </c>
      <c r="B27" s="229">
        <v>359</v>
      </c>
      <c r="C27" s="230">
        <v>1.61E-2</v>
      </c>
      <c r="D27" s="231">
        <v>0.66233529999999996</v>
      </c>
      <c r="E27" s="230">
        <f t="shared" si="0"/>
        <v>1.0664E-2</v>
      </c>
      <c r="F27" s="894"/>
      <c r="G27" s="230">
        <v>1.5900000000000001E-2</v>
      </c>
      <c r="H27" s="231">
        <v>0.33766470000000004</v>
      </c>
      <c r="I27" s="230">
        <f t="shared" si="1"/>
        <v>5.3689999999999996E-3</v>
      </c>
      <c r="J27" s="894"/>
      <c r="K27" s="224">
        <f t="shared" si="2"/>
        <v>1.6E-2</v>
      </c>
    </row>
    <row r="28" spans="1:11" ht="15.5">
      <c r="A28" s="585"/>
      <c r="B28" s="585"/>
      <c r="C28" s="585"/>
      <c r="D28" s="585"/>
      <c r="E28" s="585"/>
      <c r="F28" s="585"/>
      <c r="G28" s="585"/>
      <c r="H28" s="585"/>
      <c r="I28" s="585"/>
      <c r="J28" s="585"/>
      <c r="K28" s="585"/>
    </row>
    <row r="29" spans="1:11" ht="16" thickBot="1">
      <c r="A29" s="585"/>
      <c r="B29" s="585"/>
      <c r="C29" s="585"/>
      <c r="D29" s="585"/>
      <c r="E29" s="585"/>
      <c r="F29" s="585"/>
      <c r="G29" s="585"/>
      <c r="H29" s="585"/>
      <c r="I29" s="585"/>
      <c r="J29" s="585"/>
      <c r="K29" s="585"/>
    </row>
    <row r="30" spans="1:11" ht="15.5">
      <c r="A30" s="992" t="s">
        <v>937</v>
      </c>
      <c r="B30" s="999"/>
      <c r="C30" s="1056"/>
      <c r="D30" s="1001"/>
      <c r="E30" s="1002"/>
      <c r="F30" s="999"/>
      <c r="G30" s="1003"/>
      <c r="H30" s="1001"/>
      <c r="I30" s="1002"/>
      <c r="J30" s="999"/>
      <c r="K30" s="585"/>
    </row>
    <row r="31" spans="1:11" ht="15.5">
      <c r="A31" s="1057"/>
      <c r="B31" s="229">
        <v>390</v>
      </c>
      <c r="C31" s="230">
        <v>2.0799999999999999E-2</v>
      </c>
      <c r="D31" s="231">
        <v>0.68186831634107659</v>
      </c>
      <c r="E31" s="230">
        <f t="shared" ref="E31:E39" si="3">ROUND((C31*D31),6)</f>
        <v>1.4182999999999999E-2</v>
      </c>
      <c r="F31" s="894"/>
      <c r="G31" s="230">
        <v>2.0799999999999999E-2</v>
      </c>
      <c r="H31" s="231">
        <v>0.31813168365892341</v>
      </c>
      <c r="I31" s="230">
        <f t="shared" ref="I31:I39" si="4">ROUND((G31*H31),6)</f>
        <v>6.6169999999999996E-3</v>
      </c>
      <c r="J31" s="1058"/>
      <c r="K31" s="224">
        <f t="shared" ref="K31:K39" si="5">ROUND(E31+I31,4)</f>
        <v>2.0799999999999999E-2</v>
      </c>
    </row>
    <row r="32" spans="1:11" ht="15.5">
      <c r="A32" s="1057"/>
      <c r="B32" s="229">
        <v>391</v>
      </c>
      <c r="C32" s="230">
        <v>4.7899999999999998E-2</v>
      </c>
      <c r="D32" s="231">
        <v>0.68186831634107659</v>
      </c>
      <c r="E32" s="230">
        <f t="shared" si="3"/>
        <v>3.2661000000000003E-2</v>
      </c>
      <c r="F32" s="894"/>
      <c r="G32" s="230">
        <v>4.8399999999999999E-2</v>
      </c>
      <c r="H32" s="231">
        <v>0.31813168365892341</v>
      </c>
      <c r="I32" s="230">
        <f t="shared" si="4"/>
        <v>1.5398E-2</v>
      </c>
      <c r="J32" s="1058"/>
      <c r="K32" s="224">
        <f t="shared" si="5"/>
        <v>4.8099999999999997E-2</v>
      </c>
    </row>
    <row r="33" spans="1:11" ht="15.5">
      <c r="A33" s="1059" t="s">
        <v>1044</v>
      </c>
      <c r="B33" s="229">
        <v>392</v>
      </c>
      <c r="C33" s="230">
        <v>4.6399999999999997E-2</v>
      </c>
      <c r="D33" s="231">
        <v>0.68186831634107659</v>
      </c>
      <c r="E33" s="230">
        <f t="shared" si="3"/>
        <v>3.1639E-2</v>
      </c>
      <c r="F33" s="894"/>
      <c r="G33" s="230">
        <v>4.6800000000000001E-2</v>
      </c>
      <c r="H33" s="231">
        <v>0.31813168365892341</v>
      </c>
      <c r="I33" s="230">
        <f t="shared" si="4"/>
        <v>1.4888999999999999E-2</v>
      </c>
      <c r="J33" s="1058"/>
      <c r="K33" s="224">
        <f t="shared" si="5"/>
        <v>4.65E-2</v>
      </c>
    </row>
    <row r="34" spans="1:11" ht="15.5">
      <c r="A34" s="1057"/>
      <c r="B34" s="229">
        <v>393</v>
      </c>
      <c r="C34" s="230">
        <v>7.3499999999999996E-2</v>
      </c>
      <c r="D34" s="231">
        <v>0.68186831634107659</v>
      </c>
      <c r="E34" s="230">
        <f t="shared" si="3"/>
        <v>5.0117000000000002E-2</v>
      </c>
      <c r="F34" s="894"/>
      <c r="G34" s="230">
        <v>7.3800000000000004E-2</v>
      </c>
      <c r="H34" s="231">
        <v>0.31813168365892341</v>
      </c>
      <c r="I34" s="230">
        <f t="shared" si="4"/>
        <v>2.3477999999999999E-2</v>
      </c>
      <c r="J34" s="1058"/>
      <c r="K34" s="224">
        <f t="shared" si="5"/>
        <v>7.3599999999999999E-2</v>
      </c>
    </row>
    <row r="35" spans="1:11" ht="15.5">
      <c r="A35" s="1057"/>
      <c r="B35" s="229">
        <v>394</v>
      </c>
      <c r="C35" s="230">
        <v>6.9900000000000004E-2</v>
      </c>
      <c r="D35" s="231">
        <v>0.68186831634107659</v>
      </c>
      <c r="E35" s="230">
        <f t="shared" si="3"/>
        <v>4.7662999999999997E-2</v>
      </c>
      <c r="F35" s="894"/>
      <c r="G35" s="230">
        <v>7.0699999999999999E-2</v>
      </c>
      <c r="H35" s="231">
        <v>0.31813168365892341</v>
      </c>
      <c r="I35" s="230">
        <f t="shared" si="4"/>
        <v>2.2492000000000002E-2</v>
      </c>
      <c r="J35" s="1058"/>
      <c r="K35" s="224">
        <f t="shared" si="5"/>
        <v>7.0199999999999999E-2</v>
      </c>
    </row>
    <row r="36" spans="1:11" ht="15.5">
      <c r="A36" s="1057"/>
      <c r="B36" s="229">
        <v>395</v>
      </c>
      <c r="C36" s="230">
        <v>5.4100000000000002E-2</v>
      </c>
      <c r="D36" s="231">
        <v>0.68186831634107659</v>
      </c>
      <c r="E36" s="230">
        <f t="shared" si="3"/>
        <v>3.6888999999999998E-2</v>
      </c>
      <c r="F36" s="894"/>
      <c r="G36" s="230">
        <v>5.4600000000000003E-2</v>
      </c>
      <c r="H36" s="231">
        <v>0.31813168365892341</v>
      </c>
      <c r="I36" s="230">
        <f t="shared" si="4"/>
        <v>1.737E-2</v>
      </c>
      <c r="J36" s="1058"/>
      <c r="K36" s="224">
        <f t="shared" si="5"/>
        <v>5.4300000000000001E-2</v>
      </c>
    </row>
    <row r="37" spans="1:11" ht="15.5">
      <c r="A37" s="1057"/>
      <c r="B37" s="229">
        <v>396</v>
      </c>
      <c r="C37" s="230">
        <v>4.8099999999999997E-2</v>
      </c>
      <c r="D37" s="231">
        <v>0.68186831634107659</v>
      </c>
      <c r="E37" s="230">
        <f t="shared" si="3"/>
        <v>3.2798000000000001E-2</v>
      </c>
      <c r="F37" s="894"/>
      <c r="G37" s="230">
        <v>4.9000000000000002E-2</v>
      </c>
      <c r="H37" s="231">
        <v>0.31813168365892341</v>
      </c>
      <c r="I37" s="230">
        <f t="shared" si="4"/>
        <v>1.5587999999999999E-2</v>
      </c>
      <c r="J37" s="1058"/>
      <c r="K37" s="224">
        <f t="shared" si="5"/>
        <v>4.8399999999999999E-2</v>
      </c>
    </row>
    <row r="38" spans="1:11" ht="15.5">
      <c r="A38" s="1057"/>
      <c r="B38" s="229">
        <v>397</v>
      </c>
      <c r="C38" s="230">
        <v>3.9100000000000003E-2</v>
      </c>
      <c r="D38" s="231">
        <v>0.68186831634107659</v>
      </c>
      <c r="E38" s="230">
        <f t="shared" si="3"/>
        <v>2.6661000000000001E-2</v>
      </c>
      <c r="F38" s="894"/>
      <c r="G38" s="230">
        <v>3.9300000000000002E-2</v>
      </c>
      <c r="H38" s="231">
        <v>0.31813168365892341</v>
      </c>
      <c r="I38" s="230">
        <f t="shared" si="4"/>
        <v>1.2503E-2</v>
      </c>
      <c r="J38" s="1058"/>
      <c r="K38" s="224">
        <f t="shared" si="5"/>
        <v>3.9199999999999999E-2</v>
      </c>
    </row>
    <row r="39" spans="1:11" ht="15.5">
      <c r="A39" s="1057"/>
      <c r="B39" s="229">
        <v>398</v>
      </c>
      <c r="C39" s="230">
        <v>3.32E-2</v>
      </c>
      <c r="D39" s="231">
        <v>0.68186831634107659</v>
      </c>
      <c r="E39" s="230">
        <f t="shared" si="3"/>
        <v>2.2637999999999998E-2</v>
      </c>
      <c r="F39" s="894"/>
      <c r="G39" s="230">
        <v>3.3500000000000002E-2</v>
      </c>
      <c r="H39" s="231">
        <v>0.31813168365892341</v>
      </c>
      <c r="I39" s="230">
        <f t="shared" si="4"/>
        <v>1.0657E-2</v>
      </c>
      <c r="J39" s="1058"/>
      <c r="K39" s="224">
        <f t="shared" si="5"/>
        <v>3.3300000000000003E-2</v>
      </c>
    </row>
    <row r="40" spans="1:11" ht="16" thickBot="1">
      <c r="A40" s="993"/>
      <c r="B40" s="994"/>
      <c r="C40" s="995"/>
      <c r="D40" s="996"/>
      <c r="E40" s="997"/>
      <c r="F40" s="994"/>
      <c r="G40" s="997"/>
      <c r="H40" s="996"/>
      <c r="I40" s="997"/>
      <c r="J40" s="994"/>
      <c r="K40" s="585"/>
    </row>
    <row r="41" spans="1:11" ht="15.5">
      <c r="A41" s="585"/>
      <c r="B41" s="585"/>
      <c r="C41" s="585"/>
      <c r="D41" s="585"/>
      <c r="E41" s="585"/>
      <c r="F41" s="585"/>
      <c r="G41" s="585"/>
      <c r="H41" s="585"/>
      <c r="I41" s="585"/>
      <c r="J41" s="585"/>
      <c r="K41" s="585"/>
    </row>
    <row r="42" spans="1:11" ht="15.5">
      <c r="A42" s="585"/>
      <c r="B42" s="585"/>
      <c r="C42" s="585"/>
      <c r="D42" s="585"/>
      <c r="E42" s="585"/>
      <c r="F42" s="585"/>
      <c r="G42" s="585"/>
      <c r="H42" s="585"/>
      <c r="I42" s="585"/>
      <c r="J42" s="585"/>
      <c r="K42" s="585"/>
    </row>
    <row r="43" spans="1:11" ht="15.5">
      <c r="A43" s="585"/>
      <c r="B43" s="894"/>
      <c r="C43" s="224"/>
      <c r="D43" s="585"/>
      <c r="E43" s="585"/>
      <c r="F43" s="585"/>
      <c r="G43" s="230"/>
      <c r="H43" s="585"/>
      <c r="I43" s="585"/>
      <c r="J43" s="585"/>
      <c r="K43" s="585"/>
    </row>
    <row r="44" spans="1:11" ht="15.5">
      <c r="A44" s="895" t="s">
        <v>1045</v>
      </c>
      <c r="B44" s="900"/>
      <c r="C44" s="232"/>
      <c r="D44" s="900"/>
      <c r="E44" s="585"/>
      <c r="F44" s="900"/>
      <c r="G44" s="585"/>
      <c r="H44" s="894"/>
      <c r="I44" s="585"/>
      <c r="J44" s="585"/>
      <c r="K44" s="585"/>
    </row>
    <row r="45" spans="1:11" ht="15.5">
      <c r="A45" s="895" t="s">
        <v>1046</v>
      </c>
      <c r="B45" s="900"/>
      <c r="C45" s="232"/>
      <c r="D45" s="900"/>
      <c r="E45" s="900"/>
      <c r="F45" s="900"/>
      <c r="G45" s="585"/>
      <c r="H45" s="894"/>
      <c r="I45" s="585"/>
      <c r="J45" s="585"/>
      <c r="K45" s="585"/>
    </row>
    <row r="46" spans="1:11" ht="15.5">
      <c r="A46" s="895" t="s">
        <v>1047</v>
      </c>
      <c r="B46" s="900"/>
      <c r="C46" s="232"/>
      <c r="D46" s="600"/>
      <c r="E46" s="600"/>
      <c r="F46" s="600"/>
      <c r="G46" s="585"/>
      <c r="H46" s="585"/>
      <c r="I46" s="585"/>
      <c r="J46" s="585"/>
      <c r="K46" s="585"/>
    </row>
    <row r="47" spans="1:11" ht="15.5">
      <c r="A47" s="1260" t="s">
        <v>783</v>
      </c>
      <c r="B47" s="1261"/>
      <c r="C47" s="1261"/>
      <c r="D47" s="1261"/>
      <c r="E47" s="1261"/>
      <c r="F47" s="1261"/>
      <c r="G47" s="1261"/>
      <c r="H47" s="1261"/>
      <c r="I47" s="1261"/>
      <c r="J47" s="1261"/>
      <c r="K47" s="585"/>
    </row>
    <row r="48" spans="1:11" ht="15.5">
      <c r="A48" s="1261"/>
      <c r="B48" s="1261"/>
      <c r="C48" s="1261"/>
      <c r="D48" s="1261"/>
      <c r="E48" s="1261"/>
      <c r="F48" s="1261"/>
      <c r="G48" s="1261"/>
      <c r="H48" s="1261"/>
      <c r="I48" s="1261"/>
      <c r="J48" s="1261"/>
      <c r="K48" s="585"/>
    </row>
    <row r="49" spans="1:11" ht="18.75" customHeight="1">
      <c r="A49" s="1261"/>
      <c r="B49" s="1261"/>
      <c r="C49" s="1261"/>
      <c r="D49" s="1261"/>
      <c r="E49" s="1261"/>
      <c r="F49" s="1261"/>
      <c r="G49" s="1261"/>
      <c r="H49" s="1261"/>
      <c r="I49" s="1261"/>
      <c r="J49" s="1261"/>
      <c r="K49" s="585"/>
    </row>
    <row r="50" spans="1:11" ht="15.5">
      <c r="A50" s="585"/>
      <c r="B50" s="900"/>
      <c r="C50" s="232"/>
      <c r="D50" s="600"/>
      <c r="E50" s="600"/>
      <c r="F50" s="600"/>
      <c r="G50" s="230"/>
      <c r="H50" s="585"/>
      <c r="I50" s="585"/>
      <c r="J50" s="585"/>
      <c r="K50" s="585"/>
    </row>
    <row r="51" spans="1:11" ht="15.5">
      <c r="A51" s="601" t="s">
        <v>415</v>
      </c>
      <c r="B51" s="894"/>
      <c r="C51" s="224"/>
      <c r="D51" s="585"/>
      <c r="E51" s="585"/>
      <c r="F51" s="585"/>
      <c r="G51" s="230"/>
      <c r="H51" s="585"/>
      <c r="I51" s="585"/>
      <c r="J51" s="585"/>
      <c r="K51" s="585"/>
    </row>
    <row r="52" spans="1:11" ht="15.5">
      <c r="A52" s="901" t="s">
        <v>29</v>
      </c>
      <c r="B52" s="902"/>
      <c r="C52" s="902"/>
      <c r="D52" s="903"/>
      <c r="E52" s="585"/>
      <c r="F52" s="585"/>
      <c r="G52" s="230"/>
      <c r="H52" s="585"/>
      <c r="I52" s="585"/>
      <c r="J52" s="585"/>
      <c r="K52" s="585"/>
    </row>
    <row r="53" spans="1:11" ht="15.5">
      <c r="A53" s="1256" t="s">
        <v>784</v>
      </c>
      <c r="B53" s="1256"/>
      <c r="C53" s="1256"/>
      <c r="D53" s="1256"/>
      <c r="E53" s="1256"/>
      <c r="F53" s="1256"/>
      <c r="G53" s="1256"/>
      <c r="H53" s="1256"/>
      <c r="I53" s="1256"/>
      <c r="J53" s="1256"/>
      <c r="K53" s="585"/>
    </row>
    <row r="54" spans="1:11" ht="15.5">
      <c r="A54" s="1256"/>
      <c r="B54" s="1256"/>
      <c r="C54" s="1256"/>
      <c r="D54" s="1256"/>
      <c r="E54" s="1256"/>
      <c r="F54" s="1256"/>
      <c r="G54" s="1256"/>
      <c r="H54" s="1256"/>
      <c r="I54" s="1256"/>
      <c r="J54" s="1256"/>
      <c r="K54" s="585"/>
    </row>
    <row r="55" spans="1:11" ht="15.5">
      <c r="A55" s="1258" t="s">
        <v>832</v>
      </c>
      <c r="B55" s="1258"/>
      <c r="C55" s="1258"/>
      <c r="D55" s="1258"/>
      <c r="E55" s="1258"/>
      <c r="F55" s="1258"/>
      <c r="G55" s="1258"/>
      <c r="H55" s="1258"/>
      <c r="I55" s="1258"/>
      <c r="J55" s="1258"/>
      <c r="K55" s="585"/>
    </row>
    <row r="56" spans="1:11" ht="15.5">
      <c r="A56" s="1258"/>
      <c r="B56" s="1258"/>
      <c r="C56" s="1258"/>
      <c r="D56" s="1258"/>
      <c r="E56" s="1258"/>
      <c r="F56" s="1258"/>
      <c r="G56" s="1258"/>
      <c r="H56" s="1258"/>
      <c r="I56" s="1258"/>
      <c r="J56" s="1258"/>
      <c r="K56" s="585"/>
    </row>
    <row r="57" spans="1:11" ht="15.5">
      <c r="A57" s="585"/>
      <c r="B57" s="585"/>
      <c r="C57" s="585"/>
      <c r="D57" s="585"/>
      <c r="E57" s="585"/>
      <c r="F57" s="585"/>
      <c r="G57" s="230"/>
      <c r="H57" s="585"/>
      <c r="I57" s="585"/>
      <c r="J57" s="585"/>
      <c r="K57" s="585"/>
    </row>
    <row r="58" spans="1:11" ht="15.5">
      <c r="A58" s="585"/>
      <c r="B58" s="585"/>
      <c r="C58" s="585"/>
      <c r="D58" s="585"/>
      <c r="E58" s="585"/>
      <c r="F58" s="585"/>
      <c r="G58" s="230"/>
      <c r="H58" s="585"/>
      <c r="I58" s="585"/>
      <c r="J58" s="585"/>
      <c r="K58" s="585"/>
    </row>
    <row r="59" spans="1:11" ht="15.5">
      <c r="A59" s="585"/>
      <c r="B59" s="585"/>
      <c r="C59" s="585"/>
      <c r="D59" s="585"/>
      <c r="E59" s="585"/>
      <c r="F59" s="585"/>
      <c r="G59" s="230"/>
      <c r="H59" s="585"/>
      <c r="I59" s="585"/>
      <c r="J59" s="585"/>
      <c r="K59" s="585"/>
    </row>
  </sheetData>
  <mergeCells count="13">
    <mergeCell ref="A55:J56"/>
    <mergeCell ref="A9:K9"/>
    <mergeCell ref="A10:K10"/>
    <mergeCell ref="C11:E11"/>
    <mergeCell ref="G11:I11"/>
    <mergeCell ref="A47:J49"/>
    <mergeCell ref="A53:J54"/>
    <mergeCell ref="A8:K8"/>
    <mergeCell ref="A3:K3"/>
    <mergeCell ref="A4:K4"/>
    <mergeCell ref="A5:K5"/>
    <mergeCell ref="A6:K6"/>
    <mergeCell ref="A7:K7"/>
  </mergeCells>
  <conditionalFormatting sqref="A3 A4:K9 A10 A51:J52 A53">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9"/>
  <sheetViews>
    <sheetView view="pageBreakPreview" zoomScale="60" zoomScaleNormal="70" workbookViewId="0">
      <selection activeCell="G22" sqref="G22"/>
    </sheetView>
  </sheetViews>
  <sheetFormatPr defaultColWidth="9.1796875" defaultRowHeight="12.5"/>
  <cols>
    <col min="1" max="1" width="33.54296875" style="893" customWidth="1"/>
    <col min="2" max="2" width="17.1796875" style="893" customWidth="1"/>
    <col min="3" max="3" width="23.453125" style="893" customWidth="1"/>
    <col min="4" max="4" width="9.1796875" style="893"/>
    <col min="5" max="5" width="21.81640625" style="893" customWidth="1"/>
    <col min="6" max="16384" width="9.1796875" style="893"/>
  </cols>
  <sheetData>
    <row r="1" spans="1:7" s="585" customFormat="1" ht="15.5">
      <c r="A1" s="694" t="s">
        <v>116</v>
      </c>
      <c r="G1" s="230"/>
    </row>
    <row r="2" spans="1:7" s="585" customFormat="1" ht="15.5">
      <c r="A2" s="694" t="s">
        <v>116</v>
      </c>
      <c r="G2" s="230"/>
    </row>
    <row r="3" spans="1:7" ht="18">
      <c r="A3" s="585"/>
      <c r="B3" s="1262" t="s">
        <v>393</v>
      </c>
      <c r="C3" s="1262"/>
      <c r="D3" s="1262"/>
      <c r="E3" s="1262"/>
    </row>
    <row r="4" spans="1:7" ht="18">
      <c r="A4" s="585"/>
      <c r="B4" s="1262" t="s">
        <v>785</v>
      </c>
      <c r="C4" s="1262"/>
      <c r="D4" s="1262"/>
      <c r="E4" s="1262"/>
    </row>
    <row r="5" spans="1:7" ht="18">
      <c r="A5" s="585"/>
      <c r="B5" s="1262" t="s">
        <v>786</v>
      </c>
      <c r="C5" s="1262"/>
      <c r="D5" s="1262"/>
      <c r="E5" s="1262"/>
    </row>
    <row r="6" spans="1:7" ht="18">
      <c r="A6" s="585"/>
      <c r="B6" s="1262" t="s">
        <v>787</v>
      </c>
      <c r="C6" s="1262"/>
      <c r="D6" s="1262"/>
      <c r="E6" s="1262"/>
    </row>
    <row r="7" spans="1:7" ht="18">
      <c r="A7" s="585"/>
      <c r="B7" s="1262" t="s">
        <v>788</v>
      </c>
      <c r="C7" s="1262"/>
      <c r="D7" s="1262"/>
      <c r="E7" s="1262"/>
    </row>
    <row r="8" spans="1:7" ht="18">
      <c r="A8" s="585"/>
      <c r="B8" s="1262" t="s">
        <v>789</v>
      </c>
      <c r="C8" s="1262"/>
      <c r="D8" s="1262"/>
      <c r="E8" s="1262"/>
    </row>
    <row r="9" spans="1:7" ht="15.5">
      <c r="A9" s="585"/>
      <c r="B9" s="894"/>
      <c r="C9" s="894"/>
      <c r="D9" s="587" t="s">
        <v>116</v>
      </c>
      <c r="E9" s="585"/>
    </row>
    <row r="10" spans="1:7" ht="15.5">
      <c r="A10" s="894"/>
      <c r="B10" s="904" t="s">
        <v>401</v>
      </c>
      <c r="C10" s="585"/>
      <c r="D10" s="585"/>
      <c r="E10" s="905"/>
    </row>
    <row r="11" spans="1:7" ht="15.5">
      <c r="A11" s="587"/>
      <c r="B11" s="904" t="s">
        <v>405</v>
      </c>
      <c r="C11" s="904" t="s">
        <v>406</v>
      </c>
      <c r="D11" s="904"/>
      <c r="E11" s="585"/>
    </row>
    <row r="12" spans="1:7" ht="16" thickBot="1">
      <c r="A12" s="897"/>
      <c r="B12" s="894"/>
      <c r="C12" s="906" t="s">
        <v>501</v>
      </c>
      <c r="D12" s="585"/>
      <c r="E12" s="585"/>
    </row>
    <row r="13" spans="1:7" ht="15.5">
      <c r="A13" s="594" t="s">
        <v>408</v>
      </c>
      <c r="B13" s="899"/>
      <c r="C13" s="225"/>
      <c r="D13" s="585"/>
      <c r="E13" s="585"/>
    </row>
    <row r="14" spans="1:7" ht="15.5">
      <c r="A14" s="585"/>
      <c r="B14" s="907"/>
      <c r="C14" s="224"/>
      <c r="D14" s="908"/>
      <c r="E14" s="585"/>
    </row>
    <row r="15" spans="1:7" ht="15.5">
      <c r="A15" s="585" t="s">
        <v>409</v>
      </c>
      <c r="B15" s="229">
        <v>352</v>
      </c>
      <c r="C15" s="224">
        <v>1.04E-2</v>
      </c>
      <c r="D15" s="908"/>
      <c r="E15" s="585"/>
    </row>
    <row r="16" spans="1:7" ht="15.5">
      <c r="A16" s="585" t="s">
        <v>410</v>
      </c>
      <c r="B16" s="229">
        <v>353</v>
      </c>
      <c r="C16" s="224">
        <v>1.49E-2</v>
      </c>
      <c r="D16" s="908"/>
      <c r="E16" s="585"/>
    </row>
    <row r="17" spans="1:5" ht="15.5">
      <c r="A17" s="585" t="s">
        <v>411</v>
      </c>
      <c r="B17" s="229">
        <v>354</v>
      </c>
      <c r="C17" s="224">
        <v>1.1999999999999999E-3</v>
      </c>
      <c r="D17" s="908"/>
      <c r="E17" s="585"/>
    </row>
    <row r="18" spans="1:5" ht="15.5">
      <c r="A18" s="585" t="s">
        <v>412</v>
      </c>
      <c r="B18" s="229">
        <v>355</v>
      </c>
      <c r="C18" s="224">
        <v>2.1399999999999999E-2</v>
      </c>
      <c r="D18" s="908"/>
      <c r="E18" s="585"/>
    </row>
    <row r="19" spans="1:5" ht="15.5">
      <c r="A19" s="585" t="s">
        <v>781</v>
      </c>
      <c r="B19" s="229">
        <v>356</v>
      </c>
      <c r="C19" s="224">
        <v>7.7000000000000002E-3</v>
      </c>
      <c r="D19" s="908"/>
      <c r="E19" s="585"/>
    </row>
    <row r="20" spans="1:5" ht="15.5">
      <c r="A20" s="585" t="s">
        <v>413</v>
      </c>
      <c r="B20" s="229">
        <v>357</v>
      </c>
      <c r="C20" s="909" t="s">
        <v>621</v>
      </c>
      <c r="D20" s="585"/>
      <c r="E20" s="585"/>
    </row>
    <row r="21" spans="1:5" ht="15.5">
      <c r="A21" s="585" t="s">
        <v>414</v>
      </c>
      <c r="B21" s="229">
        <v>358</v>
      </c>
      <c r="C21" s="909" t="s">
        <v>621</v>
      </c>
      <c r="D21" s="908"/>
      <c r="E21" s="585"/>
    </row>
    <row r="22" spans="1:5" ht="15.5">
      <c r="A22" s="895" t="s">
        <v>790</v>
      </c>
      <c r="B22" s="910"/>
      <c r="C22" s="911">
        <v>1.46E-2</v>
      </c>
      <c r="D22" s="908"/>
      <c r="E22" s="585"/>
    </row>
    <row r="23" spans="1:5" ht="15.5">
      <c r="A23" s="895"/>
      <c r="B23" s="910"/>
      <c r="C23" s="911"/>
      <c r="D23" s="908"/>
      <c r="E23" s="585"/>
    </row>
    <row r="24" spans="1:5" customFormat="1" ht="15.5">
      <c r="A24" s="492" t="s">
        <v>816</v>
      </c>
      <c r="C24" s="1"/>
    </row>
    <row r="25" spans="1:5" customFormat="1">
      <c r="C25" s="1"/>
    </row>
    <row r="26" spans="1:5" customFormat="1" ht="15.5">
      <c r="A26" s="915" t="s">
        <v>817</v>
      </c>
      <c r="B26" s="1060">
        <v>390</v>
      </c>
      <c r="C26" s="1061">
        <v>1.7100000000000001E-2</v>
      </c>
    </row>
    <row r="27" spans="1:5" customFormat="1" ht="15.5">
      <c r="A27" s="915" t="s">
        <v>818</v>
      </c>
      <c r="B27" s="1060">
        <v>391</v>
      </c>
      <c r="C27" s="1061">
        <v>2.8199999999999999E-2</v>
      </c>
    </row>
    <row r="28" spans="1:5" customFormat="1" ht="15.5">
      <c r="A28" s="915" t="s">
        <v>819</v>
      </c>
      <c r="B28" s="1060">
        <v>393</v>
      </c>
      <c r="C28" s="1061">
        <v>2.2200000000000001E-2</v>
      </c>
    </row>
    <row r="29" spans="1:5" customFormat="1" ht="15.5">
      <c r="A29" s="915" t="s">
        <v>820</v>
      </c>
      <c r="B29" s="1060">
        <v>394</v>
      </c>
      <c r="C29" s="1061">
        <v>3.1199999999999999E-2</v>
      </c>
    </row>
    <row r="30" spans="1:5" customFormat="1" ht="15.5">
      <c r="A30" s="915" t="s">
        <v>821</v>
      </c>
      <c r="B30" s="1060">
        <v>395</v>
      </c>
      <c r="C30" s="1061">
        <v>3.1699999999999999E-2</v>
      </c>
    </row>
    <row r="31" spans="1:5" customFormat="1" ht="15.5">
      <c r="A31" s="915" t="s">
        <v>822</v>
      </c>
      <c r="B31" s="1060">
        <v>397</v>
      </c>
      <c r="C31" s="1061">
        <v>3.32E-2</v>
      </c>
    </row>
    <row r="32" spans="1:5" customFormat="1" ht="15.5">
      <c r="A32" s="915" t="s">
        <v>823</v>
      </c>
      <c r="B32" s="1060">
        <v>398</v>
      </c>
      <c r="C32" s="1061">
        <v>4.9200000000000001E-2</v>
      </c>
    </row>
    <row r="33" spans="1:5" customFormat="1" ht="15.5">
      <c r="A33" s="30"/>
      <c r="B33" s="915"/>
      <c r="C33" s="1061"/>
    </row>
    <row r="34" spans="1:5" customFormat="1" ht="15.5">
      <c r="A34" s="30"/>
      <c r="B34" s="916" t="s">
        <v>824</v>
      </c>
      <c r="C34" s="1061">
        <v>3.2500000000000001E-2</v>
      </c>
    </row>
    <row r="35" spans="1:5" customFormat="1" ht="15.5">
      <c r="A35" s="30"/>
      <c r="B35" s="916"/>
      <c r="C35" s="1062"/>
    </row>
    <row r="36" spans="1:5" ht="15.5">
      <c r="A36" s="585" t="s">
        <v>791</v>
      </c>
      <c r="B36" s="900"/>
      <c r="C36" s="232"/>
      <c r="D36" s="585"/>
      <c r="E36" s="585"/>
    </row>
    <row r="37" spans="1:5" ht="15.5">
      <c r="A37" s="1263"/>
      <c r="B37" s="1263"/>
      <c r="C37" s="1263"/>
      <c r="D37" s="1263"/>
      <c r="E37" s="585"/>
    </row>
    <row r="38" spans="1:5" ht="15.5">
      <c r="A38" s="1263" t="s">
        <v>792</v>
      </c>
      <c r="B38" s="1263"/>
      <c r="C38" s="1263"/>
      <c r="D38" s="1263"/>
      <c r="E38" s="585"/>
    </row>
    <row r="39" spans="1:5" ht="15.5">
      <c r="A39" s="585" t="s">
        <v>160</v>
      </c>
      <c r="B39" s="585"/>
      <c r="C39" s="585"/>
      <c r="D39" s="585"/>
      <c r="E39" s="585"/>
    </row>
    <row r="40" spans="1:5" ht="15.5">
      <c r="A40" s="1263" t="s">
        <v>793</v>
      </c>
      <c r="B40" s="1263"/>
      <c r="C40" s="1263"/>
      <c r="D40" s="585"/>
      <c r="E40" s="585"/>
    </row>
    <row r="41" spans="1:5" ht="15.5">
      <c r="A41" s="1263"/>
      <c r="B41" s="1263"/>
      <c r="C41" s="1263"/>
      <c r="D41" s="585"/>
      <c r="E41" s="585"/>
    </row>
    <row r="42" spans="1:5" ht="15.5">
      <c r="A42" s="585"/>
      <c r="B42" s="894"/>
      <c r="C42" s="224"/>
      <c r="D42" s="585"/>
      <c r="E42" s="585"/>
    </row>
    <row r="43" spans="1:5" ht="15.5">
      <c r="A43" s="1263"/>
      <c r="B43" s="1263"/>
      <c r="C43" s="1263"/>
      <c r="D43" s="1263"/>
      <c r="E43" s="585"/>
    </row>
    <row r="44" spans="1:5" ht="15.5">
      <c r="A44" s="601" t="s">
        <v>794</v>
      </c>
      <c r="B44" s="894"/>
      <c r="C44" s="224"/>
      <c r="D44" s="585"/>
      <c r="E44" s="585"/>
    </row>
    <row r="45" spans="1:5" ht="15.5">
      <c r="A45" s="1264" t="s">
        <v>832</v>
      </c>
      <c r="B45" s="1264"/>
      <c r="C45" s="1264"/>
      <c r="D45" s="905"/>
      <c r="E45" s="585"/>
    </row>
    <row r="46" spans="1:5" ht="15.5">
      <c r="A46" s="1264"/>
      <c r="B46" s="1264"/>
      <c r="C46" s="1264"/>
      <c r="D46" s="905"/>
      <c r="E46" s="585"/>
    </row>
    <row r="47" spans="1:5" ht="15.5">
      <c r="A47" s="1264"/>
      <c r="B47" s="1264"/>
      <c r="C47" s="1264"/>
      <c r="D47" s="905"/>
      <c r="E47" s="585"/>
    </row>
    <row r="48" spans="1:5" ht="15.5">
      <c r="A48" s="1264"/>
      <c r="B48" s="1264"/>
      <c r="C48" s="1264"/>
      <c r="D48" s="905"/>
      <c r="E48" s="585"/>
    </row>
    <row r="49" spans="1:5" ht="15.5">
      <c r="A49" s="1264"/>
      <c r="B49" s="1264"/>
      <c r="C49" s="1264"/>
      <c r="D49" s="905"/>
      <c r="E49" s="585"/>
    </row>
  </sheetData>
  <mergeCells count="11">
    <mergeCell ref="A37:D37"/>
    <mergeCell ref="A38:D38"/>
    <mergeCell ref="A40:C41"/>
    <mergeCell ref="A43:D43"/>
    <mergeCell ref="A45:C49"/>
    <mergeCell ref="B8:E8"/>
    <mergeCell ref="B3:E3"/>
    <mergeCell ref="B4:E4"/>
    <mergeCell ref="B5:E5"/>
    <mergeCell ref="B6:E6"/>
    <mergeCell ref="B7:E7"/>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3"/>
  <sheetViews>
    <sheetView view="pageBreakPreview" zoomScale="60" zoomScaleNormal="70" workbookViewId="0">
      <selection activeCell="G22" sqref="G22"/>
    </sheetView>
  </sheetViews>
  <sheetFormatPr defaultColWidth="9.1796875" defaultRowHeight="12.5"/>
  <cols>
    <col min="1" max="1" width="9.1796875" style="893"/>
    <col min="2" max="2" width="38.54296875" style="893" customWidth="1"/>
    <col min="3" max="3" width="21.81640625" style="893" customWidth="1"/>
    <col min="4" max="4" width="25.81640625" style="893" customWidth="1"/>
    <col min="5" max="16384" width="9.1796875" style="893"/>
  </cols>
  <sheetData>
    <row r="1" spans="1:7" s="585" customFormat="1" ht="15.5">
      <c r="A1" s="694" t="s">
        <v>116</v>
      </c>
      <c r="G1" s="230"/>
    </row>
    <row r="2" spans="1:7" s="585" customFormat="1" ht="15.5">
      <c r="A2" s="694" t="s">
        <v>116</v>
      </c>
      <c r="G2" s="230"/>
    </row>
    <row r="3" spans="1:7" ht="18">
      <c r="A3" s="585"/>
      <c r="B3" s="1262" t="s">
        <v>393</v>
      </c>
      <c r="C3" s="1262"/>
      <c r="D3" s="1262"/>
      <c r="E3" s="1262"/>
    </row>
    <row r="4" spans="1:7" ht="18">
      <c r="A4" s="585"/>
      <c r="B4" s="1262" t="s">
        <v>785</v>
      </c>
      <c r="C4" s="1262"/>
      <c r="D4" s="1262"/>
      <c r="E4" s="1262"/>
    </row>
    <row r="5" spans="1:7" ht="18">
      <c r="A5" s="585"/>
      <c r="B5" s="1262" t="s">
        <v>786</v>
      </c>
      <c r="C5" s="1262"/>
      <c r="D5" s="1262"/>
      <c r="E5" s="1262"/>
    </row>
    <row r="6" spans="1:7" ht="18">
      <c r="A6" s="585"/>
      <c r="B6" s="1262" t="s">
        <v>795</v>
      </c>
      <c r="C6" s="1262"/>
      <c r="D6" s="1262"/>
      <c r="E6" s="1262"/>
    </row>
    <row r="7" spans="1:7" ht="18">
      <c r="A7" s="585"/>
      <c r="B7" s="1262" t="s">
        <v>788</v>
      </c>
      <c r="C7" s="1262"/>
      <c r="D7" s="1262"/>
      <c r="E7" s="1262"/>
    </row>
    <row r="8" spans="1:7" ht="18">
      <c r="A8" s="585"/>
      <c r="B8" s="1262" t="s">
        <v>796</v>
      </c>
      <c r="C8" s="1262"/>
      <c r="D8" s="1262"/>
      <c r="E8" s="1262"/>
    </row>
    <row r="9" spans="1:7" ht="15.5">
      <c r="A9" s="585"/>
      <c r="B9" s="894"/>
      <c r="C9" s="894"/>
      <c r="D9" s="587" t="s">
        <v>116</v>
      </c>
      <c r="E9" s="585"/>
    </row>
    <row r="10" spans="1:7" ht="15.5">
      <c r="A10" s="585"/>
      <c r="B10" s="894"/>
      <c r="C10" s="904" t="s">
        <v>401</v>
      </c>
      <c r="D10" s="585"/>
      <c r="E10" s="585"/>
    </row>
    <row r="11" spans="1:7" ht="15.5">
      <c r="A11" s="585"/>
      <c r="B11" s="587"/>
      <c r="C11" s="904" t="s">
        <v>405</v>
      </c>
      <c r="D11" s="904" t="s">
        <v>406</v>
      </c>
      <c r="E11" s="904"/>
    </row>
    <row r="12" spans="1:7" ht="16" thickBot="1">
      <c r="A12" s="585"/>
      <c r="B12" s="897"/>
      <c r="C12" s="894"/>
      <c r="D12" s="906" t="s">
        <v>501</v>
      </c>
      <c r="E12" s="585"/>
    </row>
    <row r="13" spans="1:7" ht="15.5">
      <c r="A13" s="585"/>
      <c r="B13" s="594" t="s">
        <v>408</v>
      </c>
      <c r="C13" s="899"/>
      <c r="D13" s="225"/>
      <c r="E13" s="585"/>
    </row>
    <row r="14" spans="1:7" ht="15.5">
      <c r="A14" s="585"/>
      <c r="B14" s="585"/>
      <c r="C14" s="907"/>
      <c r="D14" s="224"/>
      <c r="E14" s="908"/>
    </row>
    <row r="15" spans="1:7" ht="15.5">
      <c r="A15" s="585"/>
      <c r="B15" s="585" t="s">
        <v>797</v>
      </c>
      <c r="C15" s="585">
        <v>350.1</v>
      </c>
      <c r="D15" s="224">
        <v>1.44E-2</v>
      </c>
      <c r="E15" s="908"/>
    </row>
    <row r="16" spans="1:7" ht="15.5">
      <c r="A16" s="585"/>
      <c r="B16" s="585" t="s">
        <v>409</v>
      </c>
      <c r="C16" s="229">
        <v>352</v>
      </c>
      <c r="D16" s="224">
        <v>2.0799999999999999E-2</v>
      </c>
      <c r="E16" s="908"/>
    </row>
    <row r="17" spans="1:5" ht="15.5">
      <c r="A17" s="585"/>
      <c r="B17" s="585" t="s">
        <v>410</v>
      </c>
      <c r="C17" s="229">
        <v>353</v>
      </c>
      <c r="D17" s="224">
        <v>2.1499999999999998E-2</v>
      </c>
      <c r="E17" s="908"/>
    </row>
    <row r="18" spans="1:5" ht="15.5">
      <c r="A18" s="585"/>
      <c r="B18" s="585" t="s">
        <v>411</v>
      </c>
      <c r="C18" s="229">
        <v>354</v>
      </c>
      <c r="D18" s="224">
        <v>2.6100000000000002E-2</v>
      </c>
      <c r="E18" s="908"/>
    </row>
    <row r="19" spans="1:5" ht="15.5">
      <c r="A19" s="585"/>
      <c r="B19" s="585" t="s">
        <v>412</v>
      </c>
      <c r="C19" s="229">
        <v>355</v>
      </c>
      <c r="D19" s="224">
        <v>3.95E-2</v>
      </c>
      <c r="E19" s="908"/>
    </row>
    <row r="20" spans="1:5" ht="15.5">
      <c r="A20" s="585"/>
      <c r="B20" s="585" t="s">
        <v>781</v>
      </c>
      <c r="C20" s="229">
        <v>356</v>
      </c>
      <c r="D20" s="224">
        <v>2.9100000000000001E-2</v>
      </c>
      <c r="E20" s="908"/>
    </row>
    <row r="21" spans="1:5" ht="15.5">
      <c r="A21" s="585"/>
      <c r="B21" s="585" t="s">
        <v>413</v>
      </c>
      <c r="C21" s="229">
        <v>357</v>
      </c>
      <c r="D21" s="224">
        <v>2.9899999999999999E-2</v>
      </c>
      <c r="E21" s="908"/>
    </row>
    <row r="22" spans="1:5" ht="15.5">
      <c r="A22" s="585"/>
      <c r="B22" s="585" t="s">
        <v>414</v>
      </c>
      <c r="C22" s="229">
        <v>358</v>
      </c>
      <c r="D22" s="224">
        <v>2.6200000000000001E-2</v>
      </c>
      <c r="E22" s="908"/>
    </row>
    <row r="23" spans="1:5" ht="15.5">
      <c r="A23" s="585"/>
      <c r="B23" s="585"/>
      <c r="C23" s="894"/>
      <c r="D23" s="224"/>
      <c r="E23" s="585"/>
    </row>
    <row r="24" spans="1:5" ht="15.5">
      <c r="A24" s="585"/>
      <c r="B24" s="585" t="s">
        <v>791</v>
      </c>
      <c r="C24" s="900"/>
      <c r="D24" s="232"/>
      <c r="E24" s="585"/>
    </row>
    <row r="25" spans="1:5" ht="15.5">
      <c r="A25" s="585"/>
      <c r="B25" s="1263"/>
      <c r="C25" s="1263"/>
      <c r="D25" s="1263"/>
      <c r="E25" s="1263"/>
    </row>
    <row r="26" spans="1:5" ht="15.5">
      <c r="A26" s="585"/>
      <c r="B26" s="1263" t="s">
        <v>798</v>
      </c>
      <c r="C26" s="1263"/>
      <c r="D26" s="1263"/>
      <c r="E26" s="1263"/>
    </row>
    <row r="27" spans="1:5" ht="15.5">
      <c r="A27" s="585"/>
      <c r="B27" s="1263"/>
      <c r="C27" s="1263"/>
      <c r="D27" s="1263"/>
      <c r="E27" s="1263"/>
    </row>
    <row r="28" spans="1:5" ht="15.5">
      <c r="A28" s="585"/>
      <c r="B28" s="601" t="s">
        <v>794</v>
      </c>
      <c r="C28" s="894"/>
      <c r="D28" s="224"/>
      <c r="E28" s="585"/>
    </row>
    <row r="29" spans="1:5" ht="15.5">
      <c r="A29" s="585"/>
      <c r="B29" s="1264" t="s">
        <v>832</v>
      </c>
      <c r="C29" s="1264"/>
      <c r="D29" s="1264"/>
      <c r="E29" s="905"/>
    </row>
    <row r="30" spans="1:5" ht="15.5">
      <c r="A30" s="585"/>
      <c r="B30" s="1264"/>
      <c r="C30" s="1264"/>
      <c r="D30" s="1264"/>
      <c r="E30" s="905"/>
    </row>
    <row r="31" spans="1:5" ht="15.5">
      <c r="A31" s="585"/>
      <c r="B31" s="1264"/>
      <c r="C31" s="1264"/>
      <c r="D31" s="1264"/>
      <c r="E31" s="905"/>
    </row>
    <row r="32" spans="1:5" ht="15.5">
      <c r="A32" s="585"/>
      <c r="B32" s="1264"/>
      <c r="C32" s="1264"/>
      <c r="D32" s="1264"/>
      <c r="E32" s="905"/>
    </row>
    <row r="33" spans="1:5" ht="15.5">
      <c r="A33" s="585"/>
      <c r="B33" s="1264"/>
      <c r="C33" s="1264"/>
      <c r="D33" s="1264"/>
      <c r="E33" s="905"/>
    </row>
  </sheetData>
  <mergeCells count="10">
    <mergeCell ref="B25:E25"/>
    <mergeCell ref="B26:E26"/>
    <mergeCell ref="B27:E27"/>
    <mergeCell ref="B29:D33"/>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7"/>
  <sheetViews>
    <sheetView view="pageBreakPreview" zoomScale="60" zoomScaleNormal="70" workbookViewId="0">
      <selection activeCell="G22" sqref="G22"/>
    </sheetView>
  </sheetViews>
  <sheetFormatPr defaultColWidth="9.1796875" defaultRowHeight="12.5"/>
  <cols>
    <col min="1" max="1" width="38.81640625" style="893" customWidth="1"/>
    <col min="2" max="2" width="28.453125" style="893" customWidth="1"/>
    <col min="3" max="3" width="23.1796875" style="893" customWidth="1"/>
    <col min="4" max="16384" width="9.1796875" style="893"/>
  </cols>
  <sheetData>
    <row r="1" spans="1:7" s="585" customFormat="1" ht="15.5">
      <c r="A1" s="694" t="s">
        <v>116</v>
      </c>
      <c r="G1" s="230"/>
    </row>
    <row r="2" spans="1:7" s="585" customFormat="1" ht="15.5">
      <c r="A2" s="694" t="s">
        <v>116</v>
      </c>
      <c r="G2" s="230"/>
    </row>
    <row r="3" spans="1:7" ht="18">
      <c r="A3" s="1262" t="s">
        <v>393</v>
      </c>
      <c r="B3" s="1262"/>
      <c r="C3" s="1262"/>
      <c r="D3" s="1262"/>
    </row>
    <row r="4" spans="1:7" ht="18">
      <c r="A4" s="1262" t="s">
        <v>785</v>
      </c>
      <c r="B4" s="1262"/>
      <c r="C4" s="1262"/>
      <c r="D4" s="1262"/>
    </row>
    <row r="5" spans="1:7" ht="18">
      <c r="A5" s="1262" t="s">
        <v>786</v>
      </c>
      <c r="B5" s="1262"/>
      <c r="C5" s="1262"/>
      <c r="D5" s="1262"/>
    </row>
    <row r="6" spans="1:7" ht="18">
      <c r="A6" s="1262" t="s">
        <v>1048</v>
      </c>
      <c r="B6" s="1262"/>
      <c r="C6" s="1262"/>
      <c r="D6" s="1262"/>
    </row>
    <row r="7" spans="1:7" ht="18">
      <c r="A7" s="1262" t="s">
        <v>788</v>
      </c>
      <c r="B7" s="1262"/>
      <c r="C7" s="1262"/>
      <c r="D7" s="1262"/>
    </row>
    <row r="8" spans="1:7" ht="18">
      <c r="A8" s="1262" t="s">
        <v>799</v>
      </c>
      <c r="B8" s="1262"/>
      <c r="C8" s="1262"/>
      <c r="D8" s="1262"/>
    </row>
    <row r="9" spans="1:7" ht="15.5">
      <c r="A9" s="894"/>
      <c r="B9" s="894"/>
      <c r="C9" s="587" t="s">
        <v>116</v>
      </c>
      <c r="D9" s="585"/>
    </row>
    <row r="10" spans="1:7" ht="15.5">
      <c r="A10" s="894"/>
      <c r="B10" s="904" t="s">
        <v>401</v>
      </c>
      <c r="C10" s="585"/>
      <c r="D10" s="585"/>
    </row>
    <row r="11" spans="1:7" ht="15.5">
      <c r="A11" s="587"/>
      <c r="B11" s="904" t="s">
        <v>405</v>
      </c>
      <c r="C11" s="904" t="s">
        <v>406</v>
      </c>
      <c r="D11" s="904"/>
    </row>
    <row r="12" spans="1:7" ht="16" thickBot="1">
      <c r="A12" s="897"/>
      <c r="B12" s="894"/>
      <c r="C12" s="906" t="s">
        <v>501</v>
      </c>
      <c r="D12" s="585"/>
    </row>
    <row r="13" spans="1:7" ht="15.5">
      <c r="A13" s="594" t="s">
        <v>408</v>
      </c>
      <c r="B13" s="899"/>
      <c r="C13" s="225"/>
      <c r="D13" s="585"/>
    </row>
    <row r="14" spans="1:7" ht="15.5">
      <c r="A14" s="585" t="s">
        <v>409</v>
      </c>
      <c r="B14" s="229">
        <v>352</v>
      </c>
      <c r="C14" s="224">
        <v>2.0199999999999999E-2</v>
      </c>
      <c r="D14" s="908"/>
    </row>
    <row r="15" spans="1:7" ht="15.5">
      <c r="A15" s="585" t="s">
        <v>410</v>
      </c>
      <c r="B15" s="229">
        <v>353</v>
      </c>
      <c r="C15" s="224">
        <v>2.29E-2</v>
      </c>
      <c r="D15" s="908"/>
    </row>
    <row r="16" spans="1:7" ht="15.5">
      <c r="A16" s="907"/>
      <c r="B16" s="229"/>
      <c r="C16" s="224"/>
      <c r="D16" s="908"/>
    </row>
    <row r="17" spans="1:4" ht="15.5">
      <c r="A17" s="585" t="s">
        <v>800</v>
      </c>
      <c r="B17" s="229">
        <v>354</v>
      </c>
      <c r="C17" s="224">
        <v>1.8800000000000001E-2</v>
      </c>
      <c r="D17" s="908"/>
    </row>
    <row r="18" spans="1:4" ht="15.5">
      <c r="A18" s="585" t="s">
        <v>801</v>
      </c>
      <c r="B18" s="229">
        <v>354</v>
      </c>
      <c r="C18" s="224">
        <v>1.8800000000000001E-2</v>
      </c>
      <c r="D18" s="908"/>
    </row>
    <row r="19" spans="1:4" ht="15.5">
      <c r="A19" s="585"/>
      <c r="B19" s="229"/>
      <c r="C19" s="224"/>
      <c r="D19" s="908"/>
    </row>
    <row r="20" spans="1:4" ht="15.5">
      <c r="A20" s="585" t="s">
        <v>802</v>
      </c>
      <c r="B20" s="229">
        <v>355</v>
      </c>
      <c r="C20" s="224">
        <v>3.5200000000000002E-2</v>
      </c>
      <c r="D20" s="908"/>
    </row>
    <row r="21" spans="1:4" ht="15.5">
      <c r="A21" s="585" t="s">
        <v>803</v>
      </c>
      <c r="B21" s="229">
        <v>355</v>
      </c>
      <c r="C21" s="224">
        <v>3.5200000000000002E-2</v>
      </c>
      <c r="D21" s="908"/>
    </row>
    <row r="22" spans="1:4" ht="15.5">
      <c r="A22" s="585"/>
      <c r="B22" s="229"/>
      <c r="C22" s="224"/>
      <c r="D22" s="908"/>
    </row>
    <row r="23" spans="1:4" ht="15.5">
      <c r="A23" s="585" t="s">
        <v>804</v>
      </c>
      <c r="B23" s="229">
        <v>356</v>
      </c>
      <c r="C23" s="224">
        <v>1.9099999999999999E-2</v>
      </c>
      <c r="D23" s="908"/>
    </row>
    <row r="24" spans="1:4" ht="15.5">
      <c r="A24" s="585" t="s">
        <v>805</v>
      </c>
      <c r="B24" s="229">
        <v>356</v>
      </c>
      <c r="C24" s="224">
        <v>1.9099999999999999E-2</v>
      </c>
      <c r="D24" s="908"/>
    </row>
    <row r="25" spans="1:4" ht="15.5">
      <c r="A25" s="585" t="s">
        <v>806</v>
      </c>
      <c r="B25" s="229">
        <v>356</v>
      </c>
      <c r="C25" s="224">
        <v>1.9099999999999999E-2</v>
      </c>
      <c r="D25" s="908"/>
    </row>
    <row r="26" spans="1:4" ht="15.5">
      <c r="A26" s="585" t="s">
        <v>807</v>
      </c>
      <c r="B26" s="229">
        <v>356</v>
      </c>
      <c r="C26" s="224">
        <v>1.9099999999999999E-2</v>
      </c>
      <c r="D26" s="908"/>
    </row>
    <row r="27" spans="1:4" ht="15.5">
      <c r="A27" s="585" t="s">
        <v>808</v>
      </c>
      <c r="B27" s="229">
        <v>356</v>
      </c>
      <c r="C27" s="224">
        <v>1.9099999999999999E-2</v>
      </c>
      <c r="D27" s="908"/>
    </row>
    <row r="28" spans="1:4" ht="15.5">
      <c r="A28" s="585"/>
      <c r="B28" s="229"/>
      <c r="C28" s="224"/>
      <c r="D28" s="908"/>
    </row>
    <row r="29" spans="1:4" ht="15.5">
      <c r="A29" s="585" t="s">
        <v>413</v>
      </c>
      <c r="B29" s="229">
        <v>357</v>
      </c>
      <c r="C29" s="224">
        <v>2.2599999999999999E-2</v>
      </c>
      <c r="D29" s="908"/>
    </row>
    <row r="30" spans="1:4" ht="15.5">
      <c r="A30" s="585" t="s">
        <v>414</v>
      </c>
      <c r="B30" s="229">
        <v>358</v>
      </c>
      <c r="C30" s="224">
        <v>3.27E-2</v>
      </c>
      <c r="D30" s="908"/>
    </row>
    <row r="31" spans="1:4" ht="15.5">
      <c r="A31" s="907"/>
      <c r="B31" s="894"/>
      <c r="C31" s="224"/>
      <c r="D31" s="585"/>
    </row>
    <row r="32" spans="1:4" ht="16" thickBot="1">
      <c r="A32" s="912"/>
      <c r="B32" s="913"/>
      <c r="C32" s="914"/>
      <c r="D32" s="585"/>
    </row>
    <row r="33" spans="1:4" ht="15.5">
      <c r="A33" s="897"/>
      <c r="B33" s="894"/>
      <c r="C33" s="224"/>
      <c r="D33" s="585"/>
    </row>
    <row r="34" spans="1:4" ht="15.5">
      <c r="A34" s="585"/>
      <c r="B34" s="894"/>
      <c r="C34" s="224"/>
      <c r="D34" s="585"/>
    </row>
    <row r="35" spans="1:4" ht="15.5">
      <c r="A35" s="585" t="s">
        <v>791</v>
      </c>
      <c r="B35" s="900"/>
      <c r="C35" s="232"/>
      <c r="D35" s="585"/>
    </row>
    <row r="36" spans="1:4" ht="15.5">
      <c r="A36" s="585"/>
      <c r="B36" s="585"/>
      <c r="C36" s="585"/>
      <c r="D36" s="585"/>
    </row>
    <row r="37" spans="1:4" ht="15.5">
      <c r="A37" s="1263" t="s">
        <v>809</v>
      </c>
      <c r="B37" s="1263"/>
      <c r="C37" s="1263"/>
      <c r="D37" s="1263"/>
    </row>
    <row r="38" spans="1:4" ht="15.5">
      <c r="A38" s="585" t="s">
        <v>810</v>
      </c>
      <c r="B38" s="585"/>
      <c r="C38" s="585"/>
      <c r="D38" s="585"/>
    </row>
    <row r="39" spans="1:4" ht="15.5">
      <c r="A39" s="585" t="s">
        <v>811</v>
      </c>
      <c r="B39" s="585"/>
      <c r="C39" s="585"/>
      <c r="D39" s="585"/>
    </row>
    <row r="40" spans="1:4" ht="15.5">
      <c r="A40" s="585"/>
      <c r="B40" s="585"/>
      <c r="C40" s="585"/>
      <c r="D40" s="585"/>
    </row>
    <row r="41" spans="1:4" ht="15.5">
      <c r="A41" s="601" t="s">
        <v>812</v>
      </c>
      <c r="B41" s="894"/>
      <c r="C41" s="224"/>
      <c r="D41" s="585"/>
    </row>
    <row r="42" spans="1:4">
      <c r="A42" s="1264" t="s">
        <v>832</v>
      </c>
      <c r="B42" s="1264"/>
      <c r="C42" s="1264"/>
      <c r="D42" s="905"/>
    </row>
    <row r="43" spans="1:4">
      <c r="A43" s="1264"/>
      <c r="B43" s="1264"/>
      <c r="C43" s="1264"/>
      <c r="D43" s="905"/>
    </row>
    <row r="44" spans="1:4">
      <c r="A44" s="1264"/>
      <c r="B44" s="1264"/>
      <c r="C44" s="1264"/>
      <c r="D44" s="905"/>
    </row>
    <row r="45" spans="1:4">
      <c r="A45" s="1264"/>
      <c r="B45" s="1264"/>
      <c r="C45" s="1264"/>
      <c r="D45" s="905"/>
    </row>
    <row r="46" spans="1:4">
      <c r="A46" s="1264"/>
      <c r="B46" s="1264"/>
      <c r="C46" s="1264"/>
      <c r="D46" s="905"/>
    </row>
    <row r="47" spans="1:4" ht="15.5">
      <c r="A47" s="585"/>
      <c r="B47" s="585"/>
      <c r="C47" s="585"/>
      <c r="D47" s="585"/>
    </row>
  </sheetData>
  <mergeCells count="8">
    <mergeCell ref="A37:D37"/>
    <mergeCell ref="A42:C46"/>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pageSetUpPr fitToPage="1"/>
  </sheetPr>
  <dimension ref="A1:H45"/>
  <sheetViews>
    <sheetView defaultGridColor="0" colorId="22" zoomScale="75" workbookViewId="0">
      <selection activeCell="G22" sqref="G22"/>
    </sheetView>
  </sheetViews>
  <sheetFormatPr defaultColWidth="14.54296875" defaultRowHeight="15.5"/>
  <cols>
    <col min="1" max="1" width="41.54296875" style="585" customWidth="1"/>
    <col min="2" max="2" width="33.1796875" style="585" customWidth="1"/>
    <col min="3" max="4" width="31.81640625" style="585" customWidth="1"/>
    <col min="5" max="5" width="16.54296875" style="585" customWidth="1"/>
    <col min="6" max="6" width="14.54296875" style="585" customWidth="1"/>
    <col min="7" max="7" width="4.81640625" style="585" customWidth="1"/>
    <col min="8" max="8" width="14.54296875" style="230" customWidth="1"/>
    <col min="9" max="9" width="18.453125" style="585" customWidth="1"/>
    <col min="10" max="10" width="15.54296875" style="585" customWidth="1"/>
    <col min="11" max="11" width="6.1796875" style="585" customWidth="1"/>
    <col min="12" max="12" width="14.54296875" style="585" customWidth="1"/>
    <col min="13" max="13" width="16.1796875" style="585" customWidth="1"/>
    <col min="14" max="14" width="14.54296875" style="585" customWidth="1"/>
    <col min="15" max="15" width="4.81640625" style="585" customWidth="1"/>
    <col min="16" max="16" width="18.54296875" style="585" customWidth="1"/>
    <col min="17" max="16384" width="14.54296875" style="585"/>
  </cols>
  <sheetData>
    <row r="1" spans="1:7" s="585" customFormat="1">
      <c r="A1" s="694" t="s">
        <v>116</v>
      </c>
      <c r="G1" s="230"/>
    </row>
    <row r="2" spans="1:7" s="585" customFormat="1">
      <c r="A2" s="694" t="s">
        <v>116</v>
      </c>
      <c r="G2" s="230"/>
    </row>
    <row r="3" spans="1:7" ht="18">
      <c r="B3" s="1262" t="s">
        <v>393</v>
      </c>
      <c r="C3" s="1262"/>
      <c r="D3" s="1262"/>
      <c r="E3" s="1262"/>
    </row>
    <row r="4" spans="1:7" ht="18">
      <c r="B4" s="1262" t="s">
        <v>785</v>
      </c>
      <c r="C4" s="1262"/>
      <c r="D4" s="1262"/>
      <c r="E4" s="1262"/>
    </row>
    <row r="5" spans="1:7" ht="18">
      <c r="B5" s="1262" t="s">
        <v>786</v>
      </c>
      <c r="C5" s="1262"/>
      <c r="D5" s="1262"/>
      <c r="E5" s="1262"/>
    </row>
    <row r="6" spans="1:7" ht="18">
      <c r="B6" s="1262" t="s">
        <v>1049</v>
      </c>
      <c r="C6" s="1262"/>
      <c r="D6" s="1262"/>
      <c r="E6" s="1262"/>
    </row>
    <row r="7" spans="1:7" ht="18">
      <c r="B7" s="1262" t="s">
        <v>788</v>
      </c>
      <c r="C7" s="1262"/>
      <c r="D7" s="1262"/>
      <c r="E7" s="1262"/>
    </row>
    <row r="8" spans="1:7" ht="18">
      <c r="B8" s="1262" t="s">
        <v>813</v>
      </c>
      <c r="C8" s="1262"/>
      <c r="D8" s="1262"/>
      <c r="E8" s="1262"/>
    </row>
    <row r="9" spans="1:7">
      <c r="B9" s="894"/>
      <c r="C9" s="894"/>
      <c r="D9" s="587" t="s">
        <v>116</v>
      </c>
    </row>
    <row r="10" spans="1:7">
      <c r="A10" s="1264"/>
      <c r="B10" s="1264"/>
      <c r="C10" s="1264"/>
      <c r="D10" s="905"/>
    </row>
    <row r="11" spans="1:7">
      <c r="A11" s="894"/>
      <c r="B11" s="904" t="s">
        <v>401</v>
      </c>
    </row>
    <row r="12" spans="1:7">
      <c r="A12" s="587"/>
      <c r="B12" s="904" t="s">
        <v>405</v>
      </c>
      <c r="C12" s="904" t="s">
        <v>406</v>
      </c>
      <c r="D12" s="904"/>
    </row>
    <row r="13" spans="1:7" ht="16" thickBot="1">
      <c r="C13" s="908" t="s">
        <v>501</v>
      </c>
    </row>
    <row r="14" spans="1:7">
      <c r="A14" s="594" t="s">
        <v>408</v>
      </c>
      <c r="B14" s="899"/>
      <c r="C14" s="225"/>
    </row>
    <row r="15" spans="1:7">
      <c r="A15" s="907"/>
      <c r="D15" s="908"/>
    </row>
    <row r="16" spans="1:7">
      <c r="A16" s="585" t="s">
        <v>409</v>
      </c>
      <c r="B16" s="229">
        <v>352</v>
      </c>
      <c r="C16" s="224">
        <v>1.15E-2</v>
      </c>
      <c r="D16" s="908"/>
    </row>
    <row r="17" spans="1:4">
      <c r="A17" s="585" t="s">
        <v>410</v>
      </c>
      <c r="B17" s="229">
        <v>353</v>
      </c>
      <c r="C17" s="224">
        <v>2.2200000000000001E-2</v>
      </c>
      <c r="D17" s="908"/>
    </row>
    <row r="18" spans="1:4">
      <c r="A18" s="585" t="s">
        <v>411</v>
      </c>
      <c r="B18" s="229">
        <v>354</v>
      </c>
      <c r="C18" s="224">
        <v>2.6499999999999999E-2</v>
      </c>
      <c r="D18" s="908"/>
    </row>
    <row r="19" spans="1:4">
      <c r="A19" s="585" t="s">
        <v>412</v>
      </c>
      <c r="B19" s="229">
        <v>355</v>
      </c>
      <c r="C19" s="224">
        <v>2.41E-2</v>
      </c>
      <c r="D19" s="908"/>
    </row>
    <row r="20" spans="1:4">
      <c r="A20" s="585" t="s">
        <v>781</v>
      </c>
      <c r="B20" s="229">
        <v>356</v>
      </c>
      <c r="C20" s="224">
        <v>1.32E-2</v>
      </c>
      <c r="D20" s="908"/>
    </row>
    <row r="21" spans="1:4">
      <c r="A21" s="585" t="s">
        <v>413</v>
      </c>
      <c r="B21" s="229">
        <v>351</v>
      </c>
      <c r="C21" s="224">
        <v>9.9400000000000002E-2</v>
      </c>
      <c r="D21" s="908"/>
    </row>
    <row r="22" spans="1:4">
      <c r="A22" s="585" t="s">
        <v>414</v>
      </c>
      <c r="B22" s="229">
        <v>351</v>
      </c>
      <c r="C22" s="224">
        <v>0.13980000000000001</v>
      </c>
      <c r="D22" s="908"/>
    </row>
    <row r="23" spans="1:4">
      <c r="A23" s="585" t="s">
        <v>782</v>
      </c>
      <c r="B23" s="229">
        <v>359</v>
      </c>
      <c r="C23" s="906" t="s">
        <v>814</v>
      </c>
      <c r="D23" s="908"/>
    </row>
    <row r="24" spans="1:4" ht="16" thickBot="1">
      <c r="B24" s="229"/>
      <c r="C24" s="224"/>
      <c r="D24" s="908"/>
    </row>
    <row r="25" spans="1:4">
      <c r="A25" s="594" t="s">
        <v>816</v>
      </c>
      <c r="B25" s="899"/>
      <c r="C25" s="225"/>
      <c r="D25" s="908"/>
    </row>
    <row r="26" spans="1:4" ht="15" customHeight="1">
      <c r="B26" s="229"/>
      <c r="C26" s="224"/>
      <c r="D26" s="908"/>
    </row>
    <row r="27" spans="1:4">
      <c r="A27" s="585" t="s">
        <v>817</v>
      </c>
      <c r="B27" s="229">
        <v>390</v>
      </c>
      <c r="C27" s="224">
        <v>1.0800000000000001E-2</v>
      </c>
      <c r="D27" s="908"/>
    </row>
    <row r="28" spans="1:4">
      <c r="A28" s="585" t="s">
        <v>818</v>
      </c>
      <c r="B28" s="229">
        <v>391</v>
      </c>
      <c r="C28" s="224">
        <v>2.1299999999999999E-2</v>
      </c>
      <c r="D28" s="908"/>
    </row>
    <row r="29" spans="1:4">
      <c r="A29" s="585" t="s">
        <v>819</v>
      </c>
      <c r="B29" s="229">
        <v>393</v>
      </c>
      <c r="C29" s="224">
        <v>1.78E-2</v>
      </c>
      <c r="D29" s="908"/>
    </row>
    <row r="30" spans="1:4" ht="15" customHeight="1">
      <c r="A30" s="585" t="s">
        <v>820</v>
      </c>
      <c r="B30" s="229">
        <v>394</v>
      </c>
      <c r="C30" s="224">
        <v>1.6500000000000001E-2</v>
      </c>
      <c r="D30" s="908"/>
    </row>
    <row r="31" spans="1:4">
      <c r="A31" s="585" t="s">
        <v>822</v>
      </c>
      <c r="B31" s="229">
        <v>397</v>
      </c>
      <c r="C31" s="224">
        <v>5.0900000000000001E-2</v>
      </c>
      <c r="D31" s="908"/>
    </row>
    <row r="32" spans="1:4">
      <c r="A32" s="585" t="s">
        <v>823</v>
      </c>
      <c r="B32" s="229">
        <v>398</v>
      </c>
      <c r="C32" s="224">
        <v>2.76E-2</v>
      </c>
      <c r="D32" s="908"/>
    </row>
    <row r="33" spans="1:4">
      <c r="B33" s="229"/>
      <c r="C33" s="224"/>
      <c r="D33" s="908"/>
    </row>
    <row r="34" spans="1:4">
      <c r="B34" s="229"/>
      <c r="C34" s="224"/>
      <c r="D34" s="908"/>
    </row>
    <row r="35" spans="1:4">
      <c r="B35" s="229"/>
      <c r="C35" s="224"/>
      <c r="D35" s="908"/>
    </row>
    <row r="36" spans="1:4">
      <c r="A36" s="907"/>
      <c r="B36" s="894"/>
      <c r="C36" s="224"/>
    </row>
    <row r="37" spans="1:4">
      <c r="A37" s="1263" t="s">
        <v>815</v>
      </c>
      <c r="B37" s="1263"/>
      <c r="C37" s="1263"/>
      <c r="D37" s="1263"/>
    </row>
    <row r="38" spans="1:4">
      <c r="B38" s="900"/>
      <c r="C38" s="232"/>
    </row>
    <row r="39" spans="1:4">
      <c r="A39" s="1263"/>
      <c r="B39" s="1263"/>
      <c r="C39" s="1263"/>
      <c r="D39" s="1263"/>
    </row>
    <row r="40" spans="1:4">
      <c r="A40" s="601" t="s">
        <v>812</v>
      </c>
      <c r="B40" s="894"/>
      <c r="C40" s="224"/>
    </row>
    <row r="41" spans="1:4">
      <c r="A41" s="1264" t="s">
        <v>832</v>
      </c>
      <c r="B41" s="1264"/>
      <c r="C41" s="1264"/>
      <c r="D41" s="905"/>
    </row>
    <row r="42" spans="1:4">
      <c r="A42" s="1264"/>
      <c r="B42" s="1264"/>
      <c r="C42" s="1264"/>
      <c r="D42" s="905"/>
    </row>
    <row r="43" spans="1:4">
      <c r="A43" s="1264"/>
      <c r="B43" s="1264"/>
      <c r="C43" s="1264"/>
      <c r="D43" s="905"/>
    </row>
    <row r="44" spans="1:4">
      <c r="A44" s="1264"/>
      <c r="B44" s="1264"/>
      <c r="C44" s="1264"/>
      <c r="D44" s="905"/>
    </row>
    <row r="45" spans="1:4">
      <c r="A45" s="1264"/>
      <c r="B45" s="1264"/>
      <c r="C45" s="1264"/>
      <c r="D45" s="905"/>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61"/>
  <sheetViews>
    <sheetView view="pageBreakPreview" topLeftCell="A7" zoomScale="60" zoomScaleNormal="100" workbookViewId="0">
      <selection activeCell="A19" sqref="A19"/>
    </sheetView>
  </sheetViews>
  <sheetFormatPr defaultColWidth="8.81640625" defaultRowHeight="12.5"/>
  <cols>
    <col min="1" max="1" width="33.453125" customWidth="1"/>
    <col min="2" max="2" width="10.26953125" customWidth="1"/>
    <col min="3" max="3" width="3.26953125" customWidth="1"/>
    <col min="4" max="4" width="25.81640625" customWidth="1"/>
    <col min="5" max="5" width="4.7265625" customWidth="1"/>
    <col min="6" max="6" width="15.54296875" customWidth="1"/>
    <col min="8" max="8" width="17.81640625" customWidth="1"/>
    <col min="9" max="9" width="18.1796875" customWidth="1"/>
    <col min="11" max="11" width="18.1796875" customWidth="1"/>
  </cols>
  <sheetData>
    <row r="1" spans="1:11" ht="15.5">
      <c r="A1" s="694" t="s">
        <v>116</v>
      </c>
    </row>
    <row r="2" spans="1:11" ht="15.5">
      <c r="A2" s="694" t="s">
        <v>116</v>
      </c>
    </row>
    <row r="3" spans="1:11" ht="15.5">
      <c r="A3" s="1265" t="s">
        <v>389</v>
      </c>
      <c r="B3" s="1265"/>
      <c r="C3" s="1265"/>
      <c r="D3" s="1265"/>
      <c r="E3" s="1265"/>
      <c r="F3" s="1265"/>
      <c r="G3" s="1265"/>
      <c r="H3" s="1265"/>
      <c r="I3" s="1265"/>
      <c r="J3" s="1265"/>
      <c r="K3" s="1265"/>
    </row>
    <row r="4" spans="1:11" ht="15.5">
      <c r="A4" s="1266" t="s">
        <v>569</v>
      </c>
      <c r="B4" s="1266"/>
      <c r="C4" s="1266"/>
      <c r="D4" s="1266"/>
      <c r="E4" s="1266"/>
      <c r="F4" s="1266"/>
      <c r="G4" s="1266"/>
      <c r="H4" s="1266"/>
      <c r="I4" s="1266"/>
      <c r="J4" s="1266"/>
      <c r="K4" s="1266"/>
    </row>
    <row r="5" spans="1:11" ht="15.5">
      <c r="A5" s="1266" t="s">
        <v>570</v>
      </c>
      <c r="B5" s="1266"/>
      <c r="C5" s="1266"/>
      <c r="D5" s="1266"/>
      <c r="E5" s="1266"/>
      <c r="F5" s="1266"/>
      <c r="G5" s="1266"/>
      <c r="H5" s="1266"/>
      <c r="I5" s="1266"/>
      <c r="J5" s="1266"/>
      <c r="K5" s="1266"/>
    </row>
    <row r="6" spans="1:11" ht="15.5">
      <c r="A6" s="2"/>
      <c r="B6" s="2"/>
      <c r="C6" s="2"/>
      <c r="D6" s="1266"/>
      <c r="E6" s="1266"/>
      <c r="F6" s="1266"/>
      <c r="G6" s="1266"/>
      <c r="H6" s="2"/>
      <c r="I6" s="2"/>
      <c r="J6" s="2"/>
      <c r="K6" s="2"/>
    </row>
    <row r="9" spans="1:11" ht="16" thickBot="1">
      <c r="A9" s="603"/>
      <c r="B9" s="604"/>
      <c r="C9" s="604"/>
      <c r="D9" s="604"/>
      <c r="E9" s="604"/>
      <c r="F9" s="604"/>
      <c r="G9" s="604"/>
      <c r="H9" s="604"/>
      <c r="I9" s="604"/>
      <c r="J9" s="604"/>
      <c r="K9" s="604"/>
    </row>
    <row r="10" spans="1:11" ht="46.5">
      <c r="A10" s="605" t="str">
        <f>"Reconciliation Revenue Requirement For Year 2022 Available May 25, 2023"</f>
        <v>Reconciliation Revenue Requirement For Year 2022 Available May 25, 2023</v>
      </c>
      <c r="B10" s="604"/>
      <c r="C10" s="604"/>
      <c r="D10" s="605" t="s">
        <v>1071</v>
      </c>
      <c r="E10" s="604"/>
      <c r="F10" s="604"/>
      <c r="G10" s="2"/>
      <c r="H10" s="605" t="s">
        <v>550</v>
      </c>
      <c r="I10" s="2"/>
      <c r="J10" s="2"/>
      <c r="K10" s="2"/>
    </row>
    <row r="11" spans="1:11" ht="15.5">
      <c r="A11" s="606" t="s">
        <v>116</v>
      </c>
      <c r="B11" s="604"/>
      <c r="C11" s="604"/>
      <c r="D11" s="606"/>
      <c r="E11" s="604"/>
      <c r="F11" s="604"/>
      <c r="G11" s="2"/>
      <c r="H11" s="607"/>
      <c r="I11" s="2"/>
      <c r="J11" s="2"/>
      <c r="K11" s="2"/>
    </row>
    <row r="12" spans="1:11" ht="16" thickBot="1">
      <c r="A12" s="686">
        <v>79700423.494945064</v>
      </c>
      <c r="B12" s="1079" t="str">
        <f>"-"</f>
        <v>-</v>
      </c>
      <c r="C12" s="1080"/>
      <c r="D12" s="686">
        <v>82680764.443751693</v>
      </c>
      <c r="E12" s="608"/>
      <c r="F12" s="609" t="str">
        <f>"="</f>
        <v>=</v>
      </c>
      <c r="G12" s="610"/>
      <c r="H12" s="611">
        <f>IF(A12=0,0,D12-A12)</f>
        <v>2980340.9488066286</v>
      </c>
      <c r="I12" s="2"/>
      <c r="J12" s="2"/>
      <c r="K12" s="2"/>
    </row>
    <row r="13" spans="1:11" ht="15.5">
      <c r="A13" s="612"/>
      <c r="B13" s="613"/>
      <c r="C13" s="613"/>
      <c r="D13" s="612"/>
      <c r="E13" s="612"/>
      <c r="F13" s="613"/>
      <c r="G13" s="612"/>
      <c r="H13" s="2"/>
      <c r="I13" s="2"/>
      <c r="J13" s="2"/>
      <c r="K13" s="2"/>
    </row>
    <row r="14" spans="1:11" ht="16" thickBot="1">
      <c r="A14" s="614"/>
      <c r="B14" s="615"/>
      <c r="C14" s="615"/>
      <c r="D14" s="614"/>
      <c r="E14" s="614"/>
      <c r="F14" s="615"/>
      <c r="G14" s="614"/>
      <c r="H14" s="616"/>
      <c r="I14" s="616"/>
      <c r="J14" s="616"/>
      <c r="K14" s="616"/>
    </row>
    <row r="15" spans="1:11" ht="15.5">
      <c r="A15" s="617"/>
      <c r="B15" s="613"/>
      <c r="C15" s="613"/>
      <c r="D15" s="612"/>
      <c r="E15" s="612"/>
      <c r="F15" s="613"/>
      <c r="G15" s="612"/>
      <c r="H15" s="2"/>
      <c r="I15" s="2"/>
      <c r="J15" s="2"/>
      <c r="K15" s="2"/>
    </row>
    <row r="16" spans="1:11" ht="31">
      <c r="A16" s="618" t="s">
        <v>551</v>
      </c>
      <c r="B16" s="613"/>
      <c r="C16" s="613"/>
      <c r="D16" s="619" t="s">
        <v>552</v>
      </c>
      <c r="E16" s="612"/>
      <c r="F16" s="619" t="s">
        <v>553</v>
      </c>
      <c r="G16" s="620" t="s">
        <v>554</v>
      </c>
      <c r="H16" s="621" t="s">
        <v>555</v>
      </c>
      <c r="I16" s="619" t="s">
        <v>556</v>
      </c>
      <c r="J16" s="622"/>
      <c r="K16" s="619" t="s">
        <v>557</v>
      </c>
    </row>
    <row r="17" spans="1:11" ht="15.5">
      <c r="A17" s="618" t="s">
        <v>558</v>
      </c>
      <c r="B17" s="613"/>
      <c r="C17" s="613"/>
      <c r="D17" s="2"/>
      <c r="E17" s="623"/>
      <c r="F17" s="687">
        <v>4.239999999999999E-3</v>
      </c>
      <c r="H17" s="2"/>
      <c r="I17" s="2"/>
      <c r="J17" s="2"/>
      <c r="K17" s="2"/>
    </row>
    <row r="18" spans="1:11" ht="15.5">
      <c r="A18" s="618"/>
      <c r="B18" s="613"/>
      <c r="C18" s="613"/>
      <c r="D18" s="2"/>
      <c r="E18" s="623"/>
      <c r="F18" s="623"/>
      <c r="G18" s="612"/>
      <c r="H18" s="2"/>
      <c r="I18" s="2"/>
      <c r="J18" s="2"/>
      <c r="K18" s="2"/>
    </row>
    <row r="19" spans="1:11" ht="15.5">
      <c r="A19" s="618" t="s">
        <v>1073</v>
      </c>
      <c r="B19" s="613"/>
      <c r="C19" s="613"/>
      <c r="D19" s="2"/>
      <c r="E19" s="623"/>
      <c r="F19" s="623"/>
      <c r="G19" s="612"/>
      <c r="H19" s="2"/>
      <c r="I19" s="2"/>
      <c r="J19" s="2"/>
      <c r="K19" s="2"/>
    </row>
    <row r="20" spans="1:11" ht="15.5">
      <c r="A20" s="624" t="s">
        <v>116</v>
      </c>
      <c r="B20" s="613"/>
      <c r="C20" s="613"/>
      <c r="D20" s="613"/>
      <c r="E20" s="613"/>
      <c r="F20" s="613" t="s">
        <v>116</v>
      </c>
      <c r="G20" s="2"/>
      <c r="H20" s="2"/>
      <c r="I20" s="2"/>
      <c r="J20" s="2"/>
      <c r="K20" s="2"/>
    </row>
    <row r="21" spans="1:11" ht="15.5">
      <c r="A21" s="625"/>
      <c r="B21" s="613"/>
      <c r="C21" s="613"/>
      <c r="D21" s="613"/>
      <c r="E21" s="613"/>
      <c r="F21" s="2"/>
      <c r="G21" s="2"/>
      <c r="H21" s="620"/>
      <c r="I21" s="613"/>
      <c r="J21" s="613"/>
      <c r="K21" s="613"/>
    </row>
    <row r="22" spans="1:11" ht="15.5">
      <c r="A22" s="625" t="s">
        <v>559</v>
      </c>
      <c r="B22" s="613"/>
      <c r="C22" s="613"/>
      <c r="D22" s="613"/>
      <c r="E22" s="613"/>
      <c r="F22" s="2"/>
      <c r="G22" s="2"/>
      <c r="H22" s="620" t="s">
        <v>560</v>
      </c>
      <c r="I22" s="613"/>
      <c r="J22" s="613"/>
      <c r="K22" s="613"/>
    </row>
    <row r="23" spans="1:11" ht="15.5">
      <c r="A23" s="604" t="s">
        <v>187</v>
      </c>
      <c r="B23" s="604" t="str">
        <f>"Year "&amp;TCOS!L4-2</f>
        <v>Year 2022</v>
      </c>
      <c r="C23" s="604"/>
      <c r="D23" s="626">
        <f>H12/12</f>
        <v>248361.74573388571</v>
      </c>
      <c r="E23" s="626"/>
      <c r="F23" s="627">
        <f>+F17</f>
        <v>4.239999999999999E-3</v>
      </c>
      <c r="G23" s="613">
        <v>12</v>
      </c>
      <c r="H23" s="626">
        <f>F23*D23*G23*-1</f>
        <v>-12636.645622940103</v>
      </c>
      <c r="I23" s="626"/>
      <c r="J23" s="626"/>
      <c r="K23" s="626">
        <f>(-H23+D23)*-1</f>
        <v>-260998.3913568258</v>
      </c>
    </row>
    <row r="24" spans="1:11" ht="15.5">
      <c r="A24" s="604" t="s">
        <v>561</v>
      </c>
      <c r="B24" s="604" t="str">
        <f>B23</f>
        <v>Year 2022</v>
      </c>
      <c r="C24" s="604"/>
      <c r="D24" s="626">
        <f>+D23</f>
        <v>248361.74573388571</v>
      </c>
      <c r="E24" s="626"/>
      <c r="F24" s="627">
        <f>+F23</f>
        <v>4.239999999999999E-3</v>
      </c>
      <c r="G24" s="613">
        <f t="shared" ref="G24:G34" si="0">+G23-1</f>
        <v>11</v>
      </c>
      <c r="H24" s="626">
        <f t="shared" ref="H24:H34" si="1">F24*D24*G24*-1</f>
        <v>-11583.591821028427</v>
      </c>
      <c r="I24" s="626"/>
      <c r="J24" s="626"/>
      <c r="K24" s="626">
        <f t="shared" ref="K24:K34" si="2">(-H24+D24)*-1</f>
        <v>-259945.33755491412</v>
      </c>
    </row>
    <row r="25" spans="1:11" ht="15.5">
      <c r="A25" s="604" t="s">
        <v>188</v>
      </c>
      <c r="B25" s="604" t="str">
        <f t="shared" ref="B25:B34" si="3">B24</f>
        <v>Year 2022</v>
      </c>
      <c r="C25" s="604"/>
      <c r="D25" s="626">
        <f t="shared" ref="D25:D34" si="4">+D24</f>
        <v>248361.74573388571</v>
      </c>
      <c r="E25" s="626"/>
      <c r="F25" s="627">
        <f t="shared" ref="F25:F34" si="5">+F24</f>
        <v>4.239999999999999E-3</v>
      </c>
      <c r="G25" s="613">
        <f t="shared" si="0"/>
        <v>10</v>
      </c>
      <c r="H25" s="626">
        <f t="shared" si="1"/>
        <v>-10530.538019116753</v>
      </c>
      <c r="I25" s="626"/>
      <c r="J25" s="626"/>
      <c r="K25" s="626">
        <f t="shared" si="2"/>
        <v>-258892.28375300247</v>
      </c>
    </row>
    <row r="26" spans="1:11" ht="15.5">
      <c r="A26" s="604" t="s">
        <v>189</v>
      </c>
      <c r="B26" s="604" t="str">
        <f t="shared" si="3"/>
        <v>Year 2022</v>
      </c>
      <c r="C26" s="604"/>
      <c r="D26" s="626">
        <f t="shared" si="4"/>
        <v>248361.74573388571</v>
      </c>
      <c r="E26" s="626"/>
      <c r="F26" s="627">
        <f t="shared" si="5"/>
        <v>4.239999999999999E-3</v>
      </c>
      <c r="G26" s="613">
        <f t="shared" si="0"/>
        <v>9</v>
      </c>
      <c r="H26" s="626">
        <f t="shared" si="1"/>
        <v>-9477.4842172050776</v>
      </c>
      <c r="I26" s="626"/>
      <c r="J26" s="626"/>
      <c r="K26" s="626">
        <f t="shared" si="2"/>
        <v>-257839.22995109079</v>
      </c>
    </row>
    <row r="27" spans="1:11" ht="15.5">
      <c r="A27" s="604" t="s">
        <v>190</v>
      </c>
      <c r="B27" s="604" t="str">
        <f t="shared" si="3"/>
        <v>Year 2022</v>
      </c>
      <c r="C27" s="604"/>
      <c r="D27" s="626">
        <f t="shared" si="4"/>
        <v>248361.74573388571</v>
      </c>
      <c r="E27" s="626"/>
      <c r="F27" s="627">
        <f t="shared" si="5"/>
        <v>4.239999999999999E-3</v>
      </c>
      <c r="G27" s="613">
        <f t="shared" si="0"/>
        <v>8</v>
      </c>
      <c r="H27" s="626">
        <f t="shared" si="1"/>
        <v>-8424.4304152934019</v>
      </c>
      <c r="I27" s="626"/>
      <c r="J27" s="626"/>
      <c r="K27" s="626">
        <f t="shared" si="2"/>
        <v>-256786.17614917911</v>
      </c>
    </row>
    <row r="28" spans="1:11" ht="15.5">
      <c r="A28" s="604" t="s">
        <v>384</v>
      </c>
      <c r="B28" s="604" t="str">
        <f t="shared" si="3"/>
        <v>Year 2022</v>
      </c>
      <c r="C28" s="604"/>
      <c r="D28" s="626">
        <f t="shared" si="4"/>
        <v>248361.74573388571</v>
      </c>
      <c r="E28" s="626"/>
      <c r="F28" s="627">
        <f t="shared" si="5"/>
        <v>4.239999999999999E-3</v>
      </c>
      <c r="G28" s="613">
        <f t="shared" si="0"/>
        <v>7</v>
      </c>
      <c r="H28" s="626">
        <f t="shared" si="1"/>
        <v>-7371.3766133817262</v>
      </c>
      <c r="I28" s="626"/>
      <c r="J28" s="626"/>
      <c r="K28" s="626">
        <f t="shared" si="2"/>
        <v>-255733.12234726743</v>
      </c>
    </row>
    <row r="29" spans="1:11" ht="15.5">
      <c r="A29" s="604" t="s">
        <v>191</v>
      </c>
      <c r="B29" s="604" t="str">
        <f t="shared" si="3"/>
        <v>Year 2022</v>
      </c>
      <c r="C29" s="604"/>
      <c r="D29" s="626">
        <f t="shared" si="4"/>
        <v>248361.74573388571</v>
      </c>
      <c r="E29" s="626"/>
      <c r="F29" s="627">
        <f t="shared" si="5"/>
        <v>4.239999999999999E-3</v>
      </c>
      <c r="G29" s="613">
        <f t="shared" si="0"/>
        <v>6</v>
      </c>
      <c r="H29" s="626">
        <f t="shared" si="1"/>
        <v>-6318.3228114700514</v>
      </c>
      <c r="I29" s="626"/>
      <c r="J29" s="626"/>
      <c r="K29" s="626">
        <f t="shared" si="2"/>
        <v>-254680.06854535575</v>
      </c>
    </row>
    <row r="30" spans="1:11" ht="15.5">
      <c r="A30" s="604" t="s">
        <v>192</v>
      </c>
      <c r="B30" s="604" t="str">
        <f t="shared" si="3"/>
        <v>Year 2022</v>
      </c>
      <c r="C30" s="604"/>
      <c r="D30" s="626">
        <f t="shared" si="4"/>
        <v>248361.74573388571</v>
      </c>
      <c r="E30" s="626"/>
      <c r="F30" s="627">
        <f t="shared" si="5"/>
        <v>4.239999999999999E-3</v>
      </c>
      <c r="G30" s="613">
        <f t="shared" si="0"/>
        <v>5</v>
      </c>
      <c r="H30" s="626">
        <f t="shared" si="1"/>
        <v>-5265.2690095583766</v>
      </c>
      <c r="I30" s="626"/>
      <c r="J30" s="626"/>
      <c r="K30" s="626">
        <f t="shared" si="2"/>
        <v>-253627.01474344407</v>
      </c>
    </row>
    <row r="31" spans="1:11" ht="15.5">
      <c r="A31" s="604" t="s">
        <v>194</v>
      </c>
      <c r="B31" s="604" t="str">
        <f t="shared" si="3"/>
        <v>Year 2022</v>
      </c>
      <c r="C31" s="604"/>
      <c r="D31" s="626">
        <f t="shared" si="4"/>
        <v>248361.74573388571</v>
      </c>
      <c r="E31" s="626"/>
      <c r="F31" s="627">
        <f t="shared" si="5"/>
        <v>4.239999999999999E-3</v>
      </c>
      <c r="G31" s="613">
        <f t="shared" si="0"/>
        <v>4</v>
      </c>
      <c r="H31" s="626">
        <f t="shared" si="1"/>
        <v>-4212.2152076467009</v>
      </c>
      <c r="I31" s="626"/>
      <c r="J31" s="626"/>
      <c r="K31" s="626">
        <f t="shared" si="2"/>
        <v>-252573.96094153239</v>
      </c>
    </row>
    <row r="32" spans="1:11" ht="15.5">
      <c r="A32" s="604" t="s">
        <v>562</v>
      </c>
      <c r="B32" s="604" t="str">
        <f t="shared" si="3"/>
        <v>Year 2022</v>
      </c>
      <c r="C32" s="604"/>
      <c r="D32" s="626">
        <f t="shared" si="4"/>
        <v>248361.74573388571</v>
      </c>
      <c r="E32" s="626"/>
      <c r="F32" s="627">
        <f t="shared" si="5"/>
        <v>4.239999999999999E-3</v>
      </c>
      <c r="G32" s="613">
        <f t="shared" si="0"/>
        <v>3</v>
      </c>
      <c r="H32" s="626">
        <f t="shared" si="1"/>
        <v>-3159.1614057350257</v>
      </c>
      <c r="I32" s="626"/>
      <c r="J32" s="626"/>
      <c r="K32" s="626">
        <f t="shared" si="2"/>
        <v>-251520.90713962074</v>
      </c>
    </row>
    <row r="33" spans="1:11" ht="15.5">
      <c r="A33" s="604" t="s">
        <v>563</v>
      </c>
      <c r="B33" s="604" t="str">
        <f t="shared" si="3"/>
        <v>Year 2022</v>
      </c>
      <c r="C33" s="604"/>
      <c r="D33" s="626">
        <f t="shared" si="4"/>
        <v>248361.74573388571</v>
      </c>
      <c r="E33" s="626"/>
      <c r="F33" s="627">
        <f t="shared" si="5"/>
        <v>4.239999999999999E-3</v>
      </c>
      <c r="G33" s="613">
        <f t="shared" si="0"/>
        <v>2</v>
      </c>
      <c r="H33" s="626">
        <f t="shared" si="1"/>
        <v>-2106.1076038233505</v>
      </c>
      <c r="I33" s="626"/>
      <c r="J33" s="626"/>
      <c r="K33" s="626">
        <f t="shared" si="2"/>
        <v>-250467.85333770906</v>
      </c>
    </row>
    <row r="34" spans="1:11" ht="15.5">
      <c r="A34" s="604" t="s">
        <v>193</v>
      </c>
      <c r="B34" s="604" t="str">
        <f t="shared" si="3"/>
        <v>Year 2022</v>
      </c>
      <c r="C34" s="604"/>
      <c r="D34" s="626">
        <f t="shared" si="4"/>
        <v>248361.74573388571</v>
      </c>
      <c r="E34" s="626"/>
      <c r="F34" s="627">
        <f t="shared" si="5"/>
        <v>4.239999999999999E-3</v>
      </c>
      <c r="G34" s="613">
        <f t="shared" si="0"/>
        <v>1</v>
      </c>
      <c r="H34" s="628">
        <f t="shared" si="1"/>
        <v>-1053.0538019116752</v>
      </c>
      <c r="I34" s="626"/>
      <c r="J34" s="626"/>
      <c r="K34" s="626">
        <f t="shared" si="2"/>
        <v>-249414.79953579739</v>
      </c>
    </row>
    <row r="35" spans="1:11" ht="15.5">
      <c r="A35" s="604"/>
      <c r="B35" s="604"/>
      <c r="C35" s="604"/>
      <c r="D35" s="626"/>
      <c r="E35" s="626"/>
      <c r="F35" s="627"/>
      <c r="G35" s="613"/>
      <c r="H35" s="626">
        <f>SUM(H23:H34)</f>
        <v>-82138.196549110668</v>
      </c>
      <c r="I35" s="626"/>
      <c r="J35" s="626"/>
      <c r="K35" s="629">
        <f>SUM(K23:K34)</f>
        <v>-3062479.1453557387</v>
      </c>
    </row>
    <row r="36" spans="1:11" ht="15.5">
      <c r="A36" s="604"/>
      <c r="B36" s="604"/>
      <c r="C36" s="604"/>
      <c r="D36" s="626"/>
      <c r="E36" s="626"/>
      <c r="F36" s="627"/>
      <c r="G36" s="613"/>
      <c r="H36" s="626"/>
      <c r="I36" s="626" t="s">
        <v>116</v>
      </c>
      <c r="J36" s="626"/>
      <c r="K36" s="2"/>
    </row>
    <row r="37" spans="1:11" ht="15.5">
      <c r="A37" s="604"/>
      <c r="B37" s="604"/>
      <c r="C37" s="604"/>
      <c r="D37" s="612"/>
      <c r="E37" s="612"/>
      <c r="F37" s="627"/>
      <c r="G37" s="613"/>
      <c r="H37" s="630" t="s">
        <v>564</v>
      </c>
      <c r="I37" s="626"/>
      <c r="J37" s="626"/>
      <c r="K37" s="626"/>
    </row>
    <row r="38" spans="1:11" ht="15.5">
      <c r="A38" s="604" t="s">
        <v>565</v>
      </c>
      <c r="B38" s="604" t="str">
        <f>"Year "&amp;TCOS!L4-1</f>
        <v>Year 2023</v>
      </c>
      <c r="C38" s="604"/>
      <c r="D38" s="612">
        <f>K35</f>
        <v>-3062479.1453557387</v>
      </c>
      <c r="E38" s="612"/>
      <c r="F38" s="627">
        <f>+F34</f>
        <v>4.239999999999999E-3</v>
      </c>
      <c r="G38" s="613">
        <v>12</v>
      </c>
      <c r="H38" s="626">
        <f>+G38*F38*D38</f>
        <v>-155818.93891569995</v>
      </c>
      <c r="I38" s="626"/>
      <c r="J38" s="626"/>
      <c r="K38" s="629">
        <f>+D38+H38</f>
        <v>-3218298.0842714384</v>
      </c>
    </row>
    <row r="39" spans="1:11" ht="15.5">
      <c r="A39" s="604"/>
      <c r="B39" s="604"/>
      <c r="C39" s="604"/>
      <c r="D39" s="612"/>
      <c r="E39" s="612"/>
      <c r="F39" s="627"/>
      <c r="G39" s="604"/>
      <c r="H39" s="626"/>
      <c r="I39" s="626"/>
      <c r="J39" s="626"/>
      <c r="K39" s="626"/>
    </row>
    <row r="40" spans="1:11" ht="15.5">
      <c r="A40" s="631" t="s">
        <v>566</v>
      </c>
      <c r="B40" s="604"/>
      <c r="C40" s="604"/>
      <c r="D40" s="626"/>
      <c r="E40" s="626"/>
      <c r="F40" s="627"/>
      <c r="G40" s="604"/>
      <c r="H40" s="630" t="s">
        <v>560</v>
      </c>
      <c r="I40" s="626"/>
      <c r="J40" s="626"/>
      <c r="K40" s="626"/>
    </row>
    <row r="41" spans="1:11" ht="15.5">
      <c r="A41" s="604" t="s">
        <v>187</v>
      </c>
      <c r="B41" s="604" t="str">
        <f>"Year "&amp;TCOS!L4</f>
        <v>Year 2024</v>
      </c>
      <c r="C41" s="604"/>
      <c r="D41" s="632">
        <f>-K38</f>
        <v>3218298.0842714384</v>
      </c>
      <c r="E41" s="612"/>
      <c r="F41" s="627">
        <f>+F34</f>
        <v>4.239999999999999E-3</v>
      </c>
      <c r="G41" s="604"/>
      <c r="H41" s="626">
        <f xml:space="preserve"> -F41*D41</f>
        <v>-13645.583877310895</v>
      </c>
      <c r="I41" s="626">
        <f>PMT(F41,12,K$38)</f>
        <v>275640.1965024891</v>
      </c>
      <c r="J41" s="626"/>
      <c r="K41" s="626">
        <f>(+D41+D41*F41-I41)*-1</f>
        <v>-2956303.4716462605</v>
      </c>
    </row>
    <row r="42" spans="1:11" ht="15.5">
      <c r="A42" s="604" t="s">
        <v>561</v>
      </c>
      <c r="B42" s="604" t="str">
        <f>+B41</f>
        <v>Year 2024</v>
      </c>
      <c r="C42" s="604"/>
      <c r="D42" s="612">
        <f>-K41</f>
        <v>2956303.4716462605</v>
      </c>
      <c r="E42" s="612"/>
      <c r="F42" s="627">
        <f>+F41</f>
        <v>4.239999999999999E-3</v>
      </c>
      <c r="G42" s="604"/>
      <c r="H42" s="626">
        <f xml:space="preserve"> -F42*D42</f>
        <v>-12534.726719780141</v>
      </c>
      <c r="I42" s="626">
        <f>I41</f>
        <v>275640.1965024891</v>
      </c>
      <c r="J42" s="626"/>
      <c r="K42" s="626">
        <f t="shared" ref="K42:K52" si="6">(+D42+D42*F42-I42)*-1</f>
        <v>-2693198.0018635518</v>
      </c>
    </row>
    <row r="43" spans="1:11" ht="15.5">
      <c r="A43" s="604" t="s">
        <v>188</v>
      </c>
      <c r="B43" s="604" t="str">
        <f>+B42</f>
        <v>Year 2024</v>
      </c>
      <c r="C43" s="604"/>
      <c r="D43" s="612">
        <f t="shared" ref="D43:D52" si="7">-K42</f>
        <v>2693198.0018635518</v>
      </c>
      <c r="E43" s="612"/>
      <c r="F43" s="627">
        <f t="shared" ref="F43:F52" si="8">+F42</f>
        <v>4.239999999999999E-3</v>
      </c>
      <c r="G43" s="604"/>
      <c r="H43" s="626">
        <f t="shared" ref="H43:H52" si="9" xml:space="preserve"> -F43*D43</f>
        <v>-11419.159527901456</v>
      </c>
      <c r="I43" s="626">
        <f t="shared" ref="I43:I52" si="10">I42</f>
        <v>275640.1965024891</v>
      </c>
      <c r="J43" s="626"/>
      <c r="K43" s="626">
        <f t="shared" si="6"/>
        <v>-2428976.9648889643</v>
      </c>
    </row>
    <row r="44" spans="1:11" ht="15.5">
      <c r="A44" s="604" t="s">
        <v>189</v>
      </c>
      <c r="B44" s="604" t="str">
        <f>+B43</f>
        <v>Year 2024</v>
      </c>
      <c r="C44" s="604"/>
      <c r="D44" s="612">
        <f t="shared" si="7"/>
        <v>2428976.9648889643</v>
      </c>
      <c r="E44" s="612"/>
      <c r="F44" s="627">
        <f t="shared" si="8"/>
        <v>4.239999999999999E-3</v>
      </c>
      <c r="G44" s="604"/>
      <c r="H44" s="626">
        <f t="shared" si="9"/>
        <v>-10298.862331129207</v>
      </c>
      <c r="I44" s="626">
        <f t="shared" si="10"/>
        <v>275640.1965024891</v>
      </c>
      <c r="J44" s="626"/>
      <c r="K44" s="626">
        <f t="shared" si="6"/>
        <v>-2163635.6307176044</v>
      </c>
    </row>
    <row r="45" spans="1:11" ht="15.5">
      <c r="A45" s="604" t="s">
        <v>190</v>
      </c>
      <c r="B45" s="604" t="str">
        <f>+B44</f>
        <v>Year 2024</v>
      </c>
      <c r="C45" s="604"/>
      <c r="D45" s="612">
        <f t="shared" si="7"/>
        <v>2163635.6307176044</v>
      </c>
      <c r="E45" s="612"/>
      <c r="F45" s="627">
        <f t="shared" si="8"/>
        <v>4.239999999999999E-3</v>
      </c>
      <c r="G45" s="604"/>
      <c r="H45" s="626">
        <f t="shared" si="9"/>
        <v>-9173.8150742426405</v>
      </c>
      <c r="I45" s="626">
        <f>I44</f>
        <v>275640.1965024891</v>
      </c>
      <c r="J45" s="626"/>
      <c r="K45" s="626">
        <f t="shared" si="6"/>
        <v>-1897169.249289358</v>
      </c>
    </row>
    <row r="46" spans="1:11" ht="15.5">
      <c r="A46" s="604" t="s">
        <v>384</v>
      </c>
      <c r="B46" s="604" t="str">
        <f>B45</f>
        <v>Year 2024</v>
      </c>
      <c r="C46" s="2"/>
      <c r="D46" s="612">
        <f t="shared" si="7"/>
        <v>1897169.249289358</v>
      </c>
      <c r="E46" s="612"/>
      <c r="F46" s="627">
        <f t="shared" si="8"/>
        <v>4.239999999999999E-3</v>
      </c>
      <c r="G46" s="604"/>
      <c r="H46" s="626">
        <f t="shared" si="9"/>
        <v>-8043.997616986876</v>
      </c>
      <c r="I46" s="626">
        <f t="shared" si="10"/>
        <v>275640.1965024891</v>
      </c>
      <c r="J46" s="626"/>
      <c r="K46" s="626">
        <f t="shared" si="6"/>
        <v>-1629573.050403856</v>
      </c>
    </row>
    <row r="47" spans="1:11" ht="15.5">
      <c r="A47" s="604" t="s">
        <v>191</v>
      </c>
      <c r="B47" s="604" t="str">
        <f t="shared" ref="B47:B52" si="11">+B46</f>
        <v>Year 2024</v>
      </c>
      <c r="C47" s="604"/>
      <c r="D47" s="612">
        <f t="shared" si="7"/>
        <v>1629573.050403856</v>
      </c>
      <c r="E47" s="612"/>
      <c r="F47" s="627">
        <f t="shared" si="8"/>
        <v>4.239999999999999E-3</v>
      </c>
      <c r="G47" s="604"/>
      <c r="H47" s="626">
        <f t="shared" si="9"/>
        <v>-6909.3897337123481</v>
      </c>
      <c r="I47" s="626">
        <f t="shared" si="10"/>
        <v>275640.1965024891</v>
      </c>
      <c r="J47" s="626"/>
      <c r="K47" s="626">
        <f t="shared" si="6"/>
        <v>-1360842.2436350794</v>
      </c>
    </row>
    <row r="48" spans="1:11" ht="15.5">
      <c r="A48" s="604" t="s">
        <v>192</v>
      </c>
      <c r="B48" s="604" t="str">
        <f t="shared" si="11"/>
        <v>Year 2024</v>
      </c>
      <c r="C48" s="604"/>
      <c r="D48" s="612">
        <f t="shared" si="7"/>
        <v>1360842.2436350794</v>
      </c>
      <c r="E48" s="612"/>
      <c r="F48" s="627">
        <f t="shared" si="8"/>
        <v>4.239999999999999E-3</v>
      </c>
      <c r="G48" s="604"/>
      <c r="H48" s="626">
        <f t="shared" si="9"/>
        <v>-5769.9711130127353</v>
      </c>
      <c r="I48" s="626">
        <f t="shared" si="10"/>
        <v>275640.1965024891</v>
      </c>
      <c r="J48" s="626"/>
      <c r="K48" s="626">
        <f t="shared" si="6"/>
        <v>-1090972.018245603</v>
      </c>
    </row>
    <row r="49" spans="1:11" ht="15.5">
      <c r="A49" s="604" t="s">
        <v>194</v>
      </c>
      <c r="B49" s="604" t="str">
        <f t="shared" si="11"/>
        <v>Year 2024</v>
      </c>
      <c r="C49" s="604"/>
      <c r="D49" s="612">
        <f t="shared" si="7"/>
        <v>1090972.018245603</v>
      </c>
      <c r="E49" s="612"/>
      <c r="F49" s="627">
        <f t="shared" si="8"/>
        <v>4.239999999999999E-3</v>
      </c>
      <c r="G49" s="604"/>
      <c r="H49" s="626">
        <f t="shared" si="9"/>
        <v>-4625.7213573613553</v>
      </c>
      <c r="I49" s="626">
        <f>I48</f>
        <v>275640.1965024891</v>
      </c>
      <c r="J49" s="626"/>
      <c r="K49" s="626">
        <f t="shared" si="6"/>
        <v>-819957.54310047533</v>
      </c>
    </row>
    <row r="50" spans="1:11" ht="15.5">
      <c r="A50" s="604" t="s">
        <v>562</v>
      </c>
      <c r="B50" s="604" t="str">
        <f t="shared" si="11"/>
        <v>Year 2024</v>
      </c>
      <c r="C50" s="604"/>
      <c r="D50" s="612">
        <f t="shared" si="7"/>
        <v>819957.54310047533</v>
      </c>
      <c r="E50" s="612"/>
      <c r="F50" s="627">
        <f t="shared" si="8"/>
        <v>4.239999999999999E-3</v>
      </c>
      <c r="G50" s="604"/>
      <c r="H50" s="626">
        <f t="shared" si="9"/>
        <v>-3476.6199827460146</v>
      </c>
      <c r="I50" s="626">
        <f t="shared" si="10"/>
        <v>275640.1965024891</v>
      </c>
      <c r="J50" s="626"/>
      <c r="K50" s="626">
        <f t="shared" si="6"/>
        <v>-547793.96658073226</v>
      </c>
    </row>
    <row r="51" spans="1:11" ht="15.5">
      <c r="A51" s="604" t="s">
        <v>563</v>
      </c>
      <c r="B51" s="604" t="str">
        <f t="shared" si="11"/>
        <v>Year 2024</v>
      </c>
      <c r="C51" s="604"/>
      <c r="D51" s="612">
        <f t="shared" si="7"/>
        <v>547793.96658073226</v>
      </c>
      <c r="E51" s="612"/>
      <c r="F51" s="627">
        <f t="shared" si="8"/>
        <v>4.239999999999999E-3</v>
      </c>
      <c r="G51" s="604"/>
      <c r="H51" s="626">
        <f t="shared" si="9"/>
        <v>-2322.646418302304</v>
      </c>
      <c r="I51" s="626">
        <f t="shared" si="10"/>
        <v>275640.1965024891</v>
      </c>
      <c r="J51" s="626"/>
      <c r="K51" s="626">
        <f t="shared" si="6"/>
        <v>-274476.41649654548</v>
      </c>
    </row>
    <row r="52" spans="1:11" ht="15.5">
      <c r="A52" s="604" t="s">
        <v>193</v>
      </c>
      <c r="B52" s="604" t="str">
        <f t="shared" si="11"/>
        <v>Year 2024</v>
      </c>
      <c r="C52" s="604"/>
      <c r="D52" s="612">
        <f t="shared" si="7"/>
        <v>274476.41649654548</v>
      </c>
      <c r="E52" s="612"/>
      <c r="F52" s="627">
        <f t="shared" si="8"/>
        <v>4.239999999999999E-3</v>
      </c>
      <c r="G52" s="604"/>
      <c r="H52" s="628">
        <f t="shared" si="9"/>
        <v>-1163.7800059453525</v>
      </c>
      <c r="I52" s="626">
        <f t="shared" si="10"/>
        <v>275640.1965024891</v>
      </c>
      <c r="J52" s="626"/>
      <c r="K52" s="626">
        <f t="shared" si="6"/>
        <v>-1.7462298274040222E-9</v>
      </c>
    </row>
    <row r="53" spans="1:11" ht="15.5">
      <c r="A53" s="604"/>
      <c r="B53" s="604"/>
      <c r="C53" s="604"/>
      <c r="D53" s="612"/>
      <c r="E53" s="612"/>
      <c r="F53" s="627"/>
      <c r="G53" s="604"/>
      <c r="H53" s="626">
        <f>SUM(H41:H52)</f>
        <v>-89384.273758431329</v>
      </c>
      <c r="I53" s="626"/>
      <c r="J53" s="626"/>
      <c r="K53" s="626"/>
    </row>
    <row r="54" spans="1:11" ht="15.5">
      <c r="A54" s="2"/>
      <c r="B54" s="2"/>
      <c r="C54" s="2"/>
      <c r="D54" s="2"/>
      <c r="E54" s="2"/>
      <c r="F54" s="2"/>
      <c r="G54" s="2"/>
      <c r="H54" s="2"/>
      <c r="I54" s="633"/>
      <c r="J54" s="2"/>
      <c r="K54" s="2"/>
    </row>
    <row r="55" spans="1:11" ht="15.5">
      <c r="A55" s="604" t="s">
        <v>571</v>
      </c>
      <c r="B55" s="2"/>
      <c r="C55" s="2"/>
      <c r="D55" s="2"/>
      <c r="E55" s="2"/>
      <c r="F55" s="2"/>
      <c r="G55" s="2"/>
      <c r="H55" s="2"/>
      <c r="I55" s="634">
        <f>(SUM(I41:I52)*-1)</f>
        <v>-3307682.3580298689</v>
      </c>
      <c r="J55" s="2"/>
      <c r="K55" s="2"/>
    </row>
    <row r="56" spans="1:11" ht="15.5">
      <c r="A56" s="604" t="s">
        <v>567</v>
      </c>
      <c r="B56" s="2"/>
      <c r="C56" s="2"/>
      <c r="D56" s="2"/>
      <c r="E56" s="2"/>
      <c r="F56" s="2"/>
      <c r="G56" s="2"/>
      <c r="H56" s="2"/>
      <c r="I56" s="635">
        <f>+H12</f>
        <v>2980340.9488066286</v>
      </c>
      <c r="J56" s="2"/>
      <c r="K56" s="2"/>
    </row>
    <row r="57" spans="1:11" ht="15.5">
      <c r="A57" s="604" t="s">
        <v>568</v>
      </c>
      <c r="B57" s="2"/>
      <c r="C57" s="2"/>
      <c r="D57" s="2"/>
      <c r="E57" s="2"/>
      <c r="F57" s="2"/>
      <c r="G57" s="2"/>
      <c r="H57" s="2"/>
      <c r="I57" s="634">
        <f>(I55+I56)</f>
        <v>-327341.40922324033</v>
      </c>
      <c r="J57" s="2"/>
      <c r="K57" s="2"/>
    </row>
    <row r="59" spans="1:11" ht="78.75" customHeight="1">
      <c r="A59" s="1267" t="s">
        <v>572</v>
      </c>
      <c r="B59" s="1267"/>
      <c r="C59" s="1267"/>
      <c r="D59" s="1267"/>
      <c r="E59" s="142"/>
      <c r="F59" s="142"/>
      <c r="G59" s="142"/>
      <c r="H59" s="142"/>
      <c r="I59" s="142"/>
      <c r="J59" s="142"/>
      <c r="K59" s="142"/>
    </row>
    <row r="60" spans="1:11">
      <c r="A60" s="636"/>
      <c r="F60" s="637"/>
      <c r="I60" s="638"/>
    </row>
    <row r="61" spans="1:11" ht="15.5">
      <c r="A61" s="639"/>
      <c r="B61" s="640"/>
      <c r="C61" s="640"/>
      <c r="D61" s="640"/>
      <c r="E61" s="640"/>
      <c r="F61" s="640"/>
      <c r="G61" s="640"/>
      <c r="H61" s="640"/>
      <c r="I61" s="641"/>
      <c r="J61" s="640"/>
      <c r="K61" s="640"/>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223"/>
  <sheetViews>
    <sheetView view="pageBreakPreview" topLeftCell="A13" zoomScaleNormal="75" zoomScaleSheetLayoutView="100" workbookViewId="0">
      <selection activeCell="E25" sqref="E25"/>
    </sheetView>
  </sheetViews>
  <sheetFormatPr defaultColWidth="9.1796875" defaultRowHeight="12.5"/>
  <cols>
    <col min="1" max="1" width="9.1796875" style="17"/>
    <col min="2" max="2" width="0.81640625" style="26" customWidth="1"/>
    <col min="3" max="3" width="41.54296875" style="17" customWidth="1"/>
    <col min="4" max="4" width="34.453125" style="17" bestFit="1" customWidth="1"/>
    <col min="5" max="5" width="23.1796875" style="17" customWidth="1"/>
    <col min="6" max="6" width="3.1796875" style="17" customWidth="1"/>
    <col min="7" max="7" width="24.54296875" style="17" customWidth="1"/>
    <col min="8" max="8" width="2.81640625" style="17" customWidth="1"/>
    <col min="9" max="9" width="20.81640625" style="17" customWidth="1"/>
    <col min="10" max="10" width="4.7265625" style="17" customWidth="1"/>
    <col min="11" max="11" width="18" style="17" bestFit="1" customWidth="1"/>
    <col min="12" max="12" width="20.453125" style="17" customWidth="1"/>
    <col min="13" max="15" width="9.1796875" style="17"/>
    <col min="16" max="16" width="10" style="17" bestFit="1" customWidth="1"/>
    <col min="17" max="17" width="17.7265625" style="17" customWidth="1"/>
    <col min="18" max="18" width="15.54296875" style="17" bestFit="1" customWidth="1"/>
    <col min="19" max="16384" width="9.1796875" style="17"/>
  </cols>
  <sheetData>
    <row r="1" spans="1:15" ht="15.5">
      <c r="A1" s="694" t="s">
        <v>116</v>
      </c>
    </row>
    <row r="2" spans="1:15" ht="15.5">
      <c r="A2" s="694" t="s">
        <v>116</v>
      </c>
    </row>
    <row r="3" spans="1:15" ht="15.5">
      <c r="A3" s="1176" t="s">
        <v>389</v>
      </c>
      <c r="B3" s="1176"/>
      <c r="C3" s="1176"/>
      <c r="D3" s="1176"/>
      <c r="E3" s="1176"/>
      <c r="F3" s="1176"/>
      <c r="G3" s="1176"/>
      <c r="H3" s="1176"/>
      <c r="I3" s="1176"/>
      <c r="J3" s="30"/>
      <c r="K3" s="30"/>
    </row>
    <row r="4" spans="1:15" ht="15.5">
      <c r="A4" s="1177" t="str">
        <f>"Cost of Service Formula Rate Using Actual/Projected FF1 Balances"</f>
        <v>Cost of Service Formula Rate Using Actual/Projected FF1 Balances</v>
      </c>
      <c r="B4" s="1177"/>
      <c r="C4" s="1177"/>
      <c r="D4" s="1177"/>
      <c r="E4" s="1177"/>
      <c r="F4" s="1177"/>
      <c r="G4" s="1177"/>
      <c r="H4" s="1177"/>
      <c r="I4" s="1177"/>
      <c r="J4" s="76"/>
      <c r="K4" s="76"/>
    </row>
    <row r="5" spans="1:15" ht="15.5">
      <c r="A5" s="1177" t="s">
        <v>473</v>
      </c>
      <c r="B5" s="1177"/>
      <c r="C5" s="1177"/>
      <c r="D5" s="1177"/>
      <c r="E5" s="1177"/>
      <c r="F5" s="1177"/>
      <c r="G5" s="1177"/>
      <c r="H5" s="1177"/>
      <c r="I5" s="1177"/>
      <c r="J5" s="75"/>
      <c r="K5" s="75"/>
    </row>
    <row r="6" spans="1:15" ht="15.5">
      <c r="A6" s="1188" t="str">
        <f>TCOS!F9</f>
        <v>KENTUCKY POWER COMPANY</v>
      </c>
      <c r="B6" s="1188"/>
      <c r="C6" s="1188"/>
      <c r="D6" s="1188"/>
      <c r="E6" s="1188"/>
      <c r="F6" s="1188"/>
      <c r="G6" s="1188"/>
      <c r="H6" s="1188"/>
      <c r="I6" s="1188"/>
      <c r="J6" s="3"/>
      <c r="K6" s="3"/>
      <c r="L6"/>
      <c r="M6"/>
    </row>
    <row r="7" spans="1:15" ht="13">
      <c r="C7" s="24"/>
      <c r="D7" s="24"/>
    </row>
    <row r="8" spans="1:15" ht="13">
      <c r="C8" s="5" t="s">
        <v>164</v>
      </c>
      <c r="D8" s="5" t="s">
        <v>165</v>
      </c>
      <c r="E8" s="5" t="s">
        <v>166</v>
      </c>
      <c r="G8" s="5" t="s">
        <v>167</v>
      </c>
      <c r="I8" s="5" t="s">
        <v>85</v>
      </c>
      <c r="J8" s="5"/>
      <c r="K8" s="5"/>
      <c r="L8" s="5"/>
      <c r="M8"/>
      <c r="N8"/>
      <c r="O8"/>
    </row>
    <row r="9" spans="1:15" ht="13">
      <c r="A9" s="74"/>
      <c r="I9" s="10"/>
      <c r="J9"/>
      <c r="K9"/>
      <c r="L9"/>
      <c r="M9"/>
      <c r="N9"/>
      <c r="O9"/>
    </row>
    <row r="10" spans="1:15" ht="12.75" customHeight="1">
      <c r="A10" s="9" t="s">
        <v>171</v>
      </c>
      <c r="C10" s="25"/>
      <c r="D10" s="25"/>
      <c r="E10" s="1186" t="str">
        <f>"Balance @ December 31, "&amp;TCOS!L4&amp;""</f>
        <v>Balance @ December 31, 2024</v>
      </c>
      <c r="F10" s="112"/>
      <c r="G10" s="1186" t="str">
        <f>"Balance @ December 31, "&amp;TCOS!L4-1&amp;""</f>
        <v>Balance @ December 31, 2023</v>
      </c>
      <c r="H10" s="112"/>
      <c r="I10" s="1189" t="str">
        <f>"Average Balance for "&amp;TCOS!L4&amp;""</f>
        <v>Average Balance for 2024</v>
      </c>
      <c r="J10"/>
      <c r="K10"/>
      <c r="L10"/>
      <c r="M10"/>
      <c r="N10"/>
      <c r="O10"/>
    </row>
    <row r="11" spans="1:15" ht="13">
      <c r="A11" s="9" t="s">
        <v>107</v>
      </c>
      <c r="B11" s="8"/>
      <c r="C11" s="9" t="s">
        <v>169</v>
      </c>
      <c r="D11" s="9" t="s">
        <v>208</v>
      </c>
      <c r="E11" s="1187"/>
      <c r="F11" s="69"/>
      <c r="G11" s="1187"/>
      <c r="H11" s="194"/>
      <c r="I11" s="1187"/>
      <c r="J11"/>
      <c r="K11"/>
      <c r="L11"/>
      <c r="M11"/>
      <c r="N11"/>
      <c r="O11"/>
    </row>
    <row r="12" spans="1:15" ht="13">
      <c r="A12" s="74"/>
      <c r="C12" s="24"/>
      <c r="D12" s="24"/>
      <c r="G12" s="205"/>
    </row>
    <row r="13" spans="1:15" ht="13">
      <c r="A13" s="74"/>
      <c r="C13" s="24"/>
      <c r="D13" s="24"/>
    </row>
    <row r="14" spans="1:15" ht="13">
      <c r="A14" s="74"/>
      <c r="C14" s="24"/>
      <c r="D14" s="24"/>
    </row>
    <row r="15" spans="1:15" ht="15.5">
      <c r="A15" s="74">
        <v>1</v>
      </c>
      <c r="C15" s="42" t="s">
        <v>511</v>
      </c>
      <c r="D15" s="42"/>
    </row>
    <row r="16" spans="1:15" ht="15.5">
      <c r="A16" s="74"/>
      <c r="C16" s="42"/>
      <c r="D16" s="42"/>
      <c r="H16"/>
    </row>
    <row r="17" spans="1:17">
      <c r="A17" s="74">
        <f>+A15+1</f>
        <v>2</v>
      </c>
      <c r="C17" s="50" t="s">
        <v>517</v>
      </c>
      <c r="D17" s="68" t="s">
        <v>519</v>
      </c>
      <c r="E17" s="689">
        <v>42733166.539346226</v>
      </c>
      <c r="G17" s="689">
        <v>42574977.86554262</v>
      </c>
      <c r="H17"/>
      <c r="I17" s="109">
        <f>IF(G17="",0,(E17+G17)/2)</f>
        <v>42654072.202444419</v>
      </c>
    </row>
    <row r="18" spans="1:17">
      <c r="A18" s="74">
        <f>+A17+1</f>
        <v>3</v>
      </c>
      <c r="C18" s="50" t="s">
        <v>521</v>
      </c>
      <c r="D18" s="74" t="str">
        <f>"WS B-1 - Actual Stmt. AF Ln. " &amp;'WS B-1 - Actual Stmt. AF'!A24&amp;" (Note 1)"</f>
        <v>WS B-1 - Actual Stmt. AF Ln. 4 (Note 1)</v>
      </c>
      <c r="E18" s="689">
        <v>0</v>
      </c>
      <c r="G18" s="689">
        <v>0</v>
      </c>
      <c r="H18"/>
      <c r="I18" s="109">
        <f>IF(G18="",0,(E18+G18)/2)</f>
        <v>0</v>
      </c>
    </row>
    <row r="19" spans="1:17" ht="14">
      <c r="A19" s="74">
        <f>+A18+1</f>
        <v>4</v>
      </c>
      <c r="C19" s="50" t="s">
        <v>522</v>
      </c>
      <c r="D19" s="74" t="str">
        <f>"WS B-1 - Actual Stmt. AF Ln. " &amp;'WS B-1 - Actual Stmt. AF'!A23&amp;" (Note 1)"</f>
        <v>WS B-1 - Actual Stmt. AF Ln. 3 (Note 1)</v>
      </c>
      <c r="E19" s="690">
        <v>42733166.539346226</v>
      </c>
      <c r="G19" s="690">
        <v>42574977.86554262</v>
      </c>
      <c r="I19" s="177">
        <f>IF(G19="",0,(E19+G19)/2)</f>
        <v>42654072.202444419</v>
      </c>
    </row>
    <row r="20" spans="1:17">
      <c r="A20" s="74">
        <f>+A19+1</f>
        <v>5</v>
      </c>
      <c r="C20" s="50" t="s">
        <v>518</v>
      </c>
      <c r="D20" s="113" t="str">
        <f>"Ln "&amp;A17&amp;" - ln "&amp;A18&amp;" - ln "&amp;A19&amp;""</f>
        <v>Ln 2 - ln 3 - ln 4</v>
      </c>
      <c r="E20" s="18">
        <f>+E17-E18-E19</f>
        <v>0</v>
      </c>
      <c r="G20" s="18">
        <f>+G17-G18-G19</f>
        <v>0</v>
      </c>
      <c r="I20" s="109">
        <f>+I17-I18-I19</f>
        <v>0</v>
      </c>
    </row>
    <row r="21" spans="1:17">
      <c r="A21" s="74"/>
      <c r="C21" s="50"/>
      <c r="D21" s="113"/>
    </row>
    <row r="22" spans="1:17">
      <c r="A22" s="74"/>
      <c r="C22" s="50"/>
      <c r="D22" s="113"/>
      <c r="K22" s="18"/>
      <c r="L22" s="18"/>
      <c r="M22" s="18"/>
      <c r="N22" s="18"/>
      <c r="O22" s="18"/>
    </row>
    <row r="23" spans="1:17" ht="15.5">
      <c r="A23" s="74">
        <f>+A20+1</f>
        <v>6</v>
      </c>
      <c r="C23" s="42" t="s">
        <v>512</v>
      </c>
      <c r="D23" s="113"/>
      <c r="K23" s="18"/>
      <c r="L23" s="18"/>
      <c r="M23" s="18"/>
      <c r="N23" s="18"/>
      <c r="O23" s="18"/>
    </row>
    <row r="24" spans="1:17">
      <c r="A24" s="74"/>
      <c r="C24" s="50"/>
      <c r="D24" s="113"/>
      <c r="K24" s="18"/>
      <c r="L24" s="18"/>
      <c r="M24" s="18"/>
      <c r="N24" s="18"/>
      <c r="O24" s="18"/>
    </row>
    <row r="25" spans="1:17">
      <c r="A25" s="74">
        <f>+A23+1</f>
        <v>7</v>
      </c>
      <c r="C25" s="50" t="s">
        <v>517</v>
      </c>
      <c r="D25" s="68" t="s">
        <v>451</v>
      </c>
      <c r="E25" s="689">
        <v>327110390.46875232</v>
      </c>
      <c r="G25" s="689">
        <v>325899500.58985728</v>
      </c>
      <c r="H25"/>
      <c r="I25" s="109">
        <f>IF(G25="",0,(E25+G25)/2)</f>
        <v>326504945.5293048</v>
      </c>
      <c r="K25" s="18"/>
      <c r="L25" s="18"/>
      <c r="M25" s="18"/>
      <c r="N25" s="18"/>
      <c r="O25" s="18"/>
    </row>
    <row r="26" spans="1:17">
      <c r="A26" s="74">
        <f>+A25+1</f>
        <v>8</v>
      </c>
      <c r="C26" s="50" t="s">
        <v>521</v>
      </c>
      <c r="D26" s="74" t="str">
        <f>"WS B-1 - Actual Stmt. AF Ln. " &amp;'WS B-1 - Actual Stmt. AF'!A72&amp;" (Note 1)"</f>
        <v>WS B-1 - Actual Stmt. AF Ln. 7 (Note 1)</v>
      </c>
      <c r="E26" s="689">
        <v>8242647.3700000001</v>
      </c>
      <c r="G26" s="689">
        <v>8242647.3700000001</v>
      </c>
      <c r="H26"/>
      <c r="I26" s="109">
        <f>IF(G26="",0,(E26+G26)/2)</f>
        <v>8242647.3700000001</v>
      </c>
      <c r="K26" s="18"/>
      <c r="L26" s="18"/>
      <c r="M26" s="18"/>
      <c r="N26" s="18"/>
      <c r="O26" s="18"/>
    </row>
    <row r="27" spans="1:17" ht="14">
      <c r="A27" s="74">
        <f>+A26+1</f>
        <v>9</v>
      </c>
      <c r="C27" s="50" t="s">
        <v>522</v>
      </c>
      <c r="D27" s="74" t="str">
        <f>"WS B-1 - Actual Stmt. AF Ln. " &amp;'WS B-1 - Actual Stmt. AF'!A71&amp;" (Note 1)"</f>
        <v>WS B-1 - Actual Stmt. AF Ln. 6 (Note 1)</v>
      </c>
      <c r="E27" s="690">
        <v>225909002.36719179</v>
      </c>
      <c r="G27" s="690">
        <v>224910282.10072738</v>
      </c>
      <c r="I27" s="177">
        <f>IF(G27="",0,(E27+G27)/2)</f>
        <v>225409642.23395959</v>
      </c>
      <c r="K27" s="18"/>
      <c r="L27" s="18"/>
      <c r="M27" s="18"/>
      <c r="N27" s="18"/>
      <c r="O27" s="18"/>
    </row>
    <row r="28" spans="1:17">
      <c r="A28" s="74">
        <f>+A27+1</f>
        <v>10</v>
      </c>
      <c r="C28" s="50" t="s">
        <v>518</v>
      </c>
      <c r="D28" s="113" t="str">
        <f>"Ln "&amp;A25&amp;" - ln "&amp;A26&amp;" - ln "&amp;A27&amp;""</f>
        <v>Ln 7 - ln 8 - ln 9</v>
      </c>
      <c r="E28" s="18">
        <f>+E25-E26-E27</f>
        <v>92958740.731560528</v>
      </c>
      <c r="G28" s="18">
        <f>+G25-G26-G27</f>
        <v>92746571.119129896</v>
      </c>
      <c r="I28" s="109">
        <f>+I25-I26-I27</f>
        <v>92852655.925345212</v>
      </c>
      <c r="K28" s="18"/>
      <c r="L28" s="18"/>
      <c r="M28" s="18"/>
      <c r="N28" s="18"/>
      <c r="O28" s="18"/>
    </row>
    <row r="29" spans="1:17">
      <c r="A29" s="74"/>
      <c r="C29" s="50"/>
      <c r="D29" s="113"/>
      <c r="K29" s="18"/>
      <c r="L29" s="18"/>
      <c r="M29" s="18"/>
      <c r="N29" s="18"/>
      <c r="O29" s="18"/>
      <c r="P29" s="18"/>
      <c r="Q29" s="18"/>
    </row>
    <row r="30" spans="1:17">
      <c r="A30" s="74"/>
      <c r="C30" s="50"/>
      <c r="D30" s="113"/>
      <c r="E30" s="18"/>
      <c r="G30" s="18"/>
      <c r="K30" s="18"/>
      <c r="L30" s="18"/>
      <c r="M30" s="18"/>
      <c r="N30" s="18"/>
      <c r="O30" s="18"/>
      <c r="P30" s="18"/>
      <c r="Q30" s="18"/>
    </row>
    <row r="31" spans="1:17" ht="15.5">
      <c r="A31" s="74">
        <f>+A28+1</f>
        <v>11</v>
      </c>
      <c r="C31" s="42" t="s">
        <v>513</v>
      </c>
      <c r="D31" s="113"/>
      <c r="K31" s="18"/>
      <c r="L31" s="18"/>
      <c r="M31" s="18"/>
      <c r="N31" s="18"/>
      <c r="O31" s="18"/>
      <c r="P31" s="18"/>
      <c r="Q31" s="18"/>
    </row>
    <row r="32" spans="1:17" ht="15.5">
      <c r="A32" s="74"/>
      <c r="C32" s="42"/>
      <c r="D32" s="113"/>
      <c r="K32" s="18"/>
      <c r="L32" s="18"/>
      <c r="M32" s="18"/>
      <c r="N32" s="18"/>
      <c r="O32" s="18"/>
      <c r="P32" s="18"/>
      <c r="Q32" s="18"/>
    </row>
    <row r="33" spans="1:17">
      <c r="A33" s="74">
        <f>+A31+1</f>
        <v>12</v>
      </c>
      <c r="C33" s="50" t="s">
        <v>517</v>
      </c>
      <c r="D33" s="68" t="s">
        <v>520</v>
      </c>
      <c r="E33" s="689">
        <v>117211927.41311952</v>
      </c>
      <c r="G33" s="689">
        <v>116785013.88207915</v>
      </c>
      <c r="H33"/>
      <c r="I33" s="109">
        <f>IF(G33="",0,(E33+G33)/2)</f>
        <v>116998470.64759934</v>
      </c>
      <c r="K33" s="18"/>
      <c r="L33" s="18"/>
      <c r="M33" s="18"/>
      <c r="N33" s="18"/>
      <c r="O33" s="18"/>
      <c r="P33" s="18"/>
      <c r="Q33" s="18"/>
    </row>
    <row r="34" spans="1:17">
      <c r="A34" s="74">
        <f>+A33+1</f>
        <v>13</v>
      </c>
      <c r="C34" s="50" t="s">
        <v>521</v>
      </c>
      <c r="D34" s="74" t="str">
        <f>"WS B-1 - Actual Stmt. AF Ln. " &amp;'WS B-1 - Actual Stmt. AF'!A184&amp;" (Note 1)"</f>
        <v>WS B-1 - Actual Stmt. AF Ln. 13 (Note 1)</v>
      </c>
      <c r="E34" s="689">
        <v>24214137.550000001</v>
      </c>
      <c r="G34" s="689">
        <v>24214137.550000001</v>
      </c>
      <c r="H34"/>
      <c r="I34" s="109">
        <f>IF(G34="",0,(E34+G34)/2)</f>
        <v>24214137.550000001</v>
      </c>
      <c r="K34" s="831"/>
      <c r="L34" s="831"/>
      <c r="M34" s="831"/>
      <c r="N34" s="831"/>
      <c r="O34" s="831"/>
    </row>
    <row r="35" spans="1:17" ht="14">
      <c r="A35" s="74">
        <f>+A34+1</f>
        <v>14</v>
      </c>
      <c r="C35" s="50" t="s">
        <v>522</v>
      </c>
      <c r="D35" s="74" t="str">
        <f>"WS B-1 - Actual Stmt. AF Ln. " &amp;'WS B-1 - Actual Stmt. AF'!A183&amp;" (Note 1)"</f>
        <v>WS B-1 - Actual Stmt. AF Ln. 12 (Note 1)</v>
      </c>
      <c r="E35" s="690">
        <v>92837938.135149643</v>
      </c>
      <c r="G35" s="690">
        <v>92411616.339636981</v>
      </c>
      <c r="I35" s="177">
        <f>IF(G35="",0,(E35+G35)/2)</f>
        <v>92624777.23739332</v>
      </c>
    </row>
    <row r="36" spans="1:17">
      <c r="A36" s="74">
        <f>+A35+1</f>
        <v>15</v>
      </c>
      <c r="C36" s="50" t="s">
        <v>518</v>
      </c>
      <c r="D36" s="113" t="str">
        <f>"Ln "&amp;A33&amp;" - ln "&amp;A34&amp;" - ln "&amp;A35&amp;""</f>
        <v>Ln 12 - ln 13 - ln 14</v>
      </c>
      <c r="E36" s="18">
        <f>+E33-E34-E35</f>
        <v>159851.72796988487</v>
      </c>
      <c r="G36" s="18">
        <f>+G33-G34-G35</f>
        <v>159259.99244217575</v>
      </c>
      <c r="I36" s="109">
        <f>+I33-I34-I35</f>
        <v>159555.86020602286</v>
      </c>
    </row>
    <row r="37" spans="1:17" ht="15.5">
      <c r="A37" s="74"/>
      <c r="C37" s="42"/>
      <c r="D37" s="113"/>
      <c r="K37" s="18"/>
      <c r="L37" s="18"/>
      <c r="M37" s="18"/>
      <c r="N37" s="18"/>
      <c r="O37" s="18"/>
      <c r="P37" s="18"/>
    </row>
    <row r="38" spans="1:17">
      <c r="A38" s="74"/>
      <c r="C38" s="50"/>
      <c r="D38" s="113"/>
      <c r="K38" s="18"/>
      <c r="L38" s="18"/>
      <c r="M38" s="18"/>
      <c r="N38" s="18"/>
      <c r="O38" s="18"/>
      <c r="P38" s="18"/>
    </row>
    <row r="39" spans="1:17" ht="15.5">
      <c r="A39" s="74">
        <f>+A36+1</f>
        <v>16</v>
      </c>
      <c r="C39" s="42" t="s">
        <v>514</v>
      </c>
      <c r="D39" s="113"/>
      <c r="K39" s="18"/>
      <c r="L39" s="18"/>
      <c r="M39" s="18"/>
      <c r="N39" s="18"/>
      <c r="O39" s="18"/>
      <c r="P39" s="18"/>
    </row>
    <row r="40" spans="1:17">
      <c r="A40" s="74"/>
      <c r="C40" s="50"/>
      <c r="D40" s="113"/>
      <c r="K40" s="18"/>
      <c r="L40" s="18"/>
      <c r="M40" s="18"/>
      <c r="N40" s="18"/>
      <c r="O40" s="18"/>
      <c r="P40" s="18"/>
    </row>
    <row r="41" spans="1:17">
      <c r="A41" s="74">
        <f>+A39+1</f>
        <v>17</v>
      </c>
      <c r="C41" s="50" t="s">
        <v>517</v>
      </c>
      <c r="D41" s="68" t="s">
        <v>516</v>
      </c>
      <c r="E41" s="689">
        <v>32978742.000999995</v>
      </c>
      <c r="G41" s="689">
        <v>32133252.000999995</v>
      </c>
      <c r="H41"/>
      <c r="I41" s="109">
        <f>IF(G41="",0,(E41+G41)/2)</f>
        <v>32555997.000999995</v>
      </c>
      <c r="K41" s="18"/>
      <c r="L41" s="18"/>
      <c r="M41" s="18"/>
      <c r="N41" s="18"/>
      <c r="O41" s="18"/>
    </row>
    <row r="42" spans="1:17">
      <c r="A42" s="74">
        <f>+A41+1</f>
        <v>18</v>
      </c>
      <c r="C42" s="50" t="s">
        <v>521</v>
      </c>
      <c r="D42" s="74" t="str">
        <f>"WS B-2 - Actual Stmt. AG Ln. " &amp;'WS B-2 - Actual Stmt. AG'!A110&amp;" (Note 1)"</f>
        <v>WS B-2 - Actual Stmt. AG Ln. 4 (Note 1)</v>
      </c>
      <c r="E42" s="689">
        <v>3880122.01</v>
      </c>
      <c r="G42" s="689">
        <v>3880122.01</v>
      </c>
      <c r="H42"/>
      <c r="I42" s="109">
        <f>IF(G42="",0,(E42+G42)/2)</f>
        <v>3880122.01</v>
      </c>
      <c r="K42" s="18"/>
      <c r="L42" s="18"/>
      <c r="M42" s="18"/>
      <c r="N42" s="18"/>
      <c r="O42" s="18"/>
    </row>
    <row r="43" spans="1:17" ht="14">
      <c r="A43" s="74">
        <f>+A42+1</f>
        <v>19</v>
      </c>
      <c r="C43" s="50" t="s">
        <v>522</v>
      </c>
      <c r="D43" s="74" t="str">
        <f>"WS B-2 - Actual Stmt. AG Ln. " &amp;'WS B-2 - Actual Stmt. AG'!A109&amp;" (Note 1)"</f>
        <v>WS B-2 - Actual Stmt. AG Ln. 3 (Note 1)</v>
      </c>
      <c r="E43" s="690">
        <v>17524339.15285787</v>
      </c>
      <c r="G43" s="690">
        <v>12062370.852148505</v>
      </c>
      <c r="I43" s="177">
        <f>IF(G43="",0,(E43+G43)/2)</f>
        <v>14793355.002503186</v>
      </c>
      <c r="K43" s="18"/>
      <c r="L43" s="18"/>
      <c r="M43" s="18"/>
      <c r="N43" s="18"/>
      <c r="O43" s="18"/>
    </row>
    <row r="44" spans="1:17">
      <c r="A44" s="74">
        <f>+A43+1</f>
        <v>20</v>
      </c>
      <c r="C44" s="50" t="s">
        <v>518</v>
      </c>
      <c r="D44" s="113" t="str">
        <f>"Ln "&amp;A41&amp;" - ln "&amp;A42&amp;" - ln "&amp;A43&amp;""</f>
        <v>Ln 17 - ln 18 - ln 19</v>
      </c>
      <c r="E44" s="18">
        <f>+E41-E42-E43-1000</f>
        <v>11573280.838142127</v>
      </c>
      <c r="G44" s="18">
        <f>+G41-G42-G43</f>
        <v>16190759.138851492</v>
      </c>
      <c r="I44" s="109">
        <f>+I41-I42-I43</f>
        <v>13882519.98849681</v>
      </c>
    </row>
    <row r="45" spans="1:17">
      <c r="A45" s="74"/>
      <c r="C45" s="50"/>
      <c r="D45" s="113"/>
    </row>
    <row r="46" spans="1:17">
      <c r="A46" s="74"/>
      <c r="C46" s="50"/>
      <c r="D46" s="113"/>
    </row>
    <row r="47" spans="1:17" ht="15.5">
      <c r="A47" s="74">
        <f>+A44+1</f>
        <v>21</v>
      </c>
      <c r="C47" s="42" t="s">
        <v>515</v>
      </c>
      <c r="D47" s="113"/>
    </row>
    <row r="48" spans="1:17">
      <c r="A48" s="74"/>
      <c r="C48" s="50"/>
      <c r="D48" s="113"/>
      <c r="G48" s="1085"/>
      <c r="K48" s="18"/>
      <c r="L48" s="18"/>
      <c r="M48" s="18"/>
      <c r="N48" s="18"/>
      <c r="O48" s="18"/>
    </row>
    <row r="49" spans="1:15">
      <c r="A49" s="74">
        <f>+A47+1</f>
        <v>22</v>
      </c>
      <c r="C49" s="50" t="s">
        <v>523</v>
      </c>
      <c r="D49" s="68" t="s">
        <v>472</v>
      </c>
      <c r="E49" s="689">
        <v>0</v>
      </c>
      <c r="G49" s="689">
        <v>0</v>
      </c>
      <c r="H49"/>
      <c r="I49" s="109">
        <f>IF(G49="",0,(E49+G49)/2)</f>
        <v>0</v>
      </c>
      <c r="K49" s="18"/>
      <c r="L49" s="18"/>
      <c r="M49" s="18"/>
      <c r="N49" s="18"/>
      <c r="O49" s="18"/>
    </row>
    <row r="50" spans="1:15" ht="14">
      <c r="A50" s="74">
        <f>+A49+1</f>
        <v>23</v>
      </c>
      <c r="C50" s="50" t="s">
        <v>524</v>
      </c>
      <c r="D50" s="74" t="s">
        <v>68</v>
      </c>
      <c r="E50" s="690">
        <v>0</v>
      </c>
      <c r="G50" s="690">
        <v>0</v>
      </c>
      <c r="H50"/>
      <c r="I50" s="177">
        <f>IF(G50="",0,(E50+G50)/2)</f>
        <v>0</v>
      </c>
      <c r="K50" s="18"/>
      <c r="L50" s="18"/>
      <c r="M50" s="18"/>
      <c r="N50" s="18"/>
      <c r="O50" s="18"/>
    </row>
    <row r="51" spans="1:15">
      <c r="A51" s="74">
        <f>+A50+1</f>
        <v>24</v>
      </c>
      <c r="C51" s="50" t="s">
        <v>390</v>
      </c>
      <c r="D51" s="113" t="str">
        <f>"Ln "&amp;A49&amp;" - ln "&amp;A50&amp;""</f>
        <v>Ln 22 - ln 23</v>
      </c>
      <c r="E51" s="18">
        <f>+E49-E50</f>
        <v>0</v>
      </c>
      <c r="G51" s="18">
        <f>+G49-G50</f>
        <v>0</v>
      </c>
      <c r="H51"/>
      <c r="I51" s="109">
        <f>+I49-I50</f>
        <v>0</v>
      </c>
      <c r="K51" s="18"/>
      <c r="L51" s="18"/>
      <c r="M51" s="18"/>
      <c r="N51" s="18"/>
      <c r="O51" s="18"/>
    </row>
    <row r="52" spans="1:15">
      <c r="A52" s="74">
        <f>+A51+1</f>
        <v>25</v>
      </c>
      <c r="C52" s="50" t="s">
        <v>518</v>
      </c>
      <c r="D52" s="74" t="str">
        <f>"WS B-1 - Actual Stmt. AF Ln. " &amp;'WS B-1 - Actual Stmt. AF'!A197&amp;" (Note 1)"</f>
        <v>WS B-1 - Actual Stmt. AF Ln. 20 (Note 1)</v>
      </c>
      <c r="E52" s="651">
        <v>0</v>
      </c>
      <c r="G52" s="651">
        <v>0</v>
      </c>
      <c r="H52"/>
      <c r="I52" s="109">
        <f>IF(G52="",0,(E52+G52)/2)</f>
        <v>0</v>
      </c>
      <c r="K52" s="18"/>
      <c r="L52" s="18"/>
      <c r="M52" s="18"/>
      <c r="N52" s="18"/>
      <c r="O52" s="18"/>
    </row>
    <row r="53" spans="1:15">
      <c r="A53" s="74"/>
      <c r="C53" s="50"/>
      <c r="D53" s="50"/>
      <c r="K53" s="18"/>
      <c r="L53" s="18"/>
      <c r="M53" s="18"/>
      <c r="N53" s="18"/>
      <c r="O53" s="18"/>
    </row>
    <row r="54" spans="1:15">
      <c r="A54" s="56" t="s">
        <v>69</v>
      </c>
      <c r="C54" s="1185" t="s">
        <v>825</v>
      </c>
      <c r="D54" s="1185"/>
      <c r="E54" s="1185"/>
      <c r="F54" s="1185"/>
      <c r="G54" s="1185"/>
      <c r="H54" s="1185"/>
      <c r="I54" s="1185"/>
    </row>
    <row r="55" spans="1:15">
      <c r="A55" s="56"/>
      <c r="C55" s="1185"/>
      <c r="D55" s="1185"/>
      <c r="E55" s="1185"/>
      <c r="F55" s="1185"/>
      <c r="G55" s="1185"/>
      <c r="H55" s="1185"/>
      <c r="I55" s="1185"/>
    </row>
    <row r="56" spans="1:15">
      <c r="A56" s="74"/>
      <c r="C56" s="50"/>
      <c r="D56" s="50"/>
    </row>
    <row r="57" spans="1:15">
      <c r="A57" s="74" t="s">
        <v>70</v>
      </c>
      <c r="B57" s="26" t="s">
        <v>71</v>
      </c>
      <c r="C57" s="50"/>
      <c r="D57" s="50"/>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row>
    <row r="61" spans="1:15">
      <c r="B61" s="4"/>
      <c r="C61" s="4"/>
      <c r="D61" s="4"/>
      <c r="E61" s="4"/>
      <c r="F61" s="4"/>
      <c r="G61" s="4"/>
      <c r="H61" s="4"/>
      <c r="I61" s="4"/>
      <c r="J61" s="4"/>
      <c r="K61" s="4"/>
    </row>
    <row r="62" spans="1:15">
      <c r="B62" s="4"/>
      <c r="C62" s="4"/>
      <c r="D62" s="4"/>
      <c r="E62" s="4"/>
      <c r="F62" s="4"/>
      <c r="G62" s="4"/>
      <c r="H62" s="4"/>
      <c r="I62" s="4"/>
      <c r="J62" s="4"/>
      <c r="K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row r="67" spans="2:12">
      <c r="B67" s="4"/>
      <c r="C67" s="4"/>
      <c r="D67" s="4"/>
      <c r="E67" s="4"/>
      <c r="F67" s="4"/>
      <c r="G67" s="4"/>
      <c r="H67" s="4"/>
      <c r="I67" s="4"/>
      <c r="J67" s="4"/>
      <c r="K67" s="4"/>
      <c r="L67" s="4"/>
    </row>
    <row r="68" spans="2:12">
      <c r="B68" s="4"/>
      <c r="C68" s="4"/>
      <c r="D68" s="4"/>
      <c r="E68" s="4"/>
      <c r="F68" s="4"/>
      <c r="G68" s="4"/>
      <c r="H68" s="4"/>
      <c r="I68" s="4"/>
      <c r="J68" s="4"/>
      <c r="K68" s="4"/>
      <c r="L68" s="4"/>
    </row>
    <row r="69" spans="2:12">
      <c r="B69" s="4"/>
      <c r="C69" s="4"/>
      <c r="D69" s="4"/>
      <c r="E69" s="4"/>
      <c r="F69" s="4"/>
      <c r="G69" s="4"/>
      <c r="H69" s="4"/>
      <c r="I69" s="4"/>
      <c r="J69" s="4"/>
      <c r="K69" s="4"/>
      <c r="L69" s="4"/>
    </row>
    <row r="70" spans="2:12">
      <c r="B70" s="4"/>
      <c r="C70" s="4"/>
      <c r="D70" s="4"/>
      <c r="E70" s="4"/>
      <c r="F70" s="4"/>
      <c r="G70" s="4"/>
      <c r="H70" s="4"/>
      <c r="I70" s="4"/>
      <c r="J70" s="4"/>
      <c r="K70" s="4"/>
      <c r="L70" s="4"/>
    </row>
    <row r="71" spans="2:12">
      <c r="B71" s="4"/>
      <c r="C71" s="4"/>
      <c r="D71" s="4"/>
      <c r="E71" s="4"/>
      <c r="F71" s="4"/>
      <c r="G71" s="4"/>
      <c r="H71" s="4"/>
      <c r="I71" s="4"/>
      <c r="J71" s="4"/>
      <c r="K71" s="4"/>
      <c r="L71" s="4"/>
    </row>
    <row r="72" spans="2:12">
      <c r="B72" s="4"/>
      <c r="C72" s="4"/>
      <c r="D72" s="4"/>
      <c r="E72" s="4"/>
      <c r="F72" s="4"/>
      <c r="G72" s="4"/>
      <c r="H72" s="4"/>
      <c r="I72" s="4"/>
      <c r="J72" s="4"/>
      <c r="K72" s="4"/>
      <c r="L72" s="4"/>
    </row>
    <row r="73" spans="2:12">
      <c r="B73" s="4"/>
      <c r="C73" s="4"/>
      <c r="D73" s="4"/>
      <c r="E73" s="4"/>
      <c r="F73" s="4"/>
      <c r="G73" s="4"/>
      <c r="H73" s="4"/>
      <c r="I73" s="4"/>
      <c r="J73" s="4"/>
      <c r="K73" s="4"/>
      <c r="L73" s="4"/>
    </row>
    <row r="74" spans="2:12">
      <c r="B74" s="4"/>
      <c r="C74" s="4"/>
      <c r="D74" s="4"/>
      <c r="E74" s="4"/>
      <c r="F74" s="4"/>
      <c r="G74" s="4"/>
      <c r="H74" s="4"/>
      <c r="I74" s="4"/>
      <c r="J74" s="4"/>
      <c r="K74" s="4"/>
      <c r="L74" s="4"/>
    </row>
    <row r="75" spans="2:12">
      <c r="B75" s="4"/>
      <c r="C75" s="4"/>
      <c r="D75" s="4"/>
      <c r="E75" s="4"/>
      <c r="F75" s="4"/>
      <c r="G75" s="4"/>
      <c r="H75" s="4"/>
      <c r="I75" s="4"/>
      <c r="J75" s="4"/>
      <c r="K75" s="4"/>
      <c r="L75" s="4"/>
    </row>
    <row r="76" spans="2:12">
      <c r="B76" s="4"/>
      <c r="C76" s="4"/>
      <c r="D76" s="4"/>
      <c r="E76" s="4"/>
      <c r="F76" s="4"/>
      <c r="G76" s="4"/>
      <c r="H76" s="4"/>
      <c r="I76" s="4"/>
      <c r="J76" s="4"/>
      <c r="K76" s="4"/>
      <c r="L76" s="4"/>
    </row>
    <row r="77" spans="2:12">
      <c r="B77" s="4"/>
      <c r="C77" s="4"/>
      <c r="D77" s="4"/>
      <c r="E77" s="4"/>
      <c r="F77" s="4"/>
      <c r="G77" s="4"/>
      <c r="H77" s="4"/>
      <c r="I77" s="4"/>
      <c r="J77" s="4"/>
      <c r="K77" s="4"/>
      <c r="L77" s="4"/>
    </row>
    <row r="78" spans="2:12">
      <c r="B78" s="4"/>
      <c r="C78" s="4"/>
      <c r="D78" s="4"/>
      <c r="E78" s="4"/>
      <c r="F78" s="4"/>
      <c r="G78" s="4"/>
      <c r="H78" s="4"/>
      <c r="I78" s="4"/>
      <c r="J78" s="4"/>
      <c r="K78" s="4"/>
      <c r="L78" s="4"/>
    </row>
    <row r="79" spans="2:12">
      <c r="B79" s="4"/>
      <c r="C79" s="4"/>
      <c r="D79" s="4"/>
      <c r="E79" s="4"/>
      <c r="F79" s="4"/>
      <c r="G79" s="4"/>
      <c r="H79" s="4"/>
      <c r="I79" s="4"/>
      <c r="J79" s="4"/>
      <c r="K79" s="4"/>
      <c r="L79" s="4"/>
    </row>
    <row r="80" spans="2:12">
      <c r="B80" s="4"/>
      <c r="C80" s="4"/>
      <c r="D80" s="4"/>
      <c r="E80" s="4"/>
      <c r="F80" s="4"/>
      <c r="G80" s="4"/>
      <c r="H80" s="4"/>
      <c r="I80" s="4"/>
      <c r="J80" s="4"/>
      <c r="K80" s="4"/>
      <c r="L80" s="4"/>
    </row>
    <row r="81" spans="2:12">
      <c r="B81" s="4"/>
      <c r="C81" s="4"/>
      <c r="D81" s="4"/>
      <c r="E81" s="4"/>
      <c r="F81" s="4"/>
      <c r="G81" s="4"/>
      <c r="H81" s="4"/>
      <c r="I81" s="4"/>
      <c r="J81" s="4"/>
      <c r="K81" s="4"/>
      <c r="L81" s="4"/>
    </row>
    <row r="82" spans="2:12">
      <c r="B82" s="4"/>
      <c r="C82" s="4"/>
      <c r="D82" s="4"/>
      <c r="E82" s="4"/>
      <c r="F82" s="4"/>
      <c r="G82" s="4"/>
      <c r="H82" s="4"/>
      <c r="I82" s="4"/>
      <c r="J82" s="4"/>
      <c r="K82" s="4"/>
      <c r="L82" s="4"/>
    </row>
    <row r="83" spans="2:12">
      <c r="B83" s="4"/>
      <c r="C83" s="4"/>
      <c r="D83" s="4"/>
      <c r="E83" s="4"/>
      <c r="F83" s="4"/>
      <c r="G83" s="4"/>
      <c r="H83" s="4"/>
      <c r="I83" s="4"/>
      <c r="J83" s="4"/>
      <c r="K83" s="4"/>
      <c r="L83" s="4"/>
    </row>
    <row r="84" spans="2:12">
      <c r="B84" s="4"/>
      <c r="C84" s="4"/>
      <c r="D84" s="4"/>
      <c r="E84" s="4"/>
      <c r="F84" s="4"/>
      <c r="G84" s="4"/>
      <c r="H84" s="4"/>
      <c r="I84" s="4"/>
      <c r="J84" s="4"/>
      <c r="K84" s="4"/>
      <c r="L84" s="4"/>
    </row>
    <row r="85" spans="2:12">
      <c r="B85" s="4"/>
      <c r="C85" s="4"/>
      <c r="D85" s="4"/>
      <c r="E85" s="4"/>
      <c r="F85" s="4"/>
      <c r="G85" s="4"/>
      <c r="H85" s="4"/>
      <c r="I85" s="4"/>
      <c r="J85" s="4"/>
      <c r="K85" s="4"/>
      <c r="L85" s="4"/>
    </row>
    <row r="86" spans="2:12">
      <c r="B86" s="4"/>
      <c r="C86" s="4"/>
      <c r="D86" s="4"/>
      <c r="E86" s="4"/>
      <c r="F86" s="4"/>
      <c r="G86" s="4"/>
      <c r="H86" s="4"/>
      <c r="I86" s="4"/>
      <c r="J86" s="4"/>
      <c r="K86" s="4"/>
      <c r="L86" s="4"/>
    </row>
    <row r="87" spans="2:12">
      <c r="B87" s="4"/>
      <c r="C87" s="4"/>
      <c r="D87" s="4"/>
      <c r="E87" s="4"/>
      <c r="F87" s="4"/>
      <c r="G87" s="4"/>
      <c r="H87" s="4"/>
      <c r="I87" s="4"/>
      <c r="J87" s="4"/>
      <c r="K87" s="4"/>
      <c r="L87" s="4"/>
    </row>
    <row r="88" spans="2:12">
      <c r="B88" s="4"/>
      <c r="C88" s="4"/>
      <c r="D88" s="4"/>
      <c r="E88" s="4"/>
      <c r="F88" s="4"/>
      <c r="G88" s="4"/>
      <c r="H88" s="4"/>
      <c r="I88" s="4"/>
      <c r="J88" s="4"/>
      <c r="K88" s="4"/>
      <c r="L88" s="4"/>
    </row>
    <row r="89" spans="2:12">
      <c r="B89" s="4"/>
      <c r="C89" s="4"/>
      <c r="D89" s="4"/>
      <c r="E89" s="4"/>
      <c r="F89" s="4"/>
      <c r="G89" s="4"/>
      <c r="H89" s="4"/>
      <c r="I89" s="4"/>
      <c r="J89" s="4"/>
      <c r="K89" s="4"/>
      <c r="L89" s="4"/>
    </row>
    <row r="90" spans="2:12">
      <c r="B90" s="4"/>
      <c r="C90" s="4"/>
      <c r="D90" s="4"/>
      <c r="E90" s="4"/>
      <c r="F90" s="4"/>
      <c r="G90" s="4"/>
      <c r="H90" s="4"/>
      <c r="I90" s="4"/>
      <c r="J90" s="4"/>
      <c r="K90" s="4"/>
      <c r="L90" s="4"/>
    </row>
    <row r="91" spans="2:12">
      <c r="B91" s="4"/>
      <c r="C91" s="4"/>
      <c r="D91" s="4"/>
      <c r="E91" s="4"/>
      <c r="F91" s="4"/>
      <c r="G91" s="4"/>
      <c r="H91" s="4"/>
      <c r="I91" s="4"/>
      <c r="J91" s="4"/>
      <c r="K91" s="4"/>
      <c r="L91" s="4"/>
    </row>
    <row r="92" spans="2:12">
      <c r="B92" s="4"/>
      <c r="C92" s="4"/>
      <c r="D92" s="4"/>
      <c r="E92" s="4"/>
      <c r="F92" s="4"/>
      <c r="G92" s="4"/>
      <c r="H92" s="4"/>
      <c r="I92" s="4"/>
      <c r="J92" s="4"/>
      <c r="K92" s="4"/>
      <c r="L92" s="4"/>
    </row>
    <row r="93" spans="2:12">
      <c r="B93" s="4"/>
      <c r="C93" s="4"/>
      <c r="D93" s="4"/>
      <c r="E93" s="4"/>
      <c r="F93" s="4"/>
      <c r="G93" s="4"/>
      <c r="H93" s="4"/>
      <c r="I93" s="4"/>
      <c r="J93" s="4"/>
      <c r="K93" s="4"/>
      <c r="L93" s="4"/>
    </row>
    <row r="94" spans="2:12">
      <c r="B94" s="4"/>
      <c r="C94" s="4"/>
      <c r="D94" s="4"/>
      <c r="E94" s="4"/>
      <c r="F94" s="4"/>
      <c r="G94" s="4"/>
      <c r="H94" s="4"/>
      <c r="I94" s="4"/>
      <c r="J94" s="4"/>
      <c r="K94" s="4"/>
      <c r="L94" s="4"/>
    </row>
    <row r="95" spans="2:12">
      <c r="B95" s="4"/>
      <c r="C95" s="4"/>
      <c r="D95" s="4"/>
      <c r="E95" s="4"/>
      <c r="F95" s="4"/>
      <c r="G95" s="4"/>
      <c r="H95" s="4"/>
      <c r="I95" s="4"/>
      <c r="J95" s="4"/>
      <c r="K95" s="4"/>
      <c r="L95" s="4"/>
    </row>
    <row r="96" spans="2:12">
      <c r="B96" s="4"/>
      <c r="C96" s="4"/>
      <c r="D96" s="4"/>
      <c r="E96" s="4"/>
      <c r="F96" s="4"/>
      <c r="G96" s="4"/>
      <c r="H96" s="4"/>
      <c r="I96" s="4"/>
      <c r="J96" s="4"/>
      <c r="K96" s="4"/>
      <c r="L96" s="4"/>
    </row>
    <row r="97" spans="2:12">
      <c r="B97" s="4"/>
      <c r="C97" s="4"/>
      <c r="D97" s="4"/>
      <c r="E97" s="4"/>
      <c r="F97" s="4"/>
      <c r="G97" s="4"/>
      <c r="H97" s="4"/>
      <c r="I97" s="4"/>
      <c r="J97" s="4"/>
      <c r="K97" s="4"/>
      <c r="L97" s="4"/>
    </row>
    <row r="98" spans="2:12">
      <c r="B98" s="4"/>
      <c r="C98" s="4"/>
      <c r="D98" s="4"/>
      <c r="E98" s="4"/>
      <c r="F98" s="4"/>
      <c r="G98" s="4"/>
      <c r="H98" s="4"/>
      <c r="I98" s="4"/>
      <c r="J98" s="4"/>
      <c r="K98" s="4"/>
      <c r="L98" s="4"/>
    </row>
    <row r="99" spans="2:12">
      <c r="B99" s="4"/>
      <c r="C99" s="4"/>
      <c r="D99" s="4"/>
      <c r="E99" s="4"/>
      <c r="F99" s="4"/>
      <c r="G99" s="4"/>
      <c r="H99" s="4"/>
      <c r="I99" s="4"/>
      <c r="J99" s="4"/>
      <c r="K99" s="4"/>
      <c r="L99" s="4"/>
    </row>
    <row r="100" spans="2:12">
      <c r="B100" s="4"/>
      <c r="C100" s="4"/>
      <c r="D100" s="4"/>
      <c r="E100" s="4"/>
      <c r="F100" s="4"/>
      <c r="G100" s="4"/>
      <c r="H100" s="4"/>
      <c r="I100" s="4"/>
      <c r="J100" s="4"/>
      <c r="K100" s="4"/>
      <c r="L100" s="4"/>
    </row>
    <row r="101" spans="2:12">
      <c r="B101" s="4"/>
      <c r="C101" s="4"/>
      <c r="D101" s="4"/>
      <c r="E101" s="4"/>
      <c r="F101" s="4"/>
      <c r="G101" s="4"/>
      <c r="H101" s="4"/>
      <c r="I101" s="4"/>
      <c r="J101" s="4"/>
      <c r="K101" s="4"/>
      <c r="L101" s="4"/>
    </row>
    <row r="102" spans="2:12">
      <c r="B102" s="4"/>
      <c r="C102" s="4"/>
      <c r="D102" s="4"/>
      <c r="E102" s="4"/>
      <c r="F102" s="4"/>
      <c r="G102" s="4"/>
      <c r="H102" s="4"/>
      <c r="I102" s="4"/>
      <c r="J102" s="4"/>
      <c r="K102" s="4"/>
      <c r="L102" s="4"/>
    </row>
    <row r="103" spans="2:12">
      <c r="B103" s="4"/>
      <c r="C103" s="4"/>
      <c r="D103" s="4"/>
      <c r="E103" s="4"/>
      <c r="F103" s="4"/>
      <c r="G103" s="4"/>
      <c r="H103" s="4"/>
      <c r="I103" s="4"/>
      <c r="J103" s="4"/>
      <c r="K103" s="4"/>
      <c r="L103" s="4"/>
    </row>
    <row r="104" spans="2:12">
      <c r="B104" s="4"/>
      <c r="C104" s="4"/>
      <c r="D104" s="4"/>
      <c r="E104" s="4"/>
      <c r="F104" s="4"/>
      <c r="G104" s="4"/>
      <c r="H104" s="4"/>
      <c r="I104" s="4"/>
      <c r="J104" s="4"/>
      <c r="K104" s="4"/>
      <c r="L104" s="4"/>
    </row>
    <row r="105" spans="2:12">
      <c r="B105" s="4"/>
      <c r="C105" s="4"/>
      <c r="D105" s="4"/>
      <c r="E105" s="4"/>
      <c r="F105" s="4"/>
      <c r="G105" s="4"/>
      <c r="H105" s="4"/>
      <c r="I105" s="4"/>
      <c r="J105" s="4"/>
      <c r="K105" s="4"/>
      <c r="L105" s="4"/>
    </row>
    <row r="106" spans="2:12">
      <c r="B106" s="4"/>
      <c r="C106" s="4"/>
      <c r="D106" s="4"/>
      <c r="E106" s="4"/>
      <c r="F106" s="4"/>
      <c r="G106" s="4"/>
      <c r="H106" s="4"/>
      <c r="I106" s="4"/>
      <c r="J106" s="4"/>
      <c r="K106" s="4"/>
      <c r="L106" s="4"/>
    </row>
    <row r="107" spans="2:12">
      <c r="B107" s="4"/>
      <c r="C107" s="4"/>
      <c r="D107" s="4"/>
      <c r="E107" s="4"/>
      <c r="F107" s="4"/>
      <c r="G107" s="4"/>
      <c r="H107" s="4"/>
      <c r="I107" s="4"/>
      <c r="J107" s="4"/>
      <c r="K107" s="4"/>
      <c r="L107" s="4"/>
    </row>
    <row r="108" spans="2:12">
      <c r="B108" s="4"/>
      <c r="C108" s="4"/>
      <c r="D108" s="4"/>
      <c r="E108" s="4"/>
      <c r="F108" s="4"/>
      <c r="G108" s="4"/>
      <c r="H108" s="4"/>
      <c r="I108" s="4"/>
      <c r="J108" s="4"/>
      <c r="K108" s="4"/>
      <c r="L108" s="4"/>
    </row>
    <row r="109" spans="2:12">
      <c r="B109" s="4"/>
      <c r="C109" s="4"/>
      <c r="D109" s="4"/>
      <c r="E109" s="4"/>
      <c r="F109" s="4"/>
      <c r="G109" s="4"/>
      <c r="H109" s="4"/>
      <c r="I109" s="4"/>
      <c r="J109" s="4"/>
      <c r="K109" s="4"/>
      <c r="L109" s="4"/>
    </row>
    <row r="110" spans="2:12">
      <c r="B110" s="4"/>
      <c r="C110" s="4"/>
      <c r="D110" s="4"/>
      <c r="E110" s="4"/>
      <c r="F110" s="4"/>
      <c r="G110" s="4"/>
      <c r="H110" s="4"/>
      <c r="I110" s="4"/>
      <c r="J110" s="4"/>
      <c r="K110" s="4"/>
      <c r="L110" s="4"/>
    </row>
    <row r="111" spans="2:12">
      <c r="B111" s="4"/>
      <c r="C111" s="4"/>
      <c r="D111" s="4"/>
      <c r="E111" s="4"/>
      <c r="F111" s="4"/>
      <c r="G111" s="4"/>
      <c r="H111" s="4"/>
      <c r="I111" s="4"/>
      <c r="J111" s="4"/>
      <c r="K111" s="4"/>
      <c r="L111" s="4"/>
    </row>
    <row r="112" spans="2:12">
      <c r="B112" s="4"/>
      <c r="C112" s="4"/>
      <c r="D112" s="4"/>
      <c r="E112" s="4"/>
      <c r="F112" s="4"/>
      <c r="G112" s="4"/>
      <c r="H112" s="4"/>
      <c r="I112" s="4"/>
      <c r="J112" s="4"/>
      <c r="K112" s="4"/>
      <c r="L112" s="4"/>
    </row>
    <row r="113" spans="2:12">
      <c r="B113" s="4"/>
      <c r="C113" s="4"/>
      <c r="D113" s="4"/>
      <c r="E113" s="4"/>
      <c r="F113" s="4"/>
      <c r="G113" s="4"/>
      <c r="H113" s="4"/>
      <c r="I113" s="4"/>
      <c r="J113" s="4"/>
      <c r="K113" s="4"/>
      <c r="L113" s="4"/>
    </row>
    <row r="114" spans="2:12">
      <c r="B114" s="4"/>
      <c r="C114" s="4"/>
      <c r="D114" s="4"/>
      <c r="E114" s="4"/>
      <c r="F114" s="4"/>
      <c r="G114" s="4"/>
      <c r="H114" s="4"/>
      <c r="I114" s="4"/>
      <c r="J114" s="4"/>
      <c r="K114" s="4"/>
      <c r="L114" s="4"/>
    </row>
    <row r="115" spans="2:12">
      <c r="B115" s="4"/>
      <c r="C115" s="4"/>
      <c r="D115" s="4"/>
      <c r="E115" s="4"/>
      <c r="F115" s="4"/>
      <c r="G115" s="4"/>
      <c r="H115" s="4"/>
      <c r="I115" s="4"/>
      <c r="J115" s="4"/>
      <c r="K115" s="4"/>
      <c r="L115" s="4"/>
    </row>
    <row r="116" spans="2:12">
      <c r="B116" s="4"/>
      <c r="C116" s="4"/>
      <c r="D116" s="4"/>
      <c r="E116" s="4"/>
      <c r="F116" s="4"/>
      <c r="G116" s="4"/>
      <c r="H116" s="4"/>
      <c r="I116" s="4"/>
      <c r="J116" s="4"/>
      <c r="K116" s="4"/>
      <c r="L116" s="4"/>
    </row>
    <row r="117" spans="2:12">
      <c r="B117" s="4"/>
      <c r="C117" s="4"/>
      <c r="D117" s="4"/>
      <c r="E117" s="4"/>
      <c r="F117" s="4"/>
      <c r="G117" s="4"/>
      <c r="H117" s="4"/>
      <c r="I117" s="4"/>
      <c r="J117" s="4"/>
      <c r="K117" s="4"/>
      <c r="L117" s="4"/>
    </row>
    <row r="118" spans="2:12">
      <c r="B118" s="4"/>
      <c r="C118" s="4"/>
      <c r="D118" s="4"/>
      <c r="E118" s="4"/>
      <c r="F118" s="4"/>
      <c r="G118" s="4"/>
      <c r="H118" s="4"/>
      <c r="I118" s="4"/>
      <c r="J118" s="4"/>
      <c r="K118" s="4"/>
      <c r="L118" s="4"/>
    </row>
    <row r="119" spans="2:12">
      <c r="B119" s="4"/>
      <c r="C119" s="4"/>
      <c r="D119" s="4"/>
      <c r="E119" s="4"/>
      <c r="F119" s="4"/>
      <c r="G119" s="4"/>
      <c r="H119" s="4"/>
      <c r="I119" s="4"/>
      <c r="J119" s="4"/>
      <c r="K119" s="4"/>
      <c r="L119" s="4"/>
    </row>
    <row r="120" spans="2:12">
      <c r="B120" s="4"/>
      <c r="C120" s="4"/>
      <c r="D120" s="4"/>
      <c r="E120" s="4"/>
      <c r="F120" s="4"/>
      <c r="G120" s="4"/>
      <c r="H120" s="4"/>
      <c r="I120" s="4"/>
      <c r="J120" s="4"/>
      <c r="K120" s="4"/>
      <c r="L120" s="4"/>
    </row>
    <row r="121" spans="2:12">
      <c r="B121" s="4"/>
      <c r="C121" s="4"/>
      <c r="D121" s="4"/>
      <c r="E121" s="4"/>
      <c r="F121" s="4"/>
      <c r="G121" s="4"/>
      <c r="H121" s="4"/>
      <c r="I121" s="4"/>
      <c r="J121" s="4"/>
      <c r="K121" s="4"/>
      <c r="L121" s="4"/>
    </row>
    <row r="122" spans="2:12">
      <c r="B122" s="4"/>
      <c r="C122" s="4"/>
      <c r="D122" s="4"/>
      <c r="E122" s="4"/>
      <c r="F122" s="4"/>
      <c r="G122" s="4"/>
      <c r="H122" s="4"/>
      <c r="I122" s="4"/>
      <c r="J122" s="4"/>
      <c r="K122" s="4"/>
      <c r="L122" s="4"/>
    </row>
    <row r="123" spans="2:12">
      <c r="B123" s="4"/>
      <c r="C123" s="4"/>
      <c r="D123" s="4"/>
      <c r="E123" s="4"/>
      <c r="F123" s="4"/>
      <c r="G123" s="4"/>
      <c r="H123" s="4"/>
      <c r="I123" s="4"/>
      <c r="J123" s="4"/>
      <c r="K123" s="4"/>
      <c r="L123" s="4"/>
    </row>
    <row r="124" spans="2:12">
      <c r="B124" s="4"/>
      <c r="C124" s="4"/>
      <c r="D124" s="4"/>
      <c r="E124" s="4"/>
      <c r="F124" s="4"/>
      <c r="G124" s="4"/>
      <c r="H124" s="4"/>
      <c r="I124" s="4"/>
      <c r="J124" s="4"/>
      <c r="K124" s="4"/>
      <c r="L124" s="4"/>
    </row>
    <row r="125" spans="2:12">
      <c r="B125" s="4"/>
      <c r="C125" s="4"/>
      <c r="D125" s="4"/>
      <c r="E125" s="4"/>
      <c r="F125" s="4"/>
      <c r="G125" s="4"/>
      <c r="H125" s="4"/>
      <c r="I125" s="4"/>
      <c r="J125" s="4"/>
      <c r="K125" s="4"/>
      <c r="L125" s="4"/>
    </row>
    <row r="126" spans="2:12">
      <c r="B126" s="4"/>
      <c r="C126" s="4"/>
      <c r="D126" s="4"/>
      <c r="E126" s="4"/>
      <c r="F126" s="4"/>
      <c r="G126" s="4"/>
      <c r="H126" s="4"/>
      <c r="I126" s="4"/>
      <c r="J126" s="4"/>
      <c r="K126" s="4"/>
      <c r="L126" s="4"/>
    </row>
    <row r="127" spans="2:12">
      <c r="B127" s="4"/>
      <c r="C127" s="4"/>
      <c r="D127" s="4"/>
      <c r="E127" s="4"/>
      <c r="F127" s="4"/>
      <c r="G127" s="4"/>
      <c r="H127" s="4"/>
      <c r="I127" s="4"/>
      <c r="J127" s="4"/>
      <c r="K127" s="4"/>
      <c r="L127" s="4"/>
    </row>
    <row r="128" spans="2:12">
      <c r="B128" s="4"/>
      <c r="C128" s="4"/>
      <c r="D128" s="4"/>
      <c r="E128" s="4"/>
      <c r="F128" s="4"/>
      <c r="G128" s="4"/>
      <c r="H128" s="4"/>
      <c r="I128" s="4"/>
      <c r="J128" s="4"/>
      <c r="K128" s="4"/>
      <c r="L128" s="4"/>
    </row>
    <row r="129" spans="2:12">
      <c r="B129" s="4"/>
      <c r="C129" s="4"/>
      <c r="D129" s="4"/>
      <c r="E129" s="4"/>
      <c r="F129" s="4"/>
      <c r="G129" s="4"/>
      <c r="H129" s="4"/>
      <c r="I129" s="4"/>
      <c r="J129" s="4"/>
      <c r="K129" s="4"/>
      <c r="L129" s="4"/>
    </row>
    <row r="130" spans="2:12">
      <c r="B130" s="4"/>
      <c r="C130" s="4"/>
      <c r="D130" s="4"/>
      <c r="E130" s="4"/>
      <c r="F130" s="4"/>
      <c r="G130" s="4"/>
      <c r="H130" s="4"/>
      <c r="I130" s="4"/>
      <c r="J130" s="4"/>
      <c r="K130" s="4"/>
      <c r="L130" s="4"/>
    </row>
    <row r="131" spans="2:12">
      <c r="B131" s="4"/>
      <c r="C131" s="4"/>
      <c r="D131" s="4"/>
      <c r="E131" s="4"/>
      <c r="F131" s="4"/>
      <c r="G131" s="4"/>
      <c r="H131" s="4"/>
      <c r="I131" s="4"/>
      <c r="J131" s="4"/>
      <c r="K131" s="4"/>
      <c r="L131" s="4"/>
    </row>
    <row r="132" spans="2:12">
      <c r="B132" s="4"/>
      <c r="C132" s="4"/>
      <c r="D132" s="4"/>
      <c r="E132" s="4"/>
      <c r="F132" s="4"/>
      <c r="G132" s="4"/>
      <c r="H132" s="4"/>
      <c r="I132" s="4"/>
      <c r="J132" s="4"/>
      <c r="K132" s="4"/>
      <c r="L132" s="4"/>
    </row>
    <row r="133" spans="2:12">
      <c r="B133" s="4"/>
      <c r="C133" s="4"/>
      <c r="D133" s="4"/>
      <c r="E133" s="4"/>
      <c r="F133" s="4"/>
      <c r="G133" s="4"/>
      <c r="H133" s="4"/>
      <c r="I133" s="4"/>
      <c r="J133" s="4"/>
      <c r="K133" s="4"/>
      <c r="L133" s="4"/>
    </row>
    <row r="134" spans="2:12">
      <c r="B134" s="4"/>
      <c r="C134" s="4"/>
      <c r="D134" s="4"/>
      <c r="E134" s="4"/>
      <c r="F134" s="4"/>
      <c r="G134" s="4"/>
      <c r="H134" s="4"/>
      <c r="I134" s="4"/>
      <c r="J134" s="4"/>
      <c r="K134" s="4"/>
      <c r="L134" s="4"/>
    </row>
    <row r="135" spans="2:12">
      <c r="B135" s="4"/>
      <c r="C135" s="4"/>
      <c r="D135" s="4"/>
      <c r="E135" s="4"/>
      <c r="F135" s="4"/>
      <c r="G135" s="4"/>
      <c r="H135" s="4"/>
      <c r="I135" s="4"/>
      <c r="J135" s="4"/>
      <c r="K135" s="4"/>
      <c r="L135" s="4"/>
    </row>
    <row r="136" spans="2:12">
      <c r="B136" s="4"/>
      <c r="C136" s="4"/>
      <c r="D136" s="4"/>
      <c r="E136" s="4"/>
      <c r="F136" s="4"/>
      <c r="G136" s="4"/>
      <c r="H136" s="4"/>
      <c r="I136" s="4"/>
      <c r="J136" s="4"/>
      <c r="K136" s="4"/>
      <c r="L136" s="4"/>
    </row>
    <row r="137" spans="2:12">
      <c r="B137" s="4"/>
      <c r="C137" s="4"/>
      <c r="D137" s="4"/>
      <c r="E137" s="4"/>
      <c r="F137" s="4"/>
      <c r="G137" s="4"/>
      <c r="H137" s="4"/>
      <c r="I137" s="4"/>
      <c r="J137" s="4"/>
      <c r="K137" s="4"/>
      <c r="L137" s="4"/>
    </row>
    <row r="138" spans="2:12">
      <c r="B138" s="4"/>
      <c r="C138" s="4"/>
      <c r="D138" s="4"/>
      <c r="E138" s="4"/>
      <c r="F138" s="4"/>
      <c r="G138" s="4"/>
      <c r="H138" s="4"/>
      <c r="I138" s="4"/>
      <c r="J138" s="4"/>
      <c r="K138" s="4"/>
      <c r="L138" s="4"/>
    </row>
    <row r="139" spans="2:12">
      <c r="B139" s="4"/>
      <c r="C139" s="4"/>
      <c r="D139" s="4"/>
      <c r="E139" s="4"/>
      <c r="F139" s="4"/>
      <c r="G139" s="4"/>
      <c r="H139" s="4"/>
      <c r="I139" s="4"/>
      <c r="J139" s="4"/>
      <c r="K139" s="4"/>
      <c r="L139" s="4"/>
    </row>
    <row r="140" spans="2:12">
      <c r="B140" s="4"/>
      <c r="C140" s="4"/>
      <c r="D140" s="4"/>
      <c r="E140" s="4"/>
      <c r="F140" s="4"/>
      <c r="G140" s="4"/>
      <c r="H140" s="4"/>
      <c r="I140" s="4"/>
      <c r="J140" s="4"/>
      <c r="K140" s="4"/>
      <c r="L140" s="4"/>
    </row>
    <row r="141" spans="2:12">
      <c r="B141" s="4"/>
      <c r="C141" s="4"/>
      <c r="D141" s="4"/>
      <c r="E141" s="4"/>
      <c r="F141" s="4"/>
      <c r="G141" s="4"/>
      <c r="H141" s="4"/>
      <c r="I141" s="4"/>
      <c r="J141" s="4"/>
      <c r="K141" s="4"/>
      <c r="L141" s="4"/>
    </row>
    <row r="142" spans="2:12">
      <c r="B142" s="4"/>
      <c r="C142" s="4"/>
      <c r="D142" s="4"/>
      <c r="E142" s="4"/>
      <c r="F142" s="4"/>
      <c r="G142" s="4" t="s">
        <v>116</v>
      </c>
      <c r="H142" s="4"/>
      <c r="I142" s="4"/>
      <c r="J142" s="4"/>
      <c r="K142" s="4"/>
      <c r="L142" s="4"/>
    </row>
    <row r="143" spans="2:12">
      <c r="B143" s="4"/>
      <c r="C143" s="4"/>
      <c r="D143" s="4"/>
      <c r="E143" s="4"/>
      <c r="F143" s="4"/>
      <c r="G143" s="4"/>
      <c r="H143" s="4"/>
      <c r="I143" s="4"/>
      <c r="J143" s="4"/>
      <c r="K143" s="4"/>
      <c r="L143" s="4"/>
    </row>
    <row r="144" spans="2:12">
      <c r="B144" s="4"/>
      <c r="C144" s="4"/>
      <c r="D144" s="4"/>
      <c r="E144" s="4"/>
      <c r="F144" s="4"/>
      <c r="G144" s="4"/>
      <c r="H144" s="4"/>
      <c r="I144" s="4"/>
      <c r="J144" s="4"/>
      <c r="K144" s="4"/>
      <c r="L144" s="4"/>
    </row>
    <row r="145" spans="2:12">
      <c r="B145" s="4"/>
      <c r="C145" s="4"/>
      <c r="D145" s="4"/>
      <c r="E145" s="4"/>
      <c r="F145" s="4"/>
      <c r="G145" s="4"/>
      <c r="H145" s="4"/>
      <c r="I145" s="4"/>
      <c r="J145" s="4"/>
      <c r="K145" s="4"/>
      <c r="L145" s="4"/>
    </row>
    <row r="146" spans="2:12">
      <c r="B146" s="4"/>
      <c r="C146" s="4"/>
      <c r="D146" s="4"/>
      <c r="E146" s="4"/>
      <c r="F146" s="4"/>
      <c r="G146" s="4"/>
      <c r="H146" s="4"/>
      <c r="I146" s="4"/>
      <c r="J146" s="4"/>
      <c r="K146" s="4"/>
      <c r="L146" s="4"/>
    </row>
    <row r="147" spans="2:12">
      <c r="B147" s="4"/>
      <c r="C147" s="4"/>
      <c r="D147" s="4"/>
      <c r="E147" s="4"/>
      <c r="F147" s="4"/>
      <c r="G147" s="4"/>
      <c r="H147" s="4"/>
      <c r="I147" s="4"/>
      <c r="J147" s="4"/>
      <c r="K147" s="4"/>
      <c r="L147" s="4"/>
    </row>
    <row r="148" spans="2:12">
      <c r="B148" s="4"/>
      <c r="C148" s="4"/>
      <c r="D148" s="4"/>
      <c r="E148" s="4"/>
      <c r="F148" s="4"/>
      <c r="G148" s="4"/>
      <c r="H148" s="4"/>
      <c r="I148" s="4"/>
      <c r="J148" s="4"/>
      <c r="K148" s="4"/>
      <c r="L148" s="4"/>
    </row>
    <row r="149" spans="2:12">
      <c r="B149" s="4"/>
      <c r="C149" s="4"/>
      <c r="D149" s="4"/>
      <c r="E149" s="4"/>
      <c r="F149" s="4"/>
      <c r="G149" s="4"/>
      <c r="H149" s="4"/>
      <c r="I149" s="4"/>
      <c r="J149" s="4"/>
      <c r="K149" s="4"/>
      <c r="L149" s="4"/>
    </row>
    <row r="150" spans="2:12">
      <c r="B150" s="4"/>
      <c r="C150" s="4"/>
      <c r="D150" s="4"/>
      <c r="E150" s="4"/>
      <c r="F150" s="4"/>
      <c r="G150" s="4"/>
      <c r="H150" s="4"/>
      <c r="I150" s="4"/>
      <c r="J150" s="4"/>
      <c r="K150" s="4"/>
      <c r="L150" s="4"/>
    </row>
    <row r="151" spans="2:12">
      <c r="B151" s="4"/>
      <c r="C151" s="4"/>
      <c r="D151" s="4"/>
      <c r="E151" s="4"/>
      <c r="F151" s="4"/>
      <c r="G151" s="4"/>
      <c r="H151" s="4"/>
      <c r="I151" s="4"/>
      <c r="J151" s="4"/>
      <c r="K151" s="4"/>
      <c r="L151" s="4"/>
    </row>
    <row r="152" spans="2:12">
      <c r="B152" s="4"/>
      <c r="C152" s="4"/>
      <c r="D152" s="4"/>
      <c r="E152" s="4"/>
      <c r="F152" s="4"/>
      <c r="G152" s="4"/>
      <c r="H152" s="4"/>
      <c r="I152" s="4"/>
      <c r="J152" s="4"/>
      <c r="K152" s="4"/>
      <c r="L152" s="4"/>
    </row>
    <row r="153" spans="2:12">
      <c r="B153" s="4"/>
      <c r="C153" s="4"/>
      <c r="D153" s="4"/>
      <c r="E153" s="4"/>
      <c r="F153" s="4"/>
      <c r="G153" s="4"/>
      <c r="H153" s="4"/>
      <c r="I153" s="4"/>
      <c r="J153" s="4"/>
      <c r="K153" s="4"/>
      <c r="L153" s="4"/>
    </row>
    <row r="154" spans="2:12">
      <c r="B154" s="4"/>
      <c r="C154" s="4"/>
      <c r="D154" s="4"/>
      <c r="E154" s="4"/>
      <c r="F154" s="4"/>
      <c r="G154" s="4"/>
      <c r="H154" s="4"/>
      <c r="I154" s="4"/>
      <c r="J154" s="4"/>
      <c r="K154" s="4"/>
      <c r="L154" s="4"/>
    </row>
    <row r="155" spans="2:12">
      <c r="B155" s="4"/>
      <c r="C155" s="4"/>
      <c r="D155" s="4"/>
      <c r="E155" s="4"/>
      <c r="F155" s="4"/>
      <c r="G155" s="4"/>
      <c r="H155" s="4"/>
      <c r="I155" s="4"/>
      <c r="J155" s="4"/>
      <c r="K155" s="4"/>
      <c r="L155" s="4"/>
    </row>
    <row r="156" spans="2:12">
      <c r="B156" s="4"/>
      <c r="C156" s="4"/>
      <c r="D156" s="4"/>
      <c r="E156" s="4"/>
      <c r="F156" s="4"/>
      <c r="G156" s="4"/>
      <c r="H156" s="4"/>
      <c r="I156" s="4"/>
      <c r="J156" s="4"/>
      <c r="K156" s="4"/>
      <c r="L156" s="4"/>
    </row>
    <row r="157" spans="2:12">
      <c r="B157" s="4"/>
      <c r="C157" s="4"/>
      <c r="D157" s="4"/>
      <c r="E157" s="4"/>
      <c r="F157" s="4"/>
      <c r="G157" s="4"/>
      <c r="H157" s="4"/>
      <c r="I157" s="4"/>
      <c r="J157" s="4"/>
      <c r="K157" s="4"/>
      <c r="L157" s="4"/>
    </row>
    <row r="158" spans="2:12">
      <c r="B158" s="4"/>
      <c r="C158" s="4"/>
      <c r="D158" s="4"/>
      <c r="E158" s="4"/>
      <c r="F158" s="4"/>
      <c r="G158" s="4"/>
      <c r="H158" s="4"/>
      <c r="I158" s="4"/>
      <c r="J158" s="4"/>
      <c r="K158" s="4"/>
      <c r="L158" s="4"/>
    </row>
    <row r="159" spans="2:12">
      <c r="B159" s="4"/>
      <c r="C159" s="4"/>
      <c r="D159" s="4"/>
      <c r="E159" s="4"/>
      <c r="F159" s="4"/>
      <c r="G159" s="4"/>
      <c r="H159" s="4"/>
      <c r="I159" s="4"/>
      <c r="J159" s="4"/>
      <c r="K159" s="4"/>
      <c r="L159" s="4"/>
    </row>
    <row r="160" spans="2:12">
      <c r="B160" s="4"/>
      <c r="C160" s="4"/>
      <c r="D160" s="4"/>
      <c r="E160" s="4"/>
      <c r="F160" s="4"/>
      <c r="G160" s="4"/>
      <c r="H160" s="4"/>
      <c r="I160" s="4"/>
      <c r="J160" s="4"/>
      <c r="K160" s="4"/>
      <c r="L160" s="4"/>
    </row>
    <row r="161" spans="2:12">
      <c r="B161" s="4"/>
      <c r="C161" s="4"/>
      <c r="D161" s="4"/>
      <c r="E161" s="4"/>
      <c r="F161" s="4"/>
      <c r="G161" s="4"/>
      <c r="H161" s="4"/>
      <c r="I161" s="4"/>
      <c r="J161" s="4"/>
      <c r="K161" s="4"/>
      <c r="L161" s="4"/>
    </row>
    <row r="162" spans="2:12">
      <c r="B162" s="4"/>
      <c r="C162" s="4"/>
      <c r="D162" s="4"/>
      <c r="E162" s="4"/>
      <c r="F162" s="4"/>
      <c r="G162" s="4"/>
      <c r="H162" s="4"/>
      <c r="I162" s="4"/>
      <c r="J162" s="4"/>
      <c r="K162" s="4"/>
      <c r="L162" s="4"/>
    </row>
    <row r="163" spans="2:12">
      <c r="B163" s="4"/>
      <c r="C163" s="4"/>
      <c r="D163" s="4"/>
      <c r="E163" s="4"/>
      <c r="F163" s="4"/>
      <c r="G163" s="4"/>
      <c r="H163" s="4"/>
      <c r="I163" s="4"/>
      <c r="J163" s="4"/>
      <c r="K163" s="4"/>
      <c r="L163" s="4"/>
    </row>
    <row r="164" spans="2:12">
      <c r="B164" s="4"/>
      <c r="C164" s="4"/>
      <c r="D164" s="4"/>
      <c r="E164" s="4"/>
      <c r="F164" s="4"/>
      <c r="G164" s="4"/>
      <c r="H164" s="4"/>
      <c r="I164" s="4"/>
      <c r="J164" s="4"/>
      <c r="K164" s="4"/>
      <c r="L164" s="4"/>
    </row>
    <row r="165" spans="2:12">
      <c r="B165" s="4"/>
      <c r="C165" s="4"/>
      <c r="D165" s="4"/>
      <c r="E165" s="4"/>
      <c r="F165" s="4"/>
      <c r="G165" s="4"/>
      <c r="H165" s="4"/>
      <c r="I165" s="4"/>
      <c r="J165" s="4"/>
      <c r="K165" s="4"/>
      <c r="L165" s="4"/>
    </row>
    <row r="166" spans="2:12">
      <c r="B166" s="4"/>
      <c r="C166" s="4"/>
      <c r="D166" s="4"/>
      <c r="E166" s="4"/>
      <c r="F166" s="4"/>
      <c r="G166" s="4"/>
      <c r="H166" s="4"/>
      <c r="I166" s="4"/>
      <c r="J166" s="4"/>
      <c r="K166" s="4"/>
      <c r="L166" s="4"/>
    </row>
    <row r="167" spans="2:12">
      <c r="B167" s="4"/>
      <c r="C167" s="4"/>
      <c r="D167" s="4"/>
      <c r="E167" s="4"/>
      <c r="F167" s="4"/>
      <c r="G167" s="4"/>
      <c r="H167" s="4"/>
      <c r="I167" s="4"/>
      <c r="J167" s="4"/>
      <c r="K167" s="4"/>
      <c r="L167" s="4"/>
    </row>
    <row r="168" spans="2:12">
      <c r="B168" s="4"/>
      <c r="C168" s="4"/>
      <c r="D168" s="4"/>
      <c r="E168" s="4"/>
      <c r="F168" s="4"/>
      <c r="G168" s="4"/>
      <c r="H168" s="4"/>
      <c r="I168" s="4"/>
      <c r="J168" s="4"/>
      <c r="K168" s="4"/>
      <c r="L168" s="4"/>
    </row>
    <row r="169" spans="2:12">
      <c r="B169" s="4"/>
      <c r="C169" s="4"/>
      <c r="D169" s="4"/>
      <c r="E169" s="4"/>
      <c r="F169" s="4"/>
      <c r="G169" s="4"/>
      <c r="H169" s="4"/>
      <c r="I169" s="4"/>
      <c r="J169" s="4"/>
      <c r="K169" s="4"/>
      <c r="L169" s="4"/>
    </row>
    <row r="170" spans="2:12">
      <c r="B170" s="4"/>
      <c r="C170" s="4"/>
      <c r="D170" s="4"/>
      <c r="E170" s="4"/>
      <c r="F170" s="4"/>
      <c r="G170" s="4"/>
      <c r="H170" s="4"/>
      <c r="I170" s="4"/>
      <c r="J170" s="4"/>
      <c r="K170" s="4"/>
      <c r="L170" s="4"/>
    </row>
    <row r="171" spans="2:12">
      <c r="B171" s="4"/>
      <c r="C171" s="4"/>
      <c r="D171" s="4"/>
      <c r="E171" s="4"/>
      <c r="F171" s="4"/>
      <c r="G171" s="4"/>
      <c r="H171" s="4"/>
      <c r="I171" s="4"/>
      <c r="J171" s="4"/>
      <c r="K171" s="4"/>
      <c r="L171" s="4"/>
    </row>
    <row r="172" spans="2:12">
      <c r="B172" s="4"/>
      <c r="C172" s="4"/>
      <c r="D172" s="4"/>
      <c r="E172" s="4"/>
      <c r="F172" s="4"/>
      <c r="G172" s="4"/>
      <c r="H172" s="4"/>
      <c r="I172" s="4"/>
      <c r="J172" s="4"/>
      <c r="K172" s="4"/>
      <c r="L172" s="4"/>
    </row>
    <row r="173" spans="2:12">
      <c r="B173" s="4"/>
      <c r="C173" s="4"/>
      <c r="D173" s="4"/>
      <c r="E173" s="4"/>
      <c r="F173" s="4"/>
      <c r="G173" s="4"/>
      <c r="H173" s="4"/>
      <c r="I173" s="4"/>
      <c r="J173" s="4"/>
      <c r="K173" s="4"/>
      <c r="L173" s="4"/>
    </row>
    <row r="174" spans="2:12">
      <c r="B174" s="4"/>
      <c r="C174" s="4"/>
      <c r="D174" s="4"/>
      <c r="E174" s="4"/>
      <c r="F174" s="4"/>
      <c r="G174" s="4"/>
      <c r="H174" s="4"/>
      <c r="I174" s="4"/>
      <c r="J174" s="4"/>
      <c r="K174" s="4"/>
      <c r="L174" s="4"/>
    </row>
    <row r="175" spans="2:12">
      <c r="B175" s="4"/>
      <c r="C175" s="4"/>
      <c r="D175" s="4"/>
      <c r="E175" s="4"/>
      <c r="F175" s="4"/>
      <c r="G175" s="4"/>
      <c r="H175" s="4"/>
      <c r="I175" s="4"/>
      <c r="J175" s="4"/>
      <c r="K175" s="4"/>
      <c r="L175" s="4"/>
    </row>
    <row r="176" spans="2:12">
      <c r="B176" s="4"/>
      <c r="C176" s="4"/>
      <c r="D176" s="4"/>
      <c r="E176" s="4"/>
      <c r="F176" s="4"/>
      <c r="G176" s="4"/>
      <c r="H176" s="4"/>
      <c r="I176" s="4"/>
      <c r="J176" s="4"/>
      <c r="K176" s="4"/>
      <c r="L176" s="4"/>
    </row>
    <row r="177" spans="2:12">
      <c r="B177" s="4"/>
      <c r="C177" s="4"/>
      <c r="D177" s="4"/>
      <c r="E177" s="4"/>
      <c r="F177" s="4"/>
      <c r="G177" s="4"/>
      <c r="H177" s="4"/>
      <c r="I177" s="4"/>
      <c r="J177" s="4"/>
      <c r="K177" s="4"/>
      <c r="L177" s="4"/>
    </row>
    <row r="178" spans="2:12">
      <c r="B178" s="4"/>
      <c r="C178" s="4"/>
      <c r="D178" s="4"/>
      <c r="E178" s="4"/>
      <c r="F178" s="4"/>
      <c r="G178" s="4"/>
      <c r="H178" s="4"/>
      <c r="I178" s="4"/>
      <c r="J178" s="4"/>
      <c r="K178" s="4"/>
      <c r="L178" s="4"/>
    </row>
    <row r="179" spans="2:12">
      <c r="B179" s="4"/>
      <c r="C179" s="4"/>
      <c r="D179" s="4"/>
      <c r="E179" s="4"/>
      <c r="F179" s="4"/>
      <c r="G179" s="4"/>
      <c r="H179" s="4"/>
      <c r="I179" s="4"/>
      <c r="J179" s="4"/>
      <c r="K179" s="4"/>
      <c r="L179" s="4"/>
    </row>
    <row r="180" spans="2:12">
      <c r="B180" s="4"/>
      <c r="C180" s="4"/>
      <c r="D180" s="4"/>
      <c r="E180" s="4"/>
      <c r="F180" s="4"/>
      <c r="G180" s="4"/>
      <c r="H180" s="4"/>
      <c r="I180" s="4"/>
      <c r="J180" s="4"/>
      <c r="K180" s="4"/>
      <c r="L180" s="4"/>
    </row>
    <row r="181" spans="2:12">
      <c r="B181" s="4"/>
      <c r="C181" s="4"/>
      <c r="D181" s="4"/>
      <c r="E181" s="4"/>
      <c r="F181" s="4"/>
      <c r="G181" s="4"/>
      <c r="H181" s="4"/>
      <c r="I181" s="4"/>
      <c r="J181" s="4"/>
      <c r="K181" s="4"/>
      <c r="L181" s="4"/>
    </row>
    <row r="182" spans="2:12">
      <c r="B182" s="4"/>
      <c r="C182" s="4"/>
      <c r="D182" s="4"/>
      <c r="E182" s="4"/>
      <c r="F182" s="4"/>
      <c r="G182" s="4"/>
      <c r="H182" s="4"/>
      <c r="I182" s="4"/>
      <c r="J182" s="4"/>
      <c r="K182" s="4"/>
      <c r="L182" s="4"/>
    </row>
    <row r="183" spans="2:12">
      <c r="B183" s="4"/>
      <c r="C183" s="4"/>
      <c r="D183" s="4"/>
      <c r="E183" s="4"/>
      <c r="F183" s="4"/>
      <c r="G183" s="4"/>
      <c r="H183" s="4"/>
      <c r="I183" s="4"/>
      <c r="J183" s="4"/>
      <c r="K183" s="4"/>
      <c r="L183" s="4"/>
    </row>
    <row r="184" spans="2:12">
      <c r="B184" s="4"/>
      <c r="C184" s="4"/>
      <c r="D184" s="4"/>
      <c r="E184" s="4"/>
      <c r="F184" s="4"/>
      <c r="G184" s="4"/>
      <c r="H184" s="4"/>
      <c r="I184" s="4"/>
      <c r="J184" s="4"/>
      <c r="K184" s="4"/>
      <c r="L184" s="4"/>
    </row>
    <row r="185" spans="2:12">
      <c r="B185" s="4"/>
      <c r="C185" s="4"/>
      <c r="D185" s="4"/>
      <c r="E185" s="4"/>
      <c r="F185" s="4"/>
      <c r="G185" s="4"/>
      <c r="H185" s="4"/>
      <c r="I185" s="4"/>
      <c r="J185" s="4"/>
      <c r="K185" s="4"/>
      <c r="L185" s="4"/>
    </row>
    <row r="186" spans="2:12">
      <c r="B186" s="4"/>
      <c r="C186" s="4"/>
      <c r="D186" s="4"/>
      <c r="E186" s="4"/>
      <c r="F186" s="4"/>
      <c r="G186" s="4"/>
      <c r="H186" s="4"/>
      <c r="I186" s="4"/>
      <c r="J186" s="4"/>
      <c r="K186" s="4"/>
      <c r="L186" s="4"/>
    </row>
    <row r="187" spans="2:12">
      <c r="B187" s="4"/>
      <c r="C187" s="4"/>
      <c r="D187" s="4"/>
      <c r="E187" s="4"/>
      <c r="F187" s="4"/>
      <c r="G187" s="4"/>
      <c r="H187" s="4"/>
      <c r="I187" s="4"/>
      <c r="J187" s="4"/>
      <c r="K187" s="4"/>
      <c r="L187" s="4"/>
    </row>
    <row r="188" spans="2:12">
      <c r="B188" s="4"/>
      <c r="C188" s="4"/>
      <c r="D188" s="4"/>
      <c r="E188" s="4"/>
      <c r="F188" s="4"/>
      <c r="G188" s="4"/>
      <c r="H188" s="4"/>
      <c r="I188" s="4"/>
      <c r="J188" s="4"/>
      <c r="K188" s="4"/>
      <c r="L188" s="4"/>
    </row>
    <row r="189" spans="2:12">
      <c r="B189" s="4"/>
      <c r="C189" s="4"/>
      <c r="D189" s="4"/>
      <c r="E189" s="4"/>
      <c r="F189" s="4"/>
      <c r="G189" s="4"/>
      <c r="H189" s="4"/>
      <c r="I189" s="4"/>
      <c r="J189" s="4"/>
      <c r="K189" s="4"/>
      <c r="L189" s="4"/>
    </row>
    <row r="190" spans="2:12" ht="14.25" customHeight="1">
      <c r="B190" s="4"/>
      <c r="C190" s="4"/>
      <c r="D190" s="4"/>
      <c r="E190" s="4"/>
      <c r="F190" s="4"/>
      <c r="G190" s="4"/>
      <c r="H190" s="4"/>
      <c r="I190" s="4"/>
      <c r="J190" s="4"/>
      <c r="K190" s="4"/>
      <c r="L190" s="4"/>
    </row>
    <row r="191" spans="2:12" ht="12.75" customHeight="1">
      <c r="B191" s="4"/>
      <c r="C191" s="4"/>
      <c r="D191" s="4"/>
      <c r="E191" s="4"/>
      <c r="F191" s="4"/>
      <c r="G191" s="4"/>
      <c r="H191" s="4"/>
      <c r="I191" s="4"/>
      <c r="J191" s="4"/>
      <c r="K191" s="4"/>
      <c r="L191" s="4"/>
    </row>
    <row r="192" spans="2:12" ht="12.75" customHeight="1">
      <c r="B192" s="4"/>
      <c r="C192" s="4"/>
      <c r="D192" s="4"/>
      <c r="E192" s="4"/>
      <c r="F192" s="4"/>
      <c r="G192" s="4"/>
      <c r="H192" s="4"/>
      <c r="I192" s="4"/>
      <c r="J192" s="4"/>
      <c r="K192" s="4"/>
      <c r="L192" s="4"/>
    </row>
    <row r="193" spans="2:12" ht="12.75" customHeight="1">
      <c r="B193" s="4"/>
      <c r="C193" s="4"/>
      <c r="D193" s="4"/>
      <c r="E193" s="4"/>
      <c r="F193" s="4"/>
      <c r="G193" s="4"/>
      <c r="H193" s="4"/>
      <c r="I193" s="4"/>
      <c r="J193" s="4"/>
      <c r="K193" s="4"/>
      <c r="L193" s="4"/>
    </row>
    <row r="194" spans="2:12" ht="12.75" customHeight="1">
      <c r="B194" s="4"/>
      <c r="C194" s="4"/>
      <c r="D194" s="4"/>
      <c r="E194" s="4"/>
      <c r="F194" s="4"/>
      <c r="G194" s="4"/>
      <c r="H194" s="4"/>
      <c r="I194" s="4"/>
      <c r="J194" s="4"/>
      <c r="K194" s="4"/>
      <c r="L194" s="4"/>
    </row>
    <row r="195" spans="2:12" ht="12.75" customHeight="1">
      <c r="B195" s="4"/>
      <c r="C195" s="4"/>
      <c r="D195" s="4"/>
      <c r="E195" s="4"/>
      <c r="F195" s="4"/>
      <c r="G195" s="4"/>
      <c r="H195" s="4"/>
      <c r="I195" s="4"/>
      <c r="J195" s="4"/>
      <c r="K195" s="4"/>
      <c r="L195" s="4"/>
    </row>
    <row r="196" spans="2:12" ht="12.75" customHeight="1">
      <c r="B196" s="4"/>
      <c r="C196" s="4"/>
      <c r="D196" s="4"/>
      <c r="E196" s="4"/>
      <c r="F196" s="4"/>
      <c r="G196" s="4"/>
      <c r="H196" s="4"/>
      <c r="I196" s="4"/>
      <c r="J196" s="4"/>
      <c r="K196" s="4"/>
      <c r="L196" s="4"/>
    </row>
    <row r="197" spans="2:12" ht="12.75" customHeight="1">
      <c r="B197" s="4"/>
      <c r="C197" s="4"/>
      <c r="D197" s="4"/>
      <c r="E197" s="4"/>
      <c r="F197" s="4"/>
      <c r="G197" s="4"/>
      <c r="H197" s="4"/>
      <c r="I197" s="4"/>
      <c r="J197" s="4"/>
      <c r="K197" s="4"/>
      <c r="L197" s="4"/>
    </row>
    <row r="198" spans="2:12" ht="12.75" customHeight="1">
      <c r="B198" s="4"/>
      <c r="C198" s="4"/>
      <c r="D198" s="4"/>
      <c r="E198" s="4"/>
      <c r="F198" s="4"/>
      <c r="G198" s="4"/>
      <c r="H198" s="4"/>
      <c r="I198" s="4"/>
      <c r="J198" s="4"/>
      <c r="K198" s="4"/>
      <c r="L198" s="4"/>
    </row>
    <row r="199" spans="2:12" ht="12.75" customHeight="1">
      <c r="B199" s="4"/>
      <c r="C199" s="4"/>
      <c r="D199" s="4"/>
      <c r="E199" s="4"/>
      <c r="F199" s="4"/>
      <c r="G199" s="4"/>
      <c r="H199" s="4"/>
      <c r="I199" s="4"/>
      <c r="J199" s="4"/>
      <c r="K199" s="4"/>
      <c r="L199" s="4"/>
    </row>
    <row r="200" spans="2:12" ht="12.75" customHeight="1">
      <c r="B200" s="4"/>
      <c r="C200" s="4"/>
      <c r="D200" s="4"/>
      <c r="E200" s="4"/>
      <c r="F200" s="4"/>
      <c r="G200" s="4"/>
      <c r="H200" s="4"/>
      <c r="I200" s="4"/>
      <c r="J200" s="4"/>
      <c r="K200" s="4"/>
      <c r="L200" s="4"/>
    </row>
    <row r="201" spans="2:12" ht="12.75" customHeight="1">
      <c r="B201" s="4"/>
      <c r="C201" s="4"/>
      <c r="D201" s="4"/>
      <c r="E201" s="4"/>
      <c r="F201" s="4"/>
      <c r="G201" s="4"/>
      <c r="H201" s="4"/>
      <c r="I201" s="4"/>
      <c r="J201" s="4"/>
      <c r="K201" s="4"/>
      <c r="L201" s="4"/>
    </row>
    <row r="202" spans="2:12" ht="12.75" customHeight="1">
      <c r="B202" s="4"/>
      <c r="C202" s="4"/>
      <c r="D202" s="4"/>
      <c r="E202" s="4"/>
      <c r="F202" s="4"/>
      <c r="G202" s="4"/>
      <c r="H202" s="4"/>
      <c r="I202" s="4"/>
      <c r="J202" s="4"/>
      <c r="K202" s="4"/>
      <c r="L202" s="4"/>
    </row>
    <row r="203" spans="2:12" ht="12.75" customHeight="1">
      <c r="B203" s="4"/>
      <c r="C203" s="4"/>
      <c r="D203" s="4"/>
      <c r="E203" s="4"/>
      <c r="F203" s="4"/>
      <c r="G203" s="4"/>
      <c r="H203" s="4"/>
      <c r="I203" s="4"/>
      <c r="J203" s="4"/>
      <c r="K203" s="4"/>
      <c r="L203" s="4"/>
    </row>
    <row r="204" spans="2:12" ht="12.75" customHeight="1">
      <c r="B204" s="4"/>
      <c r="C204" s="4"/>
      <c r="D204" s="4"/>
      <c r="E204" s="4"/>
      <c r="F204" s="4"/>
      <c r="G204" s="4"/>
      <c r="H204" s="4"/>
      <c r="I204" s="4"/>
      <c r="J204" s="4"/>
      <c r="K204" s="4"/>
      <c r="L204" s="4"/>
    </row>
    <row r="205" spans="2:12" ht="12.75" customHeight="1">
      <c r="B205" s="4"/>
      <c r="C205" s="4"/>
      <c r="D205" s="4"/>
      <c r="E205" s="4"/>
      <c r="F205" s="4"/>
      <c r="G205" s="4"/>
      <c r="H205" s="4"/>
      <c r="I205" s="4"/>
      <c r="J205" s="4"/>
      <c r="K205" s="4"/>
      <c r="L205" s="4"/>
    </row>
    <row r="206" spans="2:12">
      <c r="B206" s="4"/>
      <c r="C206" s="4"/>
      <c r="D206" s="4"/>
      <c r="E206" s="4"/>
      <c r="F206" s="4"/>
      <c r="G206" s="4"/>
      <c r="H206" s="4"/>
      <c r="I206" s="4"/>
      <c r="J206" s="4"/>
      <c r="K206" s="4"/>
      <c r="L206" s="4"/>
    </row>
    <row r="207" spans="2:12">
      <c r="B207" s="4"/>
      <c r="C207" s="4"/>
      <c r="D207" s="4"/>
      <c r="E207" s="4"/>
      <c r="F207" s="4"/>
      <c r="G207" s="4"/>
      <c r="H207" s="4"/>
      <c r="I207" s="4"/>
      <c r="J207" s="4"/>
      <c r="K207" s="4"/>
      <c r="L207" s="4"/>
    </row>
    <row r="208" spans="2:12">
      <c r="B208" s="4"/>
      <c r="C208" s="4"/>
      <c r="D208" s="4"/>
      <c r="E208" s="4"/>
      <c r="F208" s="4"/>
      <c r="G208" s="4"/>
      <c r="H208" s="4"/>
      <c r="I208" s="4"/>
      <c r="J208" s="4"/>
      <c r="K208" s="4"/>
      <c r="L208" s="4"/>
    </row>
    <row r="209" spans="2:12">
      <c r="B209" s="4"/>
      <c r="C209" s="4"/>
      <c r="D209" s="4"/>
      <c r="E209" s="4"/>
      <c r="F209" s="4"/>
      <c r="G209" s="4"/>
      <c r="H209" s="4"/>
      <c r="I209" s="4"/>
      <c r="J209" s="4"/>
      <c r="K209" s="4"/>
      <c r="L209" s="4"/>
    </row>
    <row r="210" spans="2:12">
      <c r="B210" s="4"/>
      <c r="C210" s="4"/>
      <c r="D210" s="4"/>
      <c r="E210" s="4"/>
      <c r="F210" s="4"/>
      <c r="G210" s="4"/>
      <c r="H210" s="4"/>
      <c r="I210" s="4"/>
      <c r="J210" s="4"/>
      <c r="K210" s="4"/>
      <c r="L210" s="4"/>
    </row>
    <row r="211" spans="2:12">
      <c r="B211" s="4"/>
      <c r="C211" s="4"/>
      <c r="D211" s="4"/>
      <c r="E211" s="4"/>
      <c r="F211" s="4"/>
      <c r="G211" s="4"/>
      <c r="H211" s="4"/>
      <c r="I211" s="4"/>
      <c r="J211" s="4"/>
      <c r="K211" s="4"/>
      <c r="L211" s="4"/>
    </row>
    <row r="212" spans="2:12">
      <c r="B212" s="4"/>
      <c r="C212" s="4"/>
      <c r="D212" s="4"/>
      <c r="E212" s="4"/>
      <c r="F212" s="4"/>
      <c r="G212" s="4"/>
      <c r="H212" s="4"/>
      <c r="I212" s="4"/>
      <c r="J212" s="4"/>
      <c r="K212" s="4"/>
      <c r="L212" s="4"/>
    </row>
    <row r="213" spans="2:12">
      <c r="B213" s="4"/>
      <c r="C213" s="4"/>
      <c r="D213" s="4"/>
      <c r="E213" s="4"/>
      <c r="F213" s="4"/>
      <c r="G213" s="4"/>
      <c r="H213" s="4"/>
      <c r="I213" s="4"/>
      <c r="J213" s="4"/>
      <c r="K213" s="4"/>
      <c r="L213" s="4"/>
    </row>
    <row r="214" spans="2:12">
      <c r="B214" s="4"/>
      <c r="C214" s="4"/>
      <c r="D214" s="4"/>
      <c r="E214" s="4"/>
      <c r="F214" s="4"/>
      <c r="G214" s="4"/>
      <c r="H214" s="4"/>
      <c r="I214" s="4"/>
      <c r="J214" s="4"/>
      <c r="K214" s="4"/>
      <c r="L214" s="4"/>
    </row>
    <row r="215" spans="2:12">
      <c r="B215" s="4"/>
      <c r="C215" s="4"/>
      <c r="D215" s="4"/>
      <c r="E215" s="4"/>
      <c r="F215" s="4"/>
      <c r="G215" s="4"/>
      <c r="H215" s="4"/>
      <c r="I215" s="4"/>
      <c r="J215" s="4"/>
      <c r="K215" s="4"/>
      <c r="L215" s="4"/>
    </row>
    <row r="216" spans="2:12">
      <c r="B216" s="4"/>
      <c r="C216" s="4"/>
      <c r="D216" s="4"/>
      <c r="E216" s="4"/>
      <c r="F216" s="4"/>
      <c r="G216" s="4"/>
      <c r="H216" s="4"/>
      <c r="I216" s="4"/>
      <c r="J216" s="4"/>
      <c r="K216" s="4"/>
      <c r="L216" s="4"/>
    </row>
    <row r="217" spans="2:12">
      <c r="B217" s="4"/>
      <c r="C217" s="4"/>
      <c r="D217" s="4"/>
      <c r="E217" s="4"/>
      <c r="F217" s="4"/>
      <c r="G217" s="4"/>
      <c r="H217" s="4"/>
      <c r="I217" s="4"/>
      <c r="J217" s="4"/>
      <c r="K217" s="4"/>
      <c r="L217" s="4"/>
    </row>
    <row r="218" spans="2:12">
      <c r="B218" s="4"/>
      <c r="C218" s="4"/>
      <c r="D218" s="4"/>
      <c r="E218" s="4"/>
      <c r="F218" s="4"/>
      <c r="G218" s="4"/>
      <c r="H218" s="4"/>
      <c r="I218" s="4"/>
      <c r="J218" s="4"/>
      <c r="K218" s="4"/>
      <c r="L218" s="4"/>
    </row>
    <row r="219" spans="2:12">
      <c r="B219" s="4"/>
      <c r="C219" s="4"/>
      <c r="D219" s="4"/>
      <c r="E219" s="4"/>
      <c r="F219" s="4"/>
      <c r="G219" s="4"/>
      <c r="H219" s="4"/>
      <c r="I219" s="4"/>
      <c r="J219" s="4"/>
      <c r="K219" s="4"/>
      <c r="L219" s="4"/>
    </row>
    <row r="220" spans="2:12">
      <c r="B220" s="4"/>
      <c r="C220" s="4"/>
      <c r="D220" s="4"/>
      <c r="E220" s="4"/>
      <c r="F220" s="4"/>
      <c r="G220" s="4"/>
      <c r="H220" s="4"/>
      <c r="I220" s="4"/>
      <c r="J220" s="4"/>
      <c r="K220" s="4"/>
      <c r="L220" s="4"/>
    </row>
    <row r="221" spans="2:12">
      <c r="B221" s="4"/>
      <c r="C221" s="4"/>
      <c r="D221" s="4"/>
      <c r="E221" s="4"/>
      <c r="F221" s="4"/>
      <c r="G221" s="4"/>
      <c r="H221" s="4"/>
      <c r="I221" s="4"/>
      <c r="J221" s="4"/>
      <c r="K221" s="4"/>
      <c r="L221" s="4"/>
    </row>
    <row r="222" spans="2:12">
      <c r="B222" s="4"/>
      <c r="C222" s="4"/>
      <c r="D222" s="4"/>
      <c r="E222" s="4"/>
      <c r="F222" s="4"/>
      <c r="G222" s="4"/>
      <c r="H222" s="4"/>
      <c r="I222" s="4"/>
      <c r="J222" s="4"/>
      <c r="K222" s="4"/>
      <c r="L222" s="4"/>
    </row>
    <row r="223" spans="2:12">
      <c r="B223" s="4"/>
      <c r="C223" s="4"/>
      <c r="D223" s="4"/>
      <c r="E223" s="4"/>
      <c r="F223" s="4"/>
      <c r="G223" s="4"/>
      <c r="H223" s="4"/>
      <c r="I223" s="4"/>
      <c r="J223" s="4"/>
      <c r="K223" s="4"/>
      <c r="L22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61"/>
  <sheetViews>
    <sheetView view="pageBreakPreview" zoomScale="60" zoomScaleNormal="100" workbookViewId="0">
      <selection activeCell="D13" sqref="D13"/>
    </sheetView>
  </sheetViews>
  <sheetFormatPr defaultColWidth="8.81640625" defaultRowHeight="12.5"/>
  <cols>
    <col min="1" max="1" width="33.453125" customWidth="1"/>
    <col min="2" max="2" width="10.26953125" customWidth="1"/>
    <col min="3" max="3" width="3.26953125" customWidth="1"/>
    <col min="4" max="4" width="25.81640625" customWidth="1"/>
    <col min="5" max="5" width="4.7265625" customWidth="1"/>
    <col min="6" max="6" width="15.54296875" customWidth="1"/>
    <col min="8" max="8" width="21" customWidth="1"/>
    <col min="9" max="9" width="18.1796875" customWidth="1"/>
    <col min="11" max="11" width="18.1796875" customWidth="1"/>
  </cols>
  <sheetData>
    <row r="1" spans="1:11" ht="15.5">
      <c r="A1" s="694" t="s">
        <v>116</v>
      </c>
    </row>
    <row r="2" spans="1:11" ht="15.5">
      <c r="A2" s="694" t="s">
        <v>116</v>
      </c>
    </row>
    <row r="3" spans="1:11" ht="15.5">
      <c r="A3" s="1265" t="s">
        <v>389</v>
      </c>
      <c r="B3" s="1265"/>
      <c r="C3" s="1265"/>
      <c r="D3" s="1265"/>
      <c r="E3" s="1265"/>
      <c r="F3" s="1265"/>
      <c r="G3" s="1265"/>
      <c r="H3" s="1265"/>
      <c r="I3" s="1265"/>
      <c r="J3" s="1265"/>
      <c r="K3" s="1265"/>
    </row>
    <row r="4" spans="1:11" ht="15.5">
      <c r="A4" s="1266" t="s">
        <v>569</v>
      </c>
      <c r="B4" s="1266"/>
      <c r="C4" s="1266"/>
      <c r="D4" s="1266"/>
      <c r="E4" s="1266"/>
      <c r="F4" s="1266"/>
      <c r="G4" s="1266"/>
      <c r="H4" s="1266"/>
      <c r="I4" s="1266"/>
      <c r="J4" s="1266"/>
      <c r="K4" s="1266"/>
    </row>
    <row r="5" spans="1:11" ht="15.5">
      <c r="A5" s="1266" t="s">
        <v>570</v>
      </c>
      <c r="B5" s="1266"/>
      <c r="C5" s="1266"/>
      <c r="D5" s="1266"/>
      <c r="E5" s="1266"/>
      <c r="F5" s="1266"/>
      <c r="G5" s="1266"/>
      <c r="H5" s="1266"/>
      <c r="I5" s="1266"/>
      <c r="J5" s="1266"/>
      <c r="K5" s="1266"/>
    </row>
    <row r="6" spans="1:11" ht="15.5">
      <c r="A6" s="2"/>
      <c r="B6" s="2"/>
      <c r="C6" s="2"/>
      <c r="D6" s="1266"/>
      <c r="E6" s="1266"/>
      <c r="F6" s="1266"/>
      <c r="G6" s="1266"/>
      <c r="H6" s="2"/>
      <c r="I6" s="2"/>
      <c r="J6" s="2"/>
      <c r="K6" s="2"/>
    </row>
    <row r="9" spans="1:11" ht="16" thickBot="1">
      <c r="A9" s="603"/>
      <c r="B9" s="604"/>
      <c r="C9" s="604"/>
      <c r="D9" s="604"/>
      <c r="E9" s="604"/>
      <c r="F9" s="604"/>
      <c r="G9" s="604"/>
      <c r="H9" s="604"/>
      <c r="I9" s="604"/>
      <c r="J9" s="604"/>
      <c r="K9" s="604"/>
    </row>
    <row r="10" spans="1:11" ht="51" customHeight="1">
      <c r="A10" s="605" t="str">
        <f>'KPCO WS Q Interest'!A10</f>
        <v>Reconciliation Revenue Requirement For Year 2022 Available May 25, 2023</v>
      </c>
      <c r="B10" s="604"/>
      <c r="C10" s="604"/>
      <c r="D10" s="605" t="s">
        <v>1072</v>
      </c>
      <c r="E10" s="604"/>
      <c r="F10" s="604"/>
      <c r="G10" s="2"/>
      <c r="H10" s="605" t="s">
        <v>550</v>
      </c>
      <c r="I10" s="2"/>
      <c r="J10" s="2"/>
      <c r="K10" s="2"/>
    </row>
    <row r="11" spans="1:11" ht="15.5">
      <c r="A11" s="606" t="s">
        <v>116</v>
      </c>
      <c r="B11" s="604"/>
      <c r="C11" s="604"/>
      <c r="D11" s="606"/>
      <c r="E11" s="604"/>
      <c r="F11" s="604"/>
      <c r="G11" s="2"/>
      <c r="H11" s="607"/>
      <c r="I11" s="2"/>
      <c r="J11" s="2"/>
      <c r="K11" s="2"/>
    </row>
    <row r="12" spans="1:11" ht="16" thickBot="1">
      <c r="A12" s="686">
        <v>367707.74658860016</v>
      </c>
      <c r="B12" s="1079" t="str">
        <f>"-"</f>
        <v>-</v>
      </c>
      <c r="C12" s="1080"/>
      <c r="D12" s="686">
        <v>416512.58326821151</v>
      </c>
      <c r="E12" s="608"/>
      <c r="F12" s="609" t="str">
        <f>"="</f>
        <v>=</v>
      </c>
      <c r="G12" s="610"/>
      <c r="H12" s="611">
        <f>IF(A12=0,0,D12-A12)</f>
        <v>48804.836679611355</v>
      </c>
      <c r="I12" s="2"/>
      <c r="J12" s="2"/>
      <c r="K12" s="2"/>
    </row>
    <row r="13" spans="1:11" ht="15.5">
      <c r="A13" s="612"/>
      <c r="B13" s="613"/>
      <c r="C13" s="613"/>
      <c r="D13" s="612"/>
      <c r="E13" s="612"/>
      <c r="F13" s="613"/>
      <c r="G13" s="612"/>
      <c r="H13" s="2"/>
      <c r="I13" s="2"/>
      <c r="J13" s="2"/>
      <c r="K13" s="2"/>
    </row>
    <row r="14" spans="1:11" ht="16" thickBot="1">
      <c r="A14" s="614"/>
      <c r="B14" s="615"/>
      <c r="C14" s="615"/>
      <c r="D14" s="614"/>
      <c r="E14" s="614"/>
      <c r="F14" s="615"/>
      <c r="G14" s="614"/>
      <c r="H14" s="616"/>
      <c r="I14" s="616"/>
      <c r="J14" s="616"/>
      <c r="K14" s="616"/>
    </row>
    <row r="15" spans="1:11" ht="15.5">
      <c r="A15" s="617"/>
      <c r="B15" s="613"/>
      <c r="C15" s="613"/>
      <c r="D15" s="612"/>
      <c r="E15" s="612"/>
      <c r="F15" s="613"/>
      <c r="G15" s="612"/>
      <c r="H15" s="2"/>
      <c r="I15" s="2"/>
      <c r="J15" s="2"/>
      <c r="K15" s="2"/>
    </row>
    <row r="16" spans="1:11" ht="31">
      <c r="A16" s="618" t="s">
        <v>551</v>
      </c>
      <c r="B16" s="613"/>
      <c r="C16" s="613"/>
      <c r="D16" s="619" t="s">
        <v>552</v>
      </c>
      <c r="E16" s="612"/>
      <c r="F16" s="619" t="s">
        <v>553</v>
      </c>
      <c r="G16" s="620" t="s">
        <v>554</v>
      </c>
      <c r="H16" s="621" t="s">
        <v>555</v>
      </c>
      <c r="I16" s="619" t="s">
        <v>556</v>
      </c>
      <c r="J16" s="622"/>
      <c r="K16" s="619" t="s">
        <v>557</v>
      </c>
    </row>
    <row r="17" spans="1:11" ht="15.5">
      <c r="A17" s="618" t="s">
        <v>558</v>
      </c>
      <c r="B17" s="613"/>
      <c r="C17" s="613"/>
      <c r="D17" s="2"/>
      <c r="E17" s="623"/>
      <c r="F17" s="687">
        <f>'KPCO WS Q Interest'!F17</f>
        <v>4.239999999999999E-3</v>
      </c>
      <c r="H17" s="2"/>
      <c r="I17" s="2"/>
      <c r="J17" s="2"/>
      <c r="K17" s="2"/>
    </row>
    <row r="18" spans="1:11" ht="15.5">
      <c r="A18" s="618"/>
      <c r="B18" s="613"/>
      <c r="C18" s="613"/>
      <c r="D18" s="2"/>
      <c r="E18" s="623"/>
      <c r="F18" s="623"/>
      <c r="G18" s="612"/>
      <c r="H18" s="2"/>
      <c r="I18" s="2"/>
      <c r="J18" s="2"/>
      <c r="K18" s="2"/>
    </row>
    <row r="19" spans="1:11" ht="15.5">
      <c r="A19" s="618" t="str">
        <f>'KPCO WS Q Interest'!A19</f>
        <v>An over or under collection will be recovered prorata over 2022, held for 2023 and returned prorate over 2024</v>
      </c>
      <c r="B19" s="613"/>
      <c r="C19" s="613"/>
      <c r="D19" s="2"/>
      <c r="E19" s="623"/>
      <c r="F19" s="623"/>
      <c r="G19" s="612"/>
      <c r="H19" s="2"/>
      <c r="I19" s="2"/>
      <c r="J19" s="2"/>
      <c r="K19" s="2"/>
    </row>
    <row r="20" spans="1:11" ht="15.5">
      <c r="A20" s="624" t="s">
        <v>116</v>
      </c>
      <c r="B20" s="613"/>
      <c r="C20" s="613"/>
      <c r="D20" s="613"/>
      <c r="E20" s="613"/>
      <c r="F20" s="613" t="s">
        <v>116</v>
      </c>
      <c r="G20" s="2"/>
      <c r="H20" s="2"/>
      <c r="I20" s="2"/>
      <c r="J20" s="2"/>
      <c r="K20" s="2"/>
    </row>
    <row r="21" spans="1:11" ht="15.5">
      <c r="A21" s="625"/>
      <c r="B21" s="613"/>
      <c r="C21" s="613"/>
      <c r="D21" s="613"/>
      <c r="E21" s="613"/>
      <c r="F21" s="2"/>
      <c r="G21" s="2"/>
      <c r="H21" s="620"/>
      <c r="I21" s="613"/>
      <c r="J21" s="613"/>
      <c r="K21" s="613"/>
    </row>
    <row r="22" spans="1:11" ht="15.5">
      <c r="A22" s="625" t="s">
        <v>559</v>
      </c>
      <c r="B22" s="613"/>
      <c r="C22" s="613"/>
      <c r="D22" s="613"/>
      <c r="E22" s="613"/>
      <c r="F22" s="2"/>
      <c r="G22" s="2"/>
      <c r="H22" s="620" t="s">
        <v>560</v>
      </c>
      <c r="I22" s="613"/>
      <c r="J22" s="613"/>
      <c r="K22" s="613"/>
    </row>
    <row r="23" spans="1:11" ht="15.5">
      <c r="A23" s="604" t="s">
        <v>187</v>
      </c>
      <c r="B23" s="604" t="str">
        <f>"Year "&amp;TCOS!L4-2</f>
        <v>Year 2022</v>
      </c>
      <c r="C23" s="604"/>
      <c r="D23" s="626">
        <f>H12/12</f>
        <v>4067.0697233009464</v>
      </c>
      <c r="E23" s="626"/>
      <c r="F23" s="627">
        <f>+F17</f>
        <v>4.239999999999999E-3</v>
      </c>
      <c r="G23" s="613">
        <v>12</v>
      </c>
      <c r="H23" s="626">
        <f>F23*D23*G23*-1</f>
        <v>-206.93250752155208</v>
      </c>
      <c r="I23" s="626"/>
      <c r="J23" s="626"/>
      <c r="K23" s="626">
        <f>(-H23+D23)*-1</f>
        <v>-4274.0022308224989</v>
      </c>
    </row>
    <row r="24" spans="1:11" ht="15.5">
      <c r="A24" s="604" t="s">
        <v>561</v>
      </c>
      <c r="B24" s="604" t="str">
        <f>B23</f>
        <v>Year 2022</v>
      </c>
      <c r="C24" s="604"/>
      <c r="D24" s="626">
        <f>+D23</f>
        <v>4067.0697233009464</v>
      </c>
      <c r="E24" s="626"/>
      <c r="F24" s="627">
        <f>+F23</f>
        <v>4.239999999999999E-3</v>
      </c>
      <c r="G24" s="613">
        <f t="shared" ref="G24:G34" si="0">+G23-1</f>
        <v>11</v>
      </c>
      <c r="H24" s="626">
        <f t="shared" ref="H24:H34" si="1">F24*D24*G24*-1</f>
        <v>-189.68813189475608</v>
      </c>
      <c r="I24" s="626"/>
      <c r="J24" s="626"/>
      <c r="K24" s="626">
        <f t="shared" ref="K24:K34" si="2">(-H24+D24)*-1</f>
        <v>-4256.7578551957022</v>
      </c>
    </row>
    <row r="25" spans="1:11" ht="15.5">
      <c r="A25" s="604" t="s">
        <v>188</v>
      </c>
      <c r="B25" s="604" t="str">
        <f t="shared" ref="B25:B34" si="3">B24</f>
        <v>Year 2022</v>
      </c>
      <c r="C25" s="604"/>
      <c r="D25" s="626">
        <f t="shared" ref="D25:D34" si="4">+D24</f>
        <v>4067.0697233009464</v>
      </c>
      <c r="E25" s="626"/>
      <c r="F25" s="627">
        <f t="shared" ref="F25:F34" si="5">+F24</f>
        <v>4.239999999999999E-3</v>
      </c>
      <c r="G25" s="613">
        <f t="shared" si="0"/>
        <v>10</v>
      </c>
      <c r="H25" s="626">
        <f t="shared" si="1"/>
        <v>-172.44375626796005</v>
      </c>
      <c r="I25" s="626"/>
      <c r="J25" s="626"/>
      <c r="K25" s="626">
        <f t="shared" si="2"/>
        <v>-4239.5134795689064</v>
      </c>
    </row>
    <row r="26" spans="1:11" ht="15.5">
      <c r="A26" s="604" t="s">
        <v>189</v>
      </c>
      <c r="B26" s="604" t="str">
        <f t="shared" si="3"/>
        <v>Year 2022</v>
      </c>
      <c r="C26" s="604"/>
      <c r="D26" s="626">
        <f t="shared" si="4"/>
        <v>4067.0697233009464</v>
      </c>
      <c r="E26" s="626"/>
      <c r="F26" s="627">
        <f t="shared" si="5"/>
        <v>4.239999999999999E-3</v>
      </c>
      <c r="G26" s="613">
        <f t="shared" si="0"/>
        <v>9</v>
      </c>
      <c r="H26" s="626">
        <f t="shared" si="1"/>
        <v>-155.19938064116405</v>
      </c>
      <c r="I26" s="626"/>
      <c r="J26" s="626"/>
      <c r="K26" s="626">
        <f t="shared" si="2"/>
        <v>-4222.2691039421106</v>
      </c>
    </row>
    <row r="27" spans="1:11" ht="15.5">
      <c r="A27" s="604" t="s">
        <v>190</v>
      </c>
      <c r="B27" s="604" t="str">
        <f t="shared" si="3"/>
        <v>Year 2022</v>
      </c>
      <c r="C27" s="604"/>
      <c r="D27" s="626">
        <f t="shared" si="4"/>
        <v>4067.0697233009464</v>
      </c>
      <c r="E27" s="626"/>
      <c r="F27" s="627">
        <f t="shared" si="5"/>
        <v>4.239999999999999E-3</v>
      </c>
      <c r="G27" s="613">
        <f t="shared" si="0"/>
        <v>8</v>
      </c>
      <c r="H27" s="626">
        <f t="shared" si="1"/>
        <v>-137.95500501436806</v>
      </c>
      <c r="I27" s="626"/>
      <c r="J27" s="626"/>
      <c r="K27" s="626">
        <f t="shared" si="2"/>
        <v>-4205.0247283153149</v>
      </c>
    </row>
    <row r="28" spans="1:11" ht="15.5">
      <c r="A28" s="604" t="s">
        <v>384</v>
      </c>
      <c r="B28" s="604" t="str">
        <f t="shared" si="3"/>
        <v>Year 2022</v>
      </c>
      <c r="C28" s="604"/>
      <c r="D28" s="626">
        <f t="shared" si="4"/>
        <v>4067.0697233009464</v>
      </c>
      <c r="E28" s="626"/>
      <c r="F28" s="627">
        <f t="shared" si="5"/>
        <v>4.239999999999999E-3</v>
      </c>
      <c r="G28" s="613">
        <f t="shared" si="0"/>
        <v>7</v>
      </c>
      <c r="H28" s="626">
        <f t="shared" si="1"/>
        <v>-120.71062938757206</v>
      </c>
      <c r="I28" s="626"/>
      <c r="J28" s="626"/>
      <c r="K28" s="626">
        <f t="shared" si="2"/>
        <v>-4187.7803526885182</v>
      </c>
    </row>
    <row r="29" spans="1:11" ht="15.5">
      <c r="A29" s="604" t="s">
        <v>191</v>
      </c>
      <c r="B29" s="604" t="str">
        <f t="shared" si="3"/>
        <v>Year 2022</v>
      </c>
      <c r="C29" s="604"/>
      <c r="D29" s="626">
        <f t="shared" si="4"/>
        <v>4067.0697233009464</v>
      </c>
      <c r="E29" s="626"/>
      <c r="F29" s="627">
        <f t="shared" si="5"/>
        <v>4.239999999999999E-3</v>
      </c>
      <c r="G29" s="613">
        <f t="shared" si="0"/>
        <v>6</v>
      </c>
      <c r="H29" s="626">
        <f t="shared" si="1"/>
        <v>-103.46625376077604</v>
      </c>
      <c r="I29" s="626"/>
      <c r="J29" s="626"/>
      <c r="K29" s="626">
        <f t="shared" si="2"/>
        <v>-4170.5359770617224</v>
      </c>
    </row>
    <row r="30" spans="1:11" ht="15.5">
      <c r="A30" s="604" t="s">
        <v>192</v>
      </c>
      <c r="B30" s="604" t="str">
        <f t="shared" si="3"/>
        <v>Year 2022</v>
      </c>
      <c r="C30" s="604"/>
      <c r="D30" s="626">
        <f t="shared" si="4"/>
        <v>4067.0697233009464</v>
      </c>
      <c r="E30" s="626"/>
      <c r="F30" s="627">
        <f t="shared" si="5"/>
        <v>4.239999999999999E-3</v>
      </c>
      <c r="G30" s="613">
        <f t="shared" si="0"/>
        <v>5</v>
      </c>
      <c r="H30" s="626">
        <f t="shared" si="1"/>
        <v>-86.221878133980027</v>
      </c>
      <c r="I30" s="626"/>
      <c r="J30" s="626"/>
      <c r="K30" s="626">
        <f t="shared" si="2"/>
        <v>-4153.2916014349266</v>
      </c>
    </row>
    <row r="31" spans="1:11" ht="15.5">
      <c r="A31" s="604" t="s">
        <v>194</v>
      </c>
      <c r="B31" s="604" t="str">
        <f t="shared" si="3"/>
        <v>Year 2022</v>
      </c>
      <c r="C31" s="604"/>
      <c r="D31" s="626">
        <f t="shared" si="4"/>
        <v>4067.0697233009464</v>
      </c>
      <c r="E31" s="626"/>
      <c r="F31" s="627">
        <f t="shared" si="5"/>
        <v>4.239999999999999E-3</v>
      </c>
      <c r="G31" s="613">
        <f t="shared" si="0"/>
        <v>4</v>
      </c>
      <c r="H31" s="626">
        <f t="shared" si="1"/>
        <v>-68.977502507184028</v>
      </c>
      <c r="I31" s="626"/>
      <c r="J31" s="626"/>
      <c r="K31" s="626">
        <f t="shared" si="2"/>
        <v>-4136.0472258081309</v>
      </c>
    </row>
    <row r="32" spans="1:11" ht="15.5">
      <c r="A32" s="604" t="s">
        <v>562</v>
      </c>
      <c r="B32" s="604" t="str">
        <f t="shared" si="3"/>
        <v>Year 2022</v>
      </c>
      <c r="C32" s="604"/>
      <c r="D32" s="626">
        <f t="shared" si="4"/>
        <v>4067.0697233009464</v>
      </c>
      <c r="E32" s="626"/>
      <c r="F32" s="627">
        <f t="shared" si="5"/>
        <v>4.239999999999999E-3</v>
      </c>
      <c r="G32" s="613">
        <f t="shared" si="0"/>
        <v>3</v>
      </c>
      <c r="H32" s="626">
        <f t="shared" si="1"/>
        <v>-51.733126880388021</v>
      </c>
      <c r="I32" s="626"/>
      <c r="J32" s="626"/>
      <c r="K32" s="626">
        <f t="shared" si="2"/>
        <v>-4118.8028501813342</v>
      </c>
    </row>
    <row r="33" spans="1:11" ht="15.5">
      <c r="A33" s="604" t="s">
        <v>563</v>
      </c>
      <c r="B33" s="604" t="str">
        <f t="shared" si="3"/>
        <v>Year 2022</v>
      </c>
      <c r="C33" s="604"/>
      <c r="D33" s="626">
        <f t="shared" si="4"/>
        <v>4067.0697233009464</v>
      </c>
      <c r="E33" s="626"/>
      <c r="F33" s="627">
        <f t="shared" si="5"/>
        <v>4.239999999999999E-3</v>
      </c>
      <c r="G33" s="613">
        <f t="shared" si="0"/>
        <v>2</v>
      </c>
      <c r="H33" s="626">
        <f t="shared" si="1"/>
        <v>-34.488751253592014</v>
      </c>
      <c r="I33" s="626"/>
      <c r="J33" s="626"/>
      <c r="K33" s="626">
        <f t="shared" si="2"/>
        <v>-4101.5584745545384</v>
      </c>
    </row>
    <row r="34" spans="1:11" ht="15.5">
      <c r="A34" s="604" t="s">
        <v>193</v>
      </c>
      <c r="B34" s="604" t="str">
        <f t="shared" si="3"/>
        <v>Year 2022</v>
      </c>
      <c r="C34" s="604"/>
      <c r="D34" s="626">
        <f t="shared" si="4"/>
        <v>4067.0697233009464</v>
      </c>
      <c r="E34" s="626"/>
      <c r="F34" s="627">
        <f t="shared" si="5"/>
        <v>4.239999999999999E-3</v>
      </c>
      <c r="G34" s="613">
        <f t="shared" si="0"/>
        <v>1</v>
      </c>
      <c r="H34" s="628">
        <f t="shared" si="1"/>
        <v>-17.244375626796007</v>
      </c>
      <c r="I34" s="626"/>
      <c r="J34" s="626"/>
      <c r="K34" s="626">
        <f t="shared" si="2"/>
        <v>-4084.3140989277426</v>
      </c>
    </row>
    <row r="35" spans="1:11" ht="15.5">
      <c r="A35" s="604"/>
      <c r="B35" s="604"/>
      <c r="C35" s="604"/>
      <c r="D35" s="626"/>
      <c r="E35" s="626"/>
      <c r="F35" s="627"/>
      <c r="G35" s="613"/>
      <c r="H35" s="626">
        <f>SUM(H23:H34)</f>
        <v>-1345.0612988900882</v>
      </c>
      <c r="I35" s="626"/>
      <c r="J35" s="626"/>
      <c r="K35" s="629">
        <f>SUM(K23:K34)</f>
        <v>-50149.897978501438</v>
      </c>
    </row>
    <row r="36" spans="1:11" ht="15.5">
      <c r="A36" s="604"/>
      <c r="B36" s="604"/>
      <c r="C36" s="604"/>
      <c r="D36" s="626"/>
      <c r="E36" s="626"/>
      <c r="F36" s="627"/>
      <c r="G36" s="613"/>
      <c r="H36" s="626"/>
      <c r="I36" s="626" t="s">
        <v>116</v>
      </c>
      <c r="J36" s="626"/>
      <c r="K36" s="2"/>
    </row>
    <row r="37" spans="1:11" ht="15.5">
      <c r="A37" s="604"/>
      <c r="B37" s="604"/>
      <c r="C37" s="604"/>
      <c r="D37" s="612"/>
      <c r="E37" s="612"/>
      <c r="F37" s="627"/>
      <c r="G37" s="613"/>
      <c r="H37" s="630" t="s">
        <v>564</v>
      </c>
      <c r="I37" s="626"/>
      <c r="J37" s="626"/>
      <c r="K37" s="626"/>
    </row>
    <row r="38" spans="1:11" ht="15.5">
      <c r="A38" s="604" t="s">
        <v>565</v>
      </c>
      <c r="B38" s="604" t="str">
        <f>"Year "&amp;TCOS!L4-1</f>
        <v>Year 2023</v>
      </c>
      <c r="C38" s="604"/>
      <c r="D38" s="612">
        <f>K35</f>
        <v>-50149.897978501438</v>
      </c>
      <c r="E38" s="612"/>
      <c r="F38" s="627">
        <f>+F34</f>
        <v>4.239999999999999E-3</v>
      </c>
      <c r="G38" s="613">
        <v>12</v>
      </c>
      <c r="H38" s="626">
        <f>+G38*F38*D38</f>
        <v>-2551.6268091461525</v>
      </c>
      <c r="I38" s="626"/>
      <c r="J38" s="626"/>
      <c r="K38" s="629">
        <f>+D38+H38</f>
        <v>-52701.524787647591</v>
      </c>
    </row>
    <row r="39" spans="1:11" ht="15.5">
      <c r="A39" s="604"/>
      <c r="B39" s="604"/>
      <c r="C39" s="604"/>
      <c r="D39" s="612"/>
      <c r="E39" s="612"/>
      <c r="F39" s="627"/>
      <c r="G39" s="604"/>
      <c r="H39" s="626"/>
      <c r="I39" s="626"/>
      <c r="J39" s="626"/>
      <c r="K39" s="626"/>
    </row>
    <row r="40" spans="1:11" ht="15.5">
      <c r="A40" s="631" t="s">
        <v>566</v>
      </c>
      <c r="B40" s="604"/>
      <c r="C40" s="604"/>
      <c r="D40" s="626"/>
      <c r="E40" s="626"/>
      <c r="F40" s="627"/>
      <c r="G40" s="604"/>
      <c r="H40" s="630" t="s">
        <v>560</v>
      </c>
      <c r="I40" s="626"/>
      <c r="J40" s="626"/>
      <c r="K40" s="626"/>
    </row>
    <row r="41" spans="1:11" ht="15.5">
      <c r="A41" s="604" t="s">
        <v>187</v>
      </c>
      <c r="B41" s="604" t="str">
        <f>"Year "&amp;TCOS!L4</f>
        <v>Year 2024</v>
      </c>
      <c r="C41" s="604"/>
      <c r="D41" s="632">
        <f>-K38</f>
        <v>52701.524787647591</v>
      </c>
      <c r="E41" s="612"/>
      <c r="F41" s="627">
        <f>+F34</f>
        <v>4.239999999999999E-3</v>
      </c>
      <c r="G41" s="604"/>
      <c r="H41" s="626">
        <f xml:space="preserve"> -F41*D41</f>
        <v>-223.45446509962574</v>
      </c>
      <c r="I41" s="626">
        <f>PMT(F41,12,K$38)</f>
        <v>4513.7704053714278</v>
      </c>
      <c r="J41" s="626"/>
      <c r="K41" s="626">
        <f>(+D41+D41*F41-I41)*-1</f>
        <v>-48411.20884737579</v>
      </c>
    </row>
    <row r="42" spans="1:11" ht="15.5">
      <c r="A42" s="604" t="s">
        <v>561</v>
      </c>
      <c r="B42" s="604" t="str">
        <f>+B41</f>
        <v>Year 2024</v>
      </c>
      <c r="C42" s="604"/>
      <c r="D42" s="612">
        <f>-K41</f>
        <v>48411.20884737579</v>
      </c>
      <c r="E42" s="612"/>
      <c r="F42" s="627">
        <f>+F41</f>
        <v>4.239999999999999E-3</v>
      </c>
      <c r="G42" s="604"/>
      <c r="H42" s="626">
        <f xml:space="preserve"> -F42*D42</f>
        <v>-205.26352551287331</v>
      </c>
      <c r="I42" s="626">
        <f>I41</f>
        <v>4513.7704053714278</v>
      </c>
      <c r="J42" s="626"/>
      <c r="K42" s="626">
        <f t="shared" ref="K42:K52" si="6">(+D42+D42*F42-I42)*-1</f>
        <v>-44102.701967517234</v>
      </c>
    </row>
    <row r="43" spans="1:11" ht="15.5">
      <c r="A43" s="604" t="s">
        <v>188</v>
      </c>
      <c r="B43" s="604" t="str">
        <f>+B42</f>
        <v>Year 2024</v>
      </c>
      <c r="C43" s="604"/>
      <c r="D43" s="612">
        <f t="shared" ref="D43:D52" si="7">-K42</f>
        <v>44102.701967517234</v>
      </c>
      <c r="E43" s="612"/>
      <c r="F43" s="627">
        <f t="shared" ref="F43:F52" si="8">+F42</f>
        <v>4.239999999999999E-3</v>
      </c>
      <c r="G43" s="604"/>
      <c r="H43" s="626">
        <f t="shared" ref="H43:H52" si="9" xml:space="preserve"> -F43*D43</f>
        <v>-186.99545634227303</v>
      </c>
      <c r="I43" s="626">
        <f t="shared" ref="I43:I52" si="10">I42</f>
        <v>4513.7704053714278</v>
      </c>
      <c r="J43" s="626"/>
      <c r="K43" s="626">
        <f t="shared" si="6"/>
        <v>-39775.927018488081</v>
      </c>
    </row>
    <row r="44" spans="1:11" ht="15.5">
      <c r="A44" s="604" t="s">
        <v>189</v>
      </c>
      <c r="B44" s="604" t="str">
        <f>+B43</f>
        <v>Year 2024</v>
      </c>
      <c r="C44" s="604"/>
      <c r="D44" s="612">
        <f t="shared" si="7"/>
        <v>39775.927018488081</v>
      </c>
      <c r="E44" s="612"/>
      <c r="F44" s="627">
        <f t="shared" si="8"/>
        <v>4.239999999999999E-3</v>
      </c>
      <c r="G44" s="604"/>
      <c r="H44" s="626">
        <f t="shared" si="9"/>
        <v>-168.64993055838943</v>
      </c>
      <c r="I44" s="626">
        <f t="shared" si="10"/>
        <v>4513.7704053714278</v>
      </c>
      <c r="J44" s="626"/>
      <c r="K44" s="626">
        <f t="shared" si="6"/>
        <v>-35430.806543675048</v>
      </c>
    </row>
    <row r="45" spans="1:11" ht="15.5">
      <c r="A45" s="604" t="s">
        <v>190</v>
      </c>
      <c r="B45" s="604" t="str">
        <f>+B44</f>
        <v>Year 2024</v>
      </c>
      <c r="C45" s="604"/>
      <c r="D45" s="612">
        <f t="shared" si="7"/>
        <v>35430.806543675048</v>
      </c>
      <c r="E45" s="612"/>
      <c r="F45" s="627">
        <f t="shared" si="8"/>
        <v>4.239999999999999E-3</v>
      </c>
      <c r="G45" s="604"/>
      <c r="H45" s="626">
        <f t="shared" si="9"/>
        <v>-150.22661974518218</v>
      </c>
      <c r="I45" s="626">
        <f>I44</f>
        <v>4513.7704053714278</v>
      </c>
      <c r="J45" s="626"/>
      <c r="K45" s="626">
        <f t="shared" si="6"/>
        <v>-31067.262758048804</v>
      </c>
    </row>
    <row r="46" spans="1:11" ht="15.5">
      <c r="A46" s="604" t="s">
        <v>384</v>
      </c>
      <c r="B46" s="604" t="str">
        <f>B45</f>
        <v>Year 2024</v>
      </c>
      <c r="C46" s="2"/>
      <c r="D46" s="612">
        <f t="shared" si="7"/>
        <v>31067.262758048804</v>
      </c>
      <c r="E46" s="612"/>
      <c r="F46" s="627">
        <f t="shared" si="8"/>
        <v>4.239999999999999E-3</v>
      </c>
      <c r="G46" s="604"/>
      <c r="H46" s="626">
        <f t="shared" si="9"/>
        <v>-131.72519409412689</v>
      </c>
      <c r="I46" s="626">
        <f t="shared" si="10"/>
        <v>4513.7704053714278</v>
      </c>
      <c r="J46" s="626"/>
      <c r="K46" s="626">
        <f t="shared" si="6"/>
        <v>-26685.217546771506</v>
      </c>
    </row>
    <row r="47" spans="1:11" ht="15.5">
      <c r="A47" s="604" t="s">
        <v>191</v>
      </c>
      <c r="B47" s="604" t="str">
        <f t="shared" ref="B47:B52" si="11">+B46</f>
        <v>Year 2024</v>
      </c>
      <c r="C47" s="604"/>
      <c r="D47" s="612">
        <f t="shared" si="7"/>
        <v>26685.217546771506</v>
      </c>
      <c r="E47" s="612"/>
      <c r="F47" s="627">
        <f t="shared" si="8"/>
        <v>4.239999999999999E-3</v>
      </c>
      <c r="G47" s="604"/>
      <c r="H47" s="626">
        <f t="shared" si="9"/>
        <v>-113.14532239831115</v>
      </c>
      <c r="I47" s="626">
        <f t="shared" si="10"/>
        <v>4513.7704053714278</v>
      </c>
      <c r="J47" s="626"/>
      <c r="K47" s="626">
        <f t="shared" si="6"/>
        <v>-22284.592463798392</v>
      </c>
    </row>
    <row r="48" spans="1:11" ht="15.5">
      <c r="A48" s="604" t="s">
        <v>192</v>
      </c>
      <c r="B48" s="604" t="str">
        <f t="shared" si="11"/>
        <v>Year 2024</v>
      </c>
      <c r="C48" s="604"/>
      <c r="D48" s="612">
        <f t="shared" si="7"/>
        <v>22284.592463798392</v>
      </c>
      <c r="E48" s="612"/>
      <c r="F48" s="627">
        <f t="shared" si="8"/>
        <v>4.239999999999999E-3</v>
      </c>
      <c r="G48" s="604"/>
      <c r="H48" s="626">
        <f t="shared" si="9"/>
        <v>-94.486672046505163</v>
      </c>
      <c r="I48" s="626">
        <f t="shared" si="10"/>
        <v>4513.7704053714278</v>
      </c>
      <c r="J48" s="626"/>
      <c r="K48" s="626">
        <f t="shared" si="6"/>
        <v>-17865.308730473465</v>
      </c>
    </row>
    <row r="49" spans="1:11" ht="15.5">
      <c r="A49" s="604" t="s">
        <v>194</v>
      </c>
      <c r="B49" s="604" t="str">
        <f t="shared" si="11"/>
        <v>Year 2024</v>
      </c>
      <c r="C49" s="604"/>
      <c r="D49" s="612">
        <f t="shared" si="7"/>
        <v>17865.308730473465</v>
      </c>
      <c r="E49" s="612"/>
      <c r="F49" s="627">
        <f t="shared" si="8"/>
        <v>4.239999999999999E-3</v>
      </c>
      <c r="G49" s="604"/>
      <c r="H49" s="626">
        <f t="shared" si="9"/>
        <v>-75.748909017207481</v>
      </c>
      <c r="I49" s="626">
        <f>I48</f>
        <v>4513.7704053714278</v>
      </c>
      <c r="J49" s="626"/>
      <c r="K49" s="626">
        <f t="shared" si="6"/>
        <v>-13427.287234119243</v>
      </c>
    </row>
    <row r="50" spans="1:11" ht="15.5">
      <c r="A50" s="604" t="s">
        <v>562</v>
      </c>
      <c r="B50" s="604" t="str">
        <f t="shared" si="11"/>
        <v>Year 2024</v>
      </c>
      <c r="C50" s="604"/>
      <c r="D50" s="612">
        <f t="shared" si="7"/>
        <v>13427.287234119243</v>
      </c>
      <c r="E50" s="612"/>
      <c r="F50" s="627">
        <f t="shared" si="8"/>
        <v>4.239999999999999E-3</v>
      </c>
      <c r="G50" s="604"/>
      <c r="H50" s="626">
        <f t="shared" si="9"/>
        <v>-56.93169787266558</v>
      </c>
      <c r="I50" s="626">
        <f t="shared" si="10"/>
        <v>4513.7704053714278</v>
      </c>
      <c r="J50" s="626"/>
      <c r="K50" s="626">
        <f t="shared" si="6"/>
        <v>-8970.4485266204811</v>
      </c>
    </row>
    <row r="51" spans="1:11" ht="15.5">
      <c r="A51" s="604" t="s">
        <v>563</v>
      </c>
      <c r="B51" s="604" t="str">
        <f t="shared" si="11"/>
        <v>Year 2024</v>
      </c>
      <c r="C51" s="604"/>
      <c r="D51" s="612">
        <f t="shared" si="7"/>
        <v>8970.4485266204811</v>
      </c>
      <c r="E51" s="612"/>
      <c r="F51" s="627">
        <f t="shared" si="8"/>
        <v>4.239999999999999E-3</v>
      </c>
      <c r="G51" s="604"/>
      <c r="H51" s="626">
        <f t="shared" si="9"/>
        <v>-38.034701752870831</v>
      </c>
      <c r="I51" s="626">
        <f t="shared" si="10"/>
        <v>4513.7704053714278</v>
      </c>
      <c r="J51" s="626"/>
      <c r="K51" s="626">
        <f t="shared" si="6"/>
        <v>-4494.7128230019243</v>
      </c>
    </row>
    <row r="52" spans="1:11" ht="15.5">
      <c r="A52" s="604" t="s">
        <v>193</v>
      </c>
      <c r="B52" s="604" t="str">
        <f t="shared" si="11"/>
        <v>Year 2024</v>
      </c>
      <c r="C52" s="604"/>
      <c r="D52" s="612">
        <f t="shared" si="7"/>
        <v>4494.7128230019243</v>
      </c>
      <c r="E52" s="612"/>
      <c r="F52" s="627">
        <f t="shared" si="8"/>
        <v>4.239999999999999E-3</v>
      </c>
      <c r="G52" s="604"/>
      <c r="H52" s="628">
        <f t="shared" si="9"/>
        <v>-19.057582369528156</v>
      </c>
      <c r="I52" s="626">
        <f t="shared" si="10"/>
        <v>4513.7704053714278</v>
      </c>
      <c r="J52" s="626"/>
      <c r="K52" s="626">
        <f t="shared" si="6"/>
        <v>-2.4556356947869062E-11</v>
      </c>
    </row>
    <row r="53" spans="1:11" ht="15.5">
      <c r="A53" s="604"/>
      <c r="B53" s="604"/>
      <c r="C53" s="604"/>
      <c r="D53" s="612"/>
      <c r="E53" s="612"/>
      <c r="F53" s="627"/>
      <c r="G53" s="604"/>
      <c r="H53" s="626">
        <f>SUM(H41:H52)</f>
        <v>-1463.720076809559</v>
      </c>
      <c r="I53" s="626"/>
      <c r="J53" s="626"/>
      <c r="K53" s="626"/>
    </row>
    <row r="54" spans="1:11" ht="15.5">
      <c r="A54" s="2"/>
      <c r="B54" s="2"/>
      <c r="C54" s="2"/>
      <c r="D54" s="2"/>
      <c r="E54" s="2"/>
      <c r="F54" s="2"/>
      <c r="G54" s="2"/>
      <c r="H54" s="2"/>
      <c r="I54" s="633"/>
      <c r="J54" s="2"/>
      <c r="K54" s="2"/>
    </row>
    <row r="55" spans="1:11" ht="15.5">
      <c r="A55" s="604" t="s">
        <v>571</v>
      </c>
      <c r="B55" s="2"/>
      <c r="C55" s="2"/>
      <c r="D55" s="2"/>
      <c r="E55" s="2"/>
      <c r="F55" s="2"/>
      <c r="G55" s="2"/>
      <c r="H55" s="2"/>
      <c r="I55" s="634">
        <f>(SUM(I41:I52)*-1)</f>
        <v>-54165.24486445712</v>
      </c>
      <c r="J55" s="2"/>
      <c r="K55" s="2"/>
    </row>
    <row r="56" spans="1:11" ht="15.5">
      <c r="A56" s="604" t="s">
        <v>567</v>
      </c>
      <c r="B56" s="2"/>
      <c r="C56" s="2"/>
      <c r="D56" s="2"/>
      <c r="E56" s="2"/>
      <c r="F56" s="2"/>
      <c r="G56" s="2"/>
      <c r="H56" s="2"/>
      <c r="I56" s="635">
        <f>+H12</f>
        <v>48804.836679611355</v>
      </c>
      <c r="J56" s="2"/>
      <c r="K56" s="2"/>
    </row>
    <row r="57" spans="1:11" ht="15.5">
      <c r="A57" s="604" t="s">
        <v>568</v>
      </c>
      <c r="B57" s="2"/>
      <c r="C57" s="2"/>
      <c r="D57" s="2"/>
      <c r="E57" s="2"/>
      <c r="F57" s="2"/>
      <c r="G57" s="2"/>
      <c r="H57" s="2"/>
      <c r="I57" s="634">
        <f>(I55+I56)</f>
        <v>-5360.4081848457645</v>
      </c>
      <c r="J57" s="2"/>
      <c r="K57" s="2"/>
    </row>
    <row r="59" spans="1:11" ht="78.75" customHeight="1">
      <c r="A59" s="1267" t="s">
        <v>572</v>
      </c>
      <c r="B59" s="1267"/>
      <c r="C59" s="1267"/>
      <c r="D59" s="1267"/>
      <c r="E59" s="142"/>
      <c r="F59" s="142"/>
      <c r="G59" s="142"/>
      <c r="H59" s="142"/>
      <c r="I59" s="142"/>
      <c r="J59" s="142"/>
      <c r="K59" s="142"/>
    </row>
    <row r="60" spans="1:11">
      <c r="A60" s="636"/>
      <c r="F60" s="637"/>
      <c r="I60" s="638"/>
    </row>
    <row r="61" spans="1:11" ht="15.5">
      <c r="A61" s="639"/>
      <c r="B61" s="640"/>
      <c r="C61" s="640"/>
      <c r="D61" s="640"/>
      <c r="E61" s="640"/>
      <c r="F61" s="640"/>
      <c r="G61" s="640"/>
      <c r="H61" s="640"/>
      <c r="I61" s="641"/>
      <c r="J61" s="640"/>
      <c r="K61" s="640"/>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7"/>
  <sheetViews>
    <sheetView view="pageBreakPreview" zoomScale="60" zoomScaleNormal="50" workbookViewId="0">
      <selection activeCell="P139" sqref="P139"/>
    </sheetView>
  </sheetViews>
  <sheetFormatPr defaultRowHeight="12.5"/>
  <cols>
    <col min="1" max="1" width="6.81640625" style="1" customWidth="1"/>
    <col min="2" max="2" width="57.7265625" bestFit="1" customWidth="1"/>
    <col min="3" max="4" width="14.81640625" customWidth="1"/>
    <col min="5" max="6" width="14.26953125" customWidth="1"/>
    <col min="7" max="7" width="15.26953125" bestFit="1" customWidth="1"/>
    <col min="9" max="9" width="13.1796875" bestFit="1" customWidth="1"/>
    <col min="10" max="10" width="15" bestFit="1" customWidth="1"/>
    <col min="11" max="11" width="13.54296875" bestFit="1" customWidth="1"/>
    <col min="13" max="13" width="13.1796875" bestFit="1" customWidth="1"/>
    <col min="14" max="14" width="15" bestFit="1" customWidth="1"/>
    <col min="15" max="15" width="13.54296875" bestFit="1" customWidth="1"/>
    <col min="17" max="17" width="13.1796875" bestFit="1" customWidth="1"/>
    <col min="18" max="18" width="15" bestFit="1" customWidth="1"/>
    <col min="19" max="19" width="13.54296875" bestFit="1" customWidth="1"/>
  </cols>
  <sheetData>
    <row r="1" spans="1:19" ht="13">
      <c r="A1" s="825"/>
      <c r="B1" s="869" t="str">
        <f>TCOS!F9</f>
        <v>KENTUCKY POWER COMPANY</v>
      </c>
      <c r="C1" s="812"/>
      <c r="D1" s="812"/>
      <c r="E1" s="812"/>
      <c r="F1" s="812"/>
      <c r="M1" s="812"/>
      <c r="N1" s="812"/>
      <c r="O1" s="812"/>
      <c r="P1" s="812"/>
      <c r="Q1" s="812"/>
      <c r="R1" s="812"/>
    </row>
    <row r="2" spans="1:19" ht="13">
      <c r="A2" s="825"/>
      <c r="B2" s="176" t="s">
        <v>827</v>
      </c>
      <c r="C2" s="812"/>
      <c r="D2" s="812"/>
      <c r="E2" s="812"/>
      <c r="F2" s="812"/>
      <c r="M2" s="812"/>
      <c r="N2" s="812"/>
      <c r="O2" s="812"/>
      <c r="P2" s="812"/>
      <c r="Q2" s="812"/>
      <c r="R2" s="812"/>
    </row>
    <row r="3" spans="1:19" ht="13">
      <c r="A3" s="825"/>
      <c r="B3" s="837" t="str">
        <f>"PERIOD ENDED DECEMBER 31, "&amp;TCOS!L4</f>
        <v>PERIOD ENDED DECEMBER 31, 2024</v>
      </c>
      <c r="C3" s="812"/>
      <c r="D3" s="812"/>
      <c r="E3" s="812"/>
      <c r="F3" s="812"/>
      <c r="G3" s="812"/>
      <c r="H3" s="812"/>
      <c r="I3" s="812"/>
      <c r="J3" s="812"/>
      <c r="K3" s="812"/>
      <c r="L3" s="812"/>
      <c r="M3" s="812"/>
      <c r="N3" s="812"/>
      <c r="O3" s="812"/>
      <c r="P3" s="812"/>
      <c r="Q3" s="812"/>
      <c r="R3" s="812"/>
      <c r="S3" s="812"/>
    </row>
    <row r="4" spans="1:19">
      <c r="A4" s="825"/>
      <c r="B4" s="812"/>
      <c r="C4" s="812"/>
      <c r="D4" s="812"/>
      <c r="E4" s="812"/>
      <c r="F4" s="812"/>
      <c r="G4" s="1" t="s">
        <v>700</v>
      </c>
      <c r="H4" s="1"/>
      <c r="I4" s="1"/>
      <c r="J4" s="1"/>
      <c r="K4" s="1"/>
      <c r="L4" s="1"/>
      <c r="M4" s="812"/>
      <c r="N4" s="812"/>
      <c r="O4" s="812"/>
      <c r="P4" s="812"/>
      <c r="Q4" s="812"/>
      <c r="R4" s="812"/>
      <c r="S4" s="812"/>
    </row>
    <row r="5" spans="1:19">
      <c r="A5" s="825"/>
      <c r="B5" s="812"/>
      <c r="C5" s="812"/>
      <c r="D5" s="812"/>
      <c r="E5" s="812"/>
      <c r="F5" s="812"/>
      <c r="G5" s="812"/>
      <c r="H5" s="812"/>
      <c r="I5" s="812"/>
      <c r="J5" s="812"/>
      <c r="K5" s="812"/>
      <c r="L5" s="812"/>
      <c r="M5" s="812"/>
      <c r="N5" s="812"/>
      <c r="O5" s="812"/>
      <c r="P5" s="812"/>
      <c r="Q5" s="812"/>
      <c r="R5" s="812"/>
      <c r="S5" s="812"/>
    </row>
    <row r="6" spans="1:19">
      <c r="A6" s="825"/>
      <c r="B6" s="812"/>
      <c r="C6" s="812"/>
      <c r="D6" s="812"/>
      <c r="E6" s="812"/>
      <c r="F6" s="812"/>
      <c r="G6" s="812"/>
      <c r="H6" s="812"/>
      <c r="I6" s="812"/>
      <c r="J6" s="812"/>
      <c r="K6" s="812"/>
      <c r="L6" s="812"/>
      <c r="M6" s="812"/>
      <c r="N6" s="812"/>
      <c r="O6" s="812"/>
      <c r="P6" s="812"/>
      <c r="Q6" s="812"/>
      <c r="R6" s="812"/>
      <c r="S6" s="812"/>
    </row>
    <row r="7" spans="1:19">
      <c r="A7" s="825"/>
      <c r="B7" s="812"/>
      <c r="C7" s="812"/>
      <c r="D7" s="812"/>
      <c r="E7" s="812"/>
      <c r="F7" s="812"/>
      <c r="G7" s="812"/>
      <c r="H7" s="812"/>
      <c r="I7" s="812"/>
      <c r="J7" s="812"/>
      <c r="K7" s="812"/>
      <c r="L7" s="812"/>
      <c r="M7" s="812"/>
      <c r="N7" s="812"/>
      <c r="O7" s="812"/>
      <c r="P7" s="812"/>
      <c r="Q7" s="812"/>
      <c r="R7" s="812"/>
      <c r="S7" s="812"/>
    </row>
    <row r="8" spans="1:19">
      <c r="A8" s="825"/>
      <c r="B8" s="813" t="s">
        <v>701</v>
      </c>
      <c r="C8" s="813" t="s">
        <v>702</v>
      </c>
      <c r="D8" s="813" t="s">
        <v>703</v>
      </c>
      <c r="E8" s="813" t="s">
        <v>704</v>
      </c>
      <c r="F8" s="813" t="s">
        <v>705</v>
      </c>
      <c r="G8" s="813" t="s">
        <v>706</v>
      </c>
      <c r="H8" s="813"/>
      <c r="I8" s="813" t="s">
        <v>707</v>
      </c>
      <c r="J8" s="813" t="s">
        <v>708</v>
      </c>
      <c r="K8" s="813" t="s">
        <v>709</v>
      </c>
      <c r="L8" s="813"/>
      <c r="M8" s="813" t="s">
        <v>710</v>
      </c>
      <c r="N8" s="813" t="s">
        <v>711</v>
      </c>
      <c r="O8" s="813" t="s">
        <v>712</v>
      </c>
      <c r="P8" s="812"/>
      <c r="Q8" s="813" t="s">
        <v>713</v>
      </c>
      <c r="R8" s="813" t="s">
        <v>714</v>
      </c>
      <c r="S8" s="813" t="s">
        <v>715</v>
      </c>
    </row>
    <row r="9" spans="1:19">
      <c r="A9" s="825"/>
      <c r="B9" s="812"/>
      <c r="C9" s="812"/>
      <c r="D9" s="812"/>
      <c r="E9" s="812"/>
      <c r="F9" s="812"/>
      <c r="G9" s="812"/>
      <c r="H9" s="812"/>
      <c r="I9" s="812"/>
      <c r="J9" s="812"/>
      <c r="K9" s="812"/>
      <c r="L9" s="812"/>
      <c r="M9" s="812"/>
      <c r="N9" s="812"/>
      <c r="O9" s="812"/>
      <c r="P9" s="812"/>
      <c r="Q9" s="812"/>
      <c r="R9" s="812"/>
      <c r="S9" s="812"/>
    </row>
    <row r="10" spans="1:19">
      <c r="A10" s="825"/>
      <c r="B10" s="812"/>
      <c r="C10" s="814" t="s">
        <v>716</v>
      </c>
      <c r="D10" s="814"/>
      <c r="E10" s="815" t="s">
        <v>717</v>
      </c>
      <c r="F10" s="814"/>
      <c r="G10" s="1" t="s">
        <v>718</v>
      </c>
      <c r="H10" s="1"/>
      <c r="I10" s="814" t="s">
        <v>719</v>
      </c>
      <c r="J10" s="814"/>
      <c r="K10" s="814"/>
      <c r="L10" s="1"/>
      <c r="M10" s="814" t="str">
        <f>"FUNCTIONALIZATION 12/31/"&amp;TCOS!L4-1</f>
        <v>FUNCTIONALIZATION 12/31/2023</v>
      </c>
      <c r="N10" s="814"/>
      <c r="O10" s="814"/>
      <c r="P10" s="812"/>
      <c r="Q10" s="814" t="str">
        <f>"FUNCTIONALIZATION 12/31/"&amp;TCOS!L4</f>
        <v>FUNCTIONALIZATION 12/31/2024</v>
      </c>
      <c r="R10" s="814"/>
      <c r="S10" s="814"/>
    </row>
    <row r="11" spans="1:19">
      <c r="A11" s="825"/>
      <c r="B11" s="812"/>
      <c r="C11" s="817"/>
      <c r="D11" s="817"/>
      <c r="E11" s="812"/>
      <c r="F11" s="812"/>
      <c r="G11" s="1" t="s">
        <v>720</v>
      </c>
      <c r="H11" s="1"/>
      <c r="I11" s="817"/>
      <c r="J11" s="817"/>
      <c r="K11" s="817"/>
      <c r="L11" s="1"/>
      <c r="M11" s="817"/>
      <c r="N11" s="817"/>
      <c r="O11" s="817"/>
      <c r="P11" s="812"/>
      <c r="Q11" s="817"/>
      <c r="R11" s="817"/>
      <c r="S11" s="817"/>
    </row>
    <row r="12" spans="1:19">
      <c r="A12" s="825"/>
      <c r="B12" s="812"/>
      <c r="C12" s="1" t="s">
        <v>721</v>
      </c>
      <c r="D12" s="1" t="s">
        <v>721</v>
      </c>
      <c r="E12" s="1" t="s">
        <v>721</v>
      </c>
      <c r="F12" s="1" t="s">
        <v>721</v>
      </c>
      <c r="G12" s="1" t="s">
        <v>722</v>
      </c>
      <c r="H12" s="1"/>
      <c r="I12" s="812"/>
      <c r="J12" s="812"/>
      <c r="K12" s="812"/>
      <c r="L12" s="1"/>
      <c r="M12" s="812"/>
      <c r="N12" s="812"/>
      <c r="O12" s="812"/>
      <c r="P12" s="812"/>
      <c r="Q12" s="812"/>
      <c r="R12" s="812"/>
      <c r="S12" s="812"/>
    </row>
    <row r="13" spans="1:19">
      <c r="A13" s="825"/>
      <c r="B13" s="813" t="s">
        <v>723</v>
      </c>
      <c r="C13" s="813" t="str">
        <f>"OF 12-31-"&amp;TCOS!L4-1</f>
        <v>OF 12-31-2023</v>
      </c>
      <c r="D13" s="813" t="str">
        <f>"OF 12-31-"&amp;TCOS!L4</f>
        <v>OF 12-31-2024</v>
      </c>
      <c r="E13" s="813" t="str">
        <f>"OF 12-31-"&amp;TCOS!L4-1</f>
        <v>OF 12-31-2023</v>
      </c>
      <c r="F13" s="813" t="str">
        <f>"OF 12-31-"&amp;TCOS!L4</f>
        <v>OF 12-31-2024</v>
      </c>
      <c r="G13" s="813" t="s">
        <v>724</v>
      </c>
      <c r="H13" s="813"/>
      <c r="I13" s="813" t="s">
        <v>725</v>
      </c>
      <c r="J13" s="813" t="s">
        <v>726</v>
      </c>
      <c r="K13" s="813" t="s">
        <v>727</v>
      </c>
      <c r="L13" s="813"/>
      <c r="M13" s="813" t="s">
        <v>725</v>
      </c>
      <c r="N13" s="813" t="s">
        <v>726</v>
      </c>
      <c r="O13" s="813" t="s">
        <v>727</v>
      </c>
      <c r="P13" s="812"/>
      <c r="Q13" s="813" t="s">
        <v>725</v>
      </c>
      <c r="R13" s="813" t="s">
        <v>726</v>
      </c>
      <c r="S13" s="813" t="s">
        <v>727</v>
      </c>
    </row>
    <row r="14" spans="1:19">
      <c r="A14" s="825"/>
      <c r="B14" s="812"/>
      <c r="C14" s="812"/>
      <c r="D14" s="812"/>
      <c r="E14" s="812"/>
      <c r="F14" s="812"/>
      <c r="G14" s="812"/>
      <c r="H14" s="812"/>
      <c r="I14" s="812"/>
      <c r="J14" s="812"/>
      <c r="K14" s="812"/>
      <c r="L14" s="812"/>
      <c r="M14" s="812"/>
      <c r="N14" s="812"/>
      <c r="O14" s="812"/>
      <c r="P14" s="812"/>
      <c r="Q14" s="812"/>
      <c r="R14" s="812"/>
      <c r="S14" s="812"/>
    </row>
    <row r="15" spans="1:19">
      <c r="A15" s="836">
        <v>1</v>
      </c>
      <c r="B15" s="651" t="s">
        <v>728</v>
      </c>
      <c r="C15" s="819"/>
      <c r="D15" s="819"/>
      <c r="E15" s="819"/>
      <c r="F15" s="820"/>
      <c r="G15" s="819"/>
      <c r="H15" s="819"/>
      <c r="I15" s="819"/>
      <c r="J15" s="819"/>
      <c r="K15" s="819"/>
      <c r="L15" s="819"/>
      <c r="M15" s="819"/>
      <c r="N15" s="819"/>
      <c r="O15" s="819"/>
      <c r="P15" s="819"/>
      <c r="Q15" s="819"/>
      <c r="R15" s="819"/>
      <c r="S15" s="819"/>
    </row>
    <row r="16" spans="1:19">
      <c r="A16" s="836">
        <v>2.0099999999999998</v>
      </c>
      <c r="B16" s="651"/>
      <c r="C16" s="819"/>
      <c r="D16" s="819"/>
      <c r="E16" s="819"/>
      <c r="F16" s="819"/>
      <c r="G16" s="819"/>
      <c r="H16" s="819"/>
      <c r="I16" s="819"/>
      <c r="J16" s="819"/>
      <c r="K16" s="819"/>
      <c r="L16" s="819"/>
      <c r="M16" s="819"/>
      <c r="N16" s="819"/>
      <c r="O16" s="819"/>
      <c r="P16" s="819"/>
      <c r="Q16" s="819"/>
      <c r="R16" s="819"/>
      <c r="S16" s="819"/>
    </row>
    <row r="17" spans="1:19">
      <c r="A17" s="836">
        <v>2.02</v>
      </c>
      <c r="B17" s="651"/>
      <c r="C17" s="819">
        <f>SUM(M17:O17)</f>
        <v>0</v>
      </c>
      <c r="D17" s="819">
        <f>SUM(Q17:S17)</f>
        <v>0</v>
      </c>
      <c r="E17" s="819"/>
      <c r="F17" s="819"/>
      <c r="G17" s="819">
        <f>ROUND(SUM(C17:F17)/2,0)</f>
        <v>0</v>
      </c>
      <c r="H17" s="819"/>
      <c r="I17" s="819">
        <f>(M17+Q17)/2</f>
        <v>0</v>
      </c>
      <c r="J17" s="819">
        <f>(N17+R17)/2</f>
        <v>0</v>
      </c>
      <c r="K17" s="819">
        <f>(O17+S17)/2</f>
        <v>0</v>
      </c>
      <c r="L17" s="819"/>
      <c r="M17" s="651">
        <v>0</v>
      </c>
      <c r="N17" s="651">
        <v>0</v>
      </c>
      <c r="O17" s="651"/>
      <c r="P17" s="819"/>
      <c r="Q17" s="651">
        <v>0</v>
      </c>
      <c r="R17" s="651">
        <v>0</v>
      </c>
      <c r="S17" s="651"/>
    </row>
    <row r="18" spans="1:19">
      <c r="A18" s="836">
        <v>2.0299999999999998</v>
      </c>
      <c r="B18" s="651"/>
      <c r="C18" s="819"/>
      <c r="D18" s="819"/>
      <c r="E18" s="819"/>
      <c r="F18" s="819"/>
      <c r="G18" s="819"/>
      <c r="H18" s="819"/>
      <c r="I18" s="819"/>
      <c r="J18" s="819"/>
      <c r="K18" s="819"/>
      <c r="L18" s="819"/>
      <c r="M18" s="819"/>
      <c r="N18" s="819"/>
      <c r="O18" s="819"/>
      <c r="P18" s="819"/>
      <c r="Q18" s="819"/>
      <c r="R18" s="819"/>
      <c r="S18" s="819"/>
    </row>
    <row r="19" spans="1:19">
      <c r="A19" s="836">
        <v>2.04</v>
      </c>
      <c r="B19" s="651"/>
      <c r="C19" s="819">
        <v>0</v>
      </c>
      <c r="D19" s="819">
        <v>0</v>
      </c>
      <c r="E19" s="819">
        <f t="shared" ref="E19:F21" si="0">-C19</f>
        <v>0</v>
      </c>
      <c r="F19" s="819">
        <f t="shared" si="0"/>
        <v>0</v>
      </c>
      <c r="G19" s="819">
        <f>ROUND(SUM(C19:F19)/2,0)</f>
        <v>0</v>
      </c>
      <c r="H19" s="819"/>
      <c r="I19" s="819"/>
      <c r="J19" s="819"/>
      <c r="K19" s="819"/>
      <c r="L19" s="819"/>
      <c r="M19" s="819"/>
      <c r="N19" s="819"/>
      <c r="O19" s="819"/>
      <c r="P19" s="819"/>
      <c r="Q19" s="819"/>
      <c r="R19" s="819"/>
      <c r="S19" s="819"/>
    </row>
    <row r="20" spans="1:19">
      <c r="A20" s="836">
        <v>2.0499999999999998</v>
      </c>
      <c r="B20" s="651"/>
      <c r="C20" s="819">
        <v>0</v>
      </c>
      <c r="D20" s="819">
        <v>0</v>
      </c>
      <c r="E20" s="819">
        <f t="shared" si="0"/>
        <v>0</v>
      </c>
      <c r="F20" s="819">
        <f t="shared" si="0"/>
        <v>0</v>
      </c>
      <c r="G20" s="819">
        <f>ROUND(SUM(C20:F20)/2,0)</f>
        <v>0</v>
      </c>
      <c r="H20" s="819"/>
      <c r="I20" s="819"/>
      <c r="J20" s="819"/>
      <c r="K20" s="819"/>
      <c r="L20" s="819"/>
      <c r="M20" s="819"/>
      <c r="N20" s="819"/>
      <c r="O20" s="819"/>
      <c r="P20" s="819"/>
      <c r="Q20" s="819"/>
      <c r="R20" s="819"/>
      <c r="S20" s="819"/>
    </row>
    <row r="21" spans="1:19">
      <c r="A21" s="836">
        <v>2.06</v>
      </c>
      <c r="B21" s="651"/>
      <c r="C21" s="819">
        <v>0</v>
      </c>
      <c r="D21" s="819">
        <v>0</v>
      </c>
      <c r="E21" s="819">
        <f t="shared" si="0"/>
        <v>0</v>
      </c>
      <c r="F21" s="819">
        <f t="shared" si="0"/>
        <v>0</v>
      </c>
      <c r="G21" s="819">
        <f>ROUND(SUM(C21:F21)/2,0)</f>
        <v>0</v>
      </c>
      <c r="H21" s="819"/>
      <c r="I21" s="819"/>
      <c r="J21" s="819"/>
      <c r="K21" s="819"/>
      <c r="L21" s="819"/>
      <c r="M21" s="819"/>
      <c r="N21" s="819"/>
      <c r="O21" s="819"/>
      <c r="P21" s="819"/>
      <c r="Q21" s="819"/>
      <c r="R21" s="819"/>
      <c r="S21" s="819"/>
    </row>
    <row r="22" spans="1:19">
      <c r="A22" s="832"/>
      <c r="B22" s="812"/>
      <c r="C22" s="819"/>
      <c r="D22" s="819"/>
      <c r="E22" s="819"/>
      <c r="F22" s="819"/>
      <c r="G22" s="819"/>
      <c r="H22" s="819"/>
      <c r="I22" s="819"/>
      <c r="J22" s="819"/>
      <c r="K22" s="819"/>
      <c r="L22" s="819"/>
      <c r="M22" s="819"/>
      <c r="N22" s="819"/>
      <c r="O22" s="819"/>
      <c r="P22" s="819"/>
      <c r="Q22" s="819"/>
      <c r="R22" s="819"/>
      <c r="S22" s="819"/>
    </row>
    <row r="23" spans="1:19" ht="13" thickBot="1">
      <c r="A23" s="826">
        <v>3</v>
      </c>
      <c r="B23" t="s">
        <v>729</v>
      </c>
      <c r="C23" s="821">
        <f>SUM(C17:C22)</f>
        <v>0</v>
      </c>
      <c r="D23" s="821">
        <f>SUM(D17:D22)</f>
        <v>0</v>
      </c>
      <c r="E23" s="821">
        <f>SUM(E17:E22)</f>
        <v>0</v>
      </c>
      <c r="F23" s="821">
        <f>SUM(F17:F22)</f>
        <v>0</v>
      </c>
      <c r="G23" s="821">
        <f>SUM(G17:G22)</f>
        <v>0</v>
      </c>
      <c r="H23" s="819"/>
      <c r="I23" s="821">
        <f>SUM(I17:I22)</f>
        <v>0</v>
      </c>
      <c r="J23" s="821">
        <f>SUM(J17:J22)</f>
        <v>0</v>
      </c>
      <c r="K23" s="821">
        <f>SUM(K17:K22)</f>
        <v>0</v>
      </c>
      <c r="L23" s="819"/>
      <c r="M23" s="821">
        <f>SUM(M17:M22)</f>
        <v>0</v>
      </c>
      <c r="N23" s="821">
        <f>SUM(N17:N22)</f>
        <v>0</v>
      </c>
      <c r="O23" s="821">
        <f>SUM(O17:O22)</f>
        <v>0</v>
      </c>
      <c r="P23" s="819"/>
      <c r="Q23" s="821">
        <f>SUM(Q17:Q22)</f>
        <v>0</v>
      </c>
      <c r="R23" s="821">
        <f>SUM(R17:R22)</f>
        <v>0</v>
      </c>
      <c r="S23" s="821">
        <f>SUM(S17:S22)</f>
        <v>0</v>
      </c>
    </row>
    <row r="24" spans="1:19" ht="13" thickTop="1">
      <c r="A24" s="826">
        <f>A23+1</f>
        <v>4</v>
      </c>
      <c r="B24" s="20" t="s">
        <v>747</v>
      </c>
      <c r="C24" s="829">
        <v>0</v>
      </c>
      <c r="D24" s="829">
        <v>0</v>
      </c>
      <c r="E24" s="829">
        <v>0</v>
      </c>
      <c r="F24" s="829">
        <v>0</v>
      </c>
      <c r="G24" s="829">
        <v>0</v>
      </c>
      <c r="H24" s="830"/>
      <c r="I24" s="829">
        <v>0</v>
      </c>
      <c r="J24" s="829">
        <v>0</v>
      </c>
      <c r="K24" s="829">
        <v>0</v>
      </c>
      <c r="L24" s="830"/>
      <c r="M24" s="829">
        <v>0</v>
      </c>
      <c r="N24" s="829">
        <v>0</v>
      </c>
      <c r="O24" s="829">
        <v>0</v>
      </c>
      <c r="P24" s="830"/>
      <c r="Q24" s="829">
        <v>0</v>
      </c>
      <c r="R24" s="829">
        <v>0</v>
      </c>
      <c r="S24" s="829">
        <v>0</v>
      </c>
    </row>
    <row r="25" spans="1:19">
      <c r="A25" s="826"/>
      <c r="B25" s="812"/>
      <c r="C25" s="819"/>
      <c r="D25" s="819"/>
      <c r="E25" s="819"/>
      <c r="F25" s="819"/>
      <c r="G25" s="819"/>
      <c r="H25" s="819"/>
      <c r="I25" s="819"/>
      <c r="J25" s="819"/>
      <c r="K25" s="819"/>
      <c r="L25" s="819"/>
      <c r="M25" s="819"/>
      <c r="N25" s="819"/>
      <c r="O25" s="819"/>
      <c r="P25" s="819"/>
      <c r="Q25" s="819"/>
      <c r="R25" s="819"/>
      <c r="S25" s="819"/>
    </row>
    <row r="26" spans="1:19">
      <c r="A26" s="826">
        <v>5</v>
      </c>
      <c r="B26" t="s">
        <v>730</v>
      </c>
      <c r="C26" s="819"/>
      <c r="D26" s="819"/>
      <c r="E26" s="819"/>
      <c r="F26" s="819"/>
      <c r="G26" s="819"/>
      <c r="H26" s="819"/>
      <c r="I26" s="819"/>
      <c r="J26" s="819"/>
      <c r="K26" s="819"/>
      <c r="L26" s="819"/>
      <c r="M26" s="819"/>
      <c r="N26" s="819"/>
      <c r="O26" s="819"/>
      <c r="P26" s="819"/>
      <c r="Q26" s="819"/>
      <c r="R26" s="819"/>
      <c r="S26" s="819"/>
    </row>
    <row r="27" spans="1:19">
      <c r="A27" s="833"/>
      <c r="B27" s="812"/>
      <c r="C27" s="819"/>
      <c r="D27" s="819"/>
      <c r="E27" s="819"/>
      <c r="F27" s="819"/>
      <c r="G27" s="819"/>
      <c r="H27" s="819"/>
      <c r="I27" s="819"/>
      <c r="J27" s="819"/>
      <c r="K27" s="819"/>
      <c r="L27" s="819"/>
      <c r="M27" s="819"/>
      <c r="N27" s="819"/>
      <c r="O27" s="819"/>
      <c r="P27" s="819"/>
      <c r="Q27" s="819"/>
      <c r="R27" s="819"/>
      <c r="S27" s="819"/>
    </row>
    <row r="28" spans="1:19">
      <c r="A28" s="836">
        <v>5.01</v>
      </c>
      <c r="B28" s="651"/>
      <c r="C28" s="819">
        <f t="shared" ref="C28:C64" si="1">SUM(M28:O28)</f>
        <v>0</v>
      </c>
      <c r="D28" s="819">
        <f t="shared" ref="D28:D64" si="2">SUM(Q28:S28)</f>
        <v>0</v>
      </c>
      <c r="E28" s="819"/>
      <c r="F28" s="819"/>
      <c r="G28" s="819">
        <f t="shared" ref="G28:G50" si="3">ROUND(SUM(C28:F28)/2,0)</f>
        <v>0</v>
      </c>
      <c r="H28" s="819"/>
      <c r="I28" s="819">
        <f t="shared" ref="I28:K65" si="4">(M28+Q28)/2</f>
        <v>0</v>
      </c>
      <c r="J28" s="819">
        <f t="shared" si="4"/>
        <v>0</v>
      </c>
      <c r="K28" s="819">
        <f t="shared" si="4"/>
        <v>0</v>
      </c>
      <c r="L28" s="819"/>
      <c r="M28" s="651">
        <v>0</v>
      </c>
      <c r="N28" s="651">
        <v>0</v>
      </c>
      <c r="O28" s="651"/>
      <c r="P28" s="819"/>
      <c r="Q28" s="651">
        <v>0</v>
      </c>
      <c r="R28" s="651">
        <v>0</v>
      </c>
      <c r="S28" s="651"/>
    </row>
    <row r="29" spans="1:19">
      <c r="A29" s="836">
        <f>A28+0.01</f>
        <v>5.0199999999999996</v>
      </c>
      <c r="B29" s="651"/>
      <c r="C29" s="819">
        <f>SUM(M29:O29)</f>
        <v>0</v>
      </c>
      <c r="D29" s="819">
        <f>SUM(Q29:S29)</f>
        <v>0</v>
      </c>
      <c r="E29" s="819"/>
      <c r="F29" s="819"/>
      <c r="G29" s="819">
        <f t="shared" si="3"/>
        <v>0</v>
      </c>
      <c r="H29" s="819"/>
      <c r="I29" s="819">
        <f t="shared" si="4"/>
        <v>0</v>
      </c>
      <c r="J29" s="819">
        <f t="shared" si="4"/>
        <v>0</v>
      </c>
      <c r="K29" s="819">
        <f t="shared" si="4"/>
        <v>0</v>
      </c>
      <c r="L29" s="819"/>
      <c r="M29" s="651"/>
      <c r="N29" s="651">
        <v>0</v>
      </c>
      <c r="O29" s="651"/>
      <c r="P29" s="819"/>
      <c r="Q29" s="651"/>
      <c r="R29" s="651">
        <v>0</v>
      </c>
      <c r="S29" s="651"/>
    </row>
    <row r="30" spans="1:19">
      <c r="A30" s="836">
        <f t="shared" ref="A30:A68" si="5">A29+0.01</f>
        <v>5.0299999999999994</v>
      </c>
      <c r="B30" s="651"/>
      <c r="C30" s="819">
        <f t="shared" si="1"/>
        <v>0</v>
      </c>
      <c r="D30" s="819">
        <f t="shared" si="2"/>
        <v>0</v>
      </c>
      <c r="E30" s="819"/>
      <c r="F30" s="819"/>
      <c r="G30" s="819">
        <f t="shared" si="3"/>
        <v>0</v>
      </c>
      <c r="H30" s="819"/>
      <c r="I30" s="819">
        <f t="shared" si="4"/>
        <v>0</v>
      </c>
      <c r="J30" s="819">
        <f t="shared" si="4"/>
        <v>0</v>
      </c>
      <c r="K30" s="819">
        <f t="shared" si="4"/>
        <v>0</v>
      </c>
      <c r="L30" s="819"/>
      <c r="M30" s="864"/>
      <c r="N30" s="864"/>
      <c r="O30" s="651"/>
      <c r="P30" s="819"/>
      <c r="Q30" s="864"/>
      <c r="R30" s="864"/>
      <c r="S30" s="651"/>
    </row>
    <row r="31" spans="1:19">
      <c r="A31" s="836">
        <f t="shared" si="5"/>
        <v>5.0399999999999991</v>
      </c>
      <c r="B31" s="651"/>
      <c r="C31" s="819">
        <f>SUM(M31:O31)</f>
        <v>0</v>
      </c>
      <c r="D31" s="819">
        <f>SUM(Q31:S31)</f>
        <v>0</v>
      </c>
      <c r="E31" s="819"/>
      <c r="F31" s="819"/>
      <c r="G31" s="819">
        <f t="shared" si="3"/>
        <v>0</v>
      </c>
      <c r="H31" s="819"/>
      <c r="I31" s="819">
        <f t="shared" si="4"/>
        <v>0</v>
      </c>
      <c r="J31" s="819">
        <f t="shared" si="4"/>
        <v>0</v>
      </c>
      <c r="K31" s="819">
        <f t="shared" si="4"/>
        <v>0</v>
      </c>
      <c r="L31" s="819"/>
      <c r="M31" s="651"/>
      <c r="N31" s="651"/>
      <c r="O31" s="651"/>
      <c r="P31" s="819"/>
      <c r="Q31" s="651"/>
      <c r="R31" s="651"/>
      <c r="S31" s="651"/>
    </row>
    <row r="32" spans="1:19">
      <c r="A32" s="836">
        <f t="shared" si="5"/>
        <v>5.0499999999999989</v>
      </c>
      <c r="B32" s="651"/>
      <c r="C32" s="819">
        <f t="shared" si="1"/>
        <v>0</v>
      </c>
      <c r="D32" s="819">
        <f t="shared" si="2"/>
        <v>0</v>
      </c>
      <c r="E32" s="819"/>
      <c r="F32" s="819"/>
      <c r="G32" s="819">
        <f t="shared" si="3"/>
        <v>0</v>
      </c>
      <c r="H32" s="819"/>
      <c r="I32" s="819">
        <f t="shared" si="4"/>
        <v>0</v>
      </c>
      <c r="J32" s="819">
        <f t="shared" si="4"/>
        <v>0</v>
      </c>
      <c r="K32" s="819">
        <f t="shared" si="4"/>
        <v>0</v>
      </c>
      <c r="L32" s="819"/>
      <c r="M32" s="651"/>
      <c r="N32" s="651"/>
      <c r="O32" s="651"/>
      <c r="P32" s="819"/>
      <c r="Q32" s="651"/>
      <c r="R32" s="651"/>
      <c r="S32" s="651"/>
    </row>
    <row r="33" spans="1:19">
      <c r="A33" s="836">
        <f t="shared" si="5"/>
        <v>5.0599999999999987</v>
      </c>
      <c r="B33" s="651"/>
      <c r="C33" s="819">
        <f t="shared" ref="C33:C39" si="6">SUM(M33:O33)</f>
        <v>0</v>
      </c>
      <c r="D33" s="819">
        <f t="shared" ref="D33:D39" si="7">SUM(Q33:S33)</f>
        <v>0</v>
      </c>
      <c r="E33" s="819"/>
      <c r="F33" s="819"/>
      <c r="G33" s="819">
        <f t="shared" si="3"/>
        <v>0</v>
      </c>
      <c r="H33" s="819"/>
      <c r="I33" s="819">
        <f t="shared" si="4"/>
        <v>0</v>
      </c>
      <c r="J33" s="819">
        <f t="shared" si="4"/>
        <v>0</v>
      </c>
      <c r="K33" s="819">
        <f t="shared" si="4"/>
        <v>0</v>
      </c>
      <c r="L33" s="819"/>
      <c r="M33" s="651"/>
      <c r="N33" s="651"/>
      <c r="O33" s="651"/>
      <c r="P33" s="819"/>
      <c r="Q33" s="651"/>
      <c r="R33" s="651"/>
      <c r="S33" s="651"/>
    </row>
    <row r="34" spans="1:19">
      <c r="A34" s="836">
        <f t="shared" si="5"/>
        <v>5.0699999999999985</v>
      </c>
      <c r="B34" s="651"/>
      <c r="C34" s="1268">
        <f t="shared" si="6"/>
        <v>0</v>
      </c>
      <c r="D34" s="1268">
        <f t="shared" si="7"/>
        <v>0</v>
      </c>
      <c r="E34" s="1268"/>
      <c r="F34" s="1268"/>
      <c r="G34" s="1268">
        <f t="shared" si="3"/>
        <v>0</v>
      </c>
      <c r="H34" s="1268"/>
      <c r="I34" s="1268">
        <f t="shared" si="4"/>
        <v>0</v>
      </c>
      <c r="J34" s="1268">
        <f t="shared" si="4"/>
        <v>0</v>
      </c>
      <c r="K34" s="1268">
        <f t="shared" si="4"/>
        <v>0</v>
      </c>
      <c r="L34" s="1268"/>
      <c r="M34" s="651"/>
      <c r="N34" s="864"/>
      <c r="O34" s="651"/>
      <c r="P34" s="819"/>
      <c r="Q34" s="864"/>
      <c r="R34" s="864"/>
      <c r="S34" s="651"/>
    </row>
    <row r="35" spans="1:19">
      <c r="A35" s="836">
        <f t="shared" si="5"/>
        <v>5.0799999999999983</v>
      </c>
      <c r="B35" s="651"/>
      <c r="C35" s="1268">
        <f t="shared" si="6"/>
        <v>0</v>
      </c>
      <c r="D35" s="1268">
        <f t="shared" si="7"/>
        <v>0</v>
      </c>
      <c r="E35" s="1268"/>
      <c r="F35" s="1268"/>
      <c r="G35" s="1268">
        <f t="shared" si="3"/>
        <v>0</v>
      </c>
      <c r="H35" s="1268"/>
      <c r="I35" s="1268">
        <f t="shared" si="4"/>
        <v>0</v>
      </c>
      <c r="J35" s="1268">
        <f t="shared" si="4"/>
        <v>0</v>
      </c>
      <c r="K35" s="1268">
        <f t="shared" si="4"/>
        <v>0</v>
      </c>
      <c r="L35" s="1268"/>
      <c r="M35" s="651"/>
      <c r="N35" s="651"/>
      <c r="O35" s="651"/>
      <c r="P35" s="1268"/>
      <c r="Q35" s="651"/>
      <c r="R35" s="651"/>
      <c r="S35" s="651"/>
    </row>
    <row r="36" spans="1:19">
      <c r="A36" s="836">
        <f t="shared" si="5"/>
        <v>5.0899999999999981</v>
      </c>
      <c r="B36" s="651"/>
      <c r="C36" s="819">
        <f>SUM(M36:O36)</f>
        <v>0</v>
      </c>
      <c r="D36" s="819">
        <f t="shared" si="7"/>
        <v>0</v>
      </c>
      <c r="E36" s="819"/>
      <c r="F36" s="819"/>
      <c r="G36" s="819">
        <f>ROUND(SUM(C36:F36)/2,0)</f>
        <v>0</v>
      </c>
      <c r="H36" s="819"/>
      <c r="I36" s="819">
        <f t="shared" si="4"/>
        <v>0</v>
      </c>
      <c r="J36" s="819">
        <f t="shared" si="4"/>
        <v>0</v>
      </c>
      <c r="K36" s="819">
        <f t="shared" si="4"/>
        <v>0</v>
      </c>
      <c r="L36" s="819"/>
      <c r="M36" s="651"/>
      <c r="N36" s="651"/>
      <c r="O36" s="651"/>
      <c r="P36" s="819"/>
      <c r="Q36" s="651"/>
      <c r="R36" s="651"/>
      <c r="S36" s="651"/>
    </row>
    <row r="37" spans="1:19">
      <c r="A37" s="836">
        <f t="shared" si="5"/>
        <v>5.0999999999999979</v>
      </c>
      <c r="B37" s="651"/>
      <c r="C37" s="819">
        <f t="shared" si="6"/>
        <v>0</v>
      </c>
      <c r="D37" s="819">
        <f t="shared" si="7"/>
        <v>0</v>
      </c>
      <c r="E37" s="819"/>
      <c r="F37" s="819"/>
      <c r="G37" s="819">
        <f t="shared" si="3"/>
        <v>0</v>
      </c>
      <c r="H37" s="819"/>
      <c r="I37" s="819">
        <f t="shared" si="4"/>
        <v>0</v>
      </c>
      <c r="J37" s="819">
        <f t="shared" si="4"/>
        <v>0</v>
      </c>
      <c r="K37" s="819">
        <f t="shared" si="4"/>
        <v>0</v>
      </c>
      <c r="L37" s="819"/>
      <c r="M37" s="651"/>
      <c r="N37" s="651"/>
      <c r="O37" s="651"/>
      <c r="P37" s="819"/>
      <c r="Q37" s="651"/>
      <c r="R37" s="651"/>
      <c r="S37" s="651"/>
    </row>
    <row r="38" spans="1:19">
      <c r="A38" s="836">
        <f t="shared" si="5"/>
        <v>5.1099999999999977</v>
      </c>
      <c r="B38" s="651"/>
      <c r="C38" s="819">
        <f t="shared" si="6"/>
        <v>0</v>
      </c>
      <c r="D38" s="819">
        <f t="shared" si="7"/>
        <v>0</v>
      </c>
      <c r="E38" s="819"/>
      <c r="F38" s="819"/>
      <c r="G38" s="819">
        <f t="shared" si="3"/>
        <v>0</v>
      </c>
      <c r="H38" s="819"/>
      <c r="I38" s="819">
        <f t="shared" si="4"/>
        <v>0</v>
      </c>
      <c r="J38" s="819">
        <f t="shared" si="4"/>
        <v>0</v>
      </c>
      <c r="K38" s="819">
        <f t="shared" si="4"/>
        <v>0</v>
      </c>
      <c r="L38" s="819"/>
      <c r="M38" s="651"/>
      <c r="N38" s="651"/>
      <c r="O38" s="651"/>
      <c r="P38" s="819"/>
      <c r="Q38" s="651"/>
      <c r="R38" s="651"/>
      <c r="S38" s="651"/>
    </row>
    <row r="39" spans="1:19">
      <c r="A39" s="836">
        <f t="shared" si="5"/>
        <v>5.1199999999999974</v>
      </c>
      <c r="B39" s="651"/>
      <c r="C39" s="819">
        <f t="shared" si="6"/>
        <v>0</v>
      </c>
      <c r="D39" s="819">
        <f t="shared" si="7"/>
        <v>0</v>
      </c>
      <c r="E39" s="819"/>
      <c r="F39" s="819"/>
      <c r="G39" s="819">
        <f t="shared" si="3"/>
        <v>0</v>
      </c>
      <c r="H39" s="819"/>
      <c r="I39" s="819">
        <f t="shared" si="4"/>
        <v>0</v>
      </c>
      <c r="J39" s="819">
        <f t="shared" si="4"/>
        <v>0</v>
      </c>
      <c r="K39" s="819">
        <f t="shared" si="4"/>
        <v>0</v>
      </c>
      <c r="L39" s="819"/>
      <c r="M39" s="651"/>
      <c r="N39" s="651"/>
      <c r="O39" s="651"/>
      <c r="P39" s="819"/>
      <c r="Q39" s="651"/>
      <c r="R39" s="651"/>
      <c r="S39" s="651"/>
    </row>
    <row r="40" spans="1:19">
      <c r="A40" s="836">
        <f t="shared" si="5"/>
        <v>5.1299999999999972</v>
      </c>
      <c r="B40" s="651"/>
      <c r="C40" s="819">
        <f t="shared" si="1"/>
        <v>0</v>
      </c>
      <c r="D40" s="819">
        <f t="shared" si="2"/>
        <v>0</v>
      </c>
      <c r="E40" s="819"/>
      <c r="F40" s="819"/>
      <c r="G40" s="819">
        <f t="shared" si="3"/>
        <v>0</v>
      </c>
      <c r="H40" s="819"/>
      <c r="I40" s="819">
        <f t="shared" si="4"/>
        <v>0</v>
      </c>
      <c r="J40" s="819">
        <f t="shared" si="4"/>
        <v>0</v>
      </c>
      <c r="K40" s="819">
        <f t="shared" si="4"/>
        <v>0</v>
      </c>
      <c r="L40" s="819"/>
      <c r="M40" s="651"/>
      <c r="N40" s="651"/>
      <c r="O40" s="651"/>
      <c r="P40" s="819"/>
      <c r="Q40" s="651"/>
      <c r="R40" s="651"/>
      <c r="S40" s="651"/>
    </row>
    <row r="41" spans="1:19">
      <c r="A41" s="836">
        <f t="shared" si="5"/>
        <v>5.139999999999997</v>
      </c>
      <c r="B41" s="651"/>
      <c r="C41" s="819">
        <f t="shared" si="1"/>
        <v>0</v>
      </c>
      <c r="D41" s="819">
        <f t="shared" si="2"/>
        <v>0</v>
      </c>
      <c r="E41" s="819"/>
      <c r="F41" s="819"/>
      <c r="G41" s="819">
        <f t="shared" si="3"/>
        <v>0</v>
      </c>
      <c r="H41" s="819"/>
      <c r="I41" s="819">
        <f t="shared" si="4"/>
        <v>0</v>
      </c>
      <c r="J41" s="819">
        <f t="shared" si="4"/>
        <v>0</v>
      </c>
      <c r="K41" s="819">
        <f t="shared" si="4"/>
        <v>0</v>
      </c>
      <c r="L41" s="819"/>
      <c r="M41" s="651"/>
      <c r="N41" s="651"/>
      <c r="O41" s="651"/>
      <c r="P41" s="819"/>
      <c r="Q41" s="651"/>
      <c r="R41" s="651"/>
      <c r="S41" s="651"/>
    </row>
    <row r="42" spans="1:19">
      <c r="A42" s="836">
        <f t="shared" si="5"/>
        <v>5.1499999999999968</v>
      </c>
      <c r="B42" s="651"/>
      <c r="C42" s="819">
        <f t="shared" si="1"/>
        <v>0</v>
      </c>
      <c r="D42" s="819">
        <f t="shared" si="2"/>
        <v>0</v>
      </c>
      <c r="E42" s="819"/>
      <c r="F42" s="819"/>
      <c r="G42" s="819">
        <f t="shared" si="3"/>
        <v>0</v>
      </c>
      <c r="H42" s="819"/>
      <c r="I42" s="819">
        <f t="shared" si="4"/>
        <v>0</v>
      </c>
      <c r="J42" s="819">
        <f t="shared" si="4"/>
        <v>0</v>
      </c>
      <c r="K42" s="819">
        <f t="shared" si="4"/>
        <v>0</v>
      </c>
      <c r="L42" s="819"/>
      <c r="M42" s="651"/>
      <c r="N42" s="651"/>
      <c r="O42" s="651"/>
      <c r="P42" s="819"/>
      <c r="Q42" s="651"/>
      <c r="R42" s="651"/>
      <c r="S42" s="651"/>
    </row>
    <row r="43" spans="1:19">
      <c r="A43" s="836">
        <f t="shared" si="5"/>
        <v>5.1599999999999966</v>
      </c>
      <c r="B43" s="651"/>
      <c r="C43" s="819">
        <f t="shared" si="1"/>
        <v>0</v>
      </c>
      <c r="D43" s="819">
        <f t="shared" si="2"/>
        <v>0</v>
      </c>
      <c r="E43" s="819"/>
      <c r="F43" s="819"/>
      <c r="G43" s="819">
        <f t="shared" si="3"/>
        <v>0</v>
      </c>
      <c r="H43" s="819"/>
      <c r="I43" s="819">
        <f t="shared" si="4"/>
        <v>0</v>
      </c>
      <c r="J43" s="819">
        <f t="shared" si="4"/>
        <v>0</v>
      </c>
      <c r="K43" s="819">
        <f t="shared" si="4"/>
        <v>0</v>
      </c>
      <c r="L43" s="819"/>
      <c r="M43" s="651"/>
      <c r="N43" s="651"/>
      <c r="O43" s="651"/>
      <c r="P43" s="819"/>
      <c r="Q43" s="651"/>
      <c r="R43" s="651"/>
      <c r="S43" s="651"/>
    </row>
    <row r="44" spans="1:19">
      <c r="A44" s="836">
        <f t="shared" si="5"/>
        <v>5.1699999999999964</v>
      </c>
      <c r="B44" s="651"/>
      <c r="C44" s="819">
        <f t="shared" si="1"/>
        <v>0</v>
      </c>
      <c r="D44" s="819">
        <f t="shared" si="2"/>
        <v>0</v>
      </c>
      <c r="E44" s="819"/>
      <c r="F44" s="819"/>
      <c r="G44" s="819">
        <f t="shared" si="3"/>
        <v>0</v>
      </c>
      <c r="H44" s="819"/>
      <c r="I44" s="819">
        <f t="shared" si="4"/>
        <v>0</v>
      </c>
      <c r="J44" s="819">
        <f t="shared" si="4"/>
        <v>0</v>
      </c>
      <c r="K44" s="819">
        <f t="shared" si="4"/>
        <v>0</v>
      </c>
      <c r="L44" s="819"/>
      <c r="M44" s="651"/>
      <c r="N44" s="651"/>
      <c r="O44" s="651"/>
      <c r="P44" s="819"/>
      <c r="Q44" s="651"/>
      <c r="R44" s="651"/>
      <c r="S44" s="651"/>
    </row>
    <row r="45" spans="1:19">
      <c r="A45" s="836">
        <f t="shared" si="5"/>
        <v>5.1799999999999962</v>
      </c>
      <c r="B45" s="651"/>
      <c r="C45" s="819">
        <f t="shared" si="1"/>
        <v>0</v>
      </c>
      <c r="D45" s="819">
        <f t="shared" si="2"/>
        <v>0</v>
      </c>
      <c r="E45" s="819"/>
      <c r="F45" s="819"/>
      <c r="G45" s="819">
        <f t="shared" si="3"/>
        <v>0</v>
      </c>
      <c r="H45" s="819"/>
      <c r="I45" s="819">
        <f t="shared" si="4"/>
        <v>0</v>
      </c>
      <c r="J45" s="819">
        <f t="shared" si="4"/>
        <v>0</v>
      </c>
      <c r="K45" s="819">
        <f t="shared" si="4"/>
        <v>0</v>
      </c>
      <c r="L45" s="819"/>
      <c r="M45" s="651"/>
      <c r="N45" s="651"/>
      <c r="O45" s="651"/>
      <c r="P45" s="819"/>
      <c r="Q45" s="651"/>
      <c r="R45" s="651"/>
      <c r="S45" s="651"/>
    </row>
    <row r="46" spans="1:19">
      <c r="A46" s="836">
        <f t="shared" si="5"/>
        <v>5.1899999999999959</v>
      </c>
      <c r="B46" s="651"/>
      <c r="C46" s="819">
        <f t="shared" si="1"/>
        <v>0</v>
      </c>
      <c r="D46" s="819">
        <f t="shared" si="2"/>
        <v>0</v>
      </c>
      <c r="E46" s="819"/>
      <c r="F46" s="819"/>
      <c r="G46" s="819">
        <f t="shared" si="3"/>
        <v>0</v>
      </c>
      <c r="H46" s="819"/>
      <c r="I46" s="819">
        <f t="shared" si="4"/>
        <v>0</v>
      </c>
      <c r="J46" s="819">
        <f t="shared" si="4"/>
        <v>0</v>
      </c>
      <c r="K46" s="819">
        <f t="shared" si="4"/>
        <v>0</v>
      </c>
      <c r="L46" s="819"/>
      <c r="M46" s="651"/>
      <c r="N46" s="651"/>
      <c r="O46" s="651"/>
      <c r="P46" s="819"/>
      <c r="Q46" s="651"/>
      <c r="R46" s="651"/>
      <c r="S46" s="651"/>
    </row>
    <row r="47" spans="1:19">
      <c r="A47" s="836">
        <f t="shared" si="5"/>
        <v>5.1999999999999957</v>
      </c>
      <c r="B47" s="651"/>
      <c r="C47" s="819">
        <f t="shared" si="1"/>
        <v>0</v>
      </c>
      <c r="D47" s="819">
        <f t="shared" si="2"/>
        <v>0</v>
      </c>
      <c r="E47" s="819"/>
      <c r="F47" s="819"/>
      <c r="G47" s="819">
        <f t="shared" si="3"/>
        <v>0</v>
      </c>
      <c r="H47" s="819"/>
      <c r="I47" s="819">
        <f t="shared" si="4"/>
        <v>0</v>
      </c>
      <c r="J47" s="819">
        <f t="shared" si="4"/>
        <v>0</v>
      </c>
      <c r="K47" s="819">
        <f t="shared" si="4"/>
        <v>0</v>
      </c>
      <c r="L47" s="819"/>
      <c r="M47" s="651"/>
      <c r="N47" s="651"/>
      <c r="O47" s="651"/>
      <c r="P47" s="819"/>
      <c r="Q47" s="651"/>
      <c r="R47" s="651"/>
      <c r="S47" s="651"/>
    </row>
    <row r="48" spans="1:19">
      <c r="A48" s="836">
        <f t="shared" si="5"/>
        <v>5.2099999999999955</v>
      </c>
      <c r="B48" s="651"/>
      <c r="C48" s="819">
        <f t="shared" si="1"/>
        <v>0</v>
      </c>
      <c r="D48" s="819">
        <f t="shared" si="2"/>
        <v>0</v>
      </c>
      <c r="E48" s="819"/>
      <c r="F48" s="819"/>
      <c r="G48" s="819">
        <f t="shared" si="3"/>
        <v>0</v>
      </c>
      <c r="H48" s="819"/>
      <c r="I48" s="819">
        <f t="shared" si="4"/>
        <v>0</v>
      </c>
      <c r="J48" s="819">
        <f t="shared" si="4"/>
        <v>0</v>
      </c>
      <c r="K48" s="819">
        <f t="shared" si="4"/>
        <v>0</v>
      </c>
      <c r="L48" s="819"/>
      <c r="M48" s="651"/>
      <c r="N48" s="651"/>
      <c r="O48" s="651"/>
      <c r="P48" s="819"/>
      <c r="Q48" s="651"/>
      <c r="R48" s="651"/>
      <c r="S48" s="651"/>
    </row>
    <row r="49" spans="1:19">
      <c r="A49" s="836">
        <f t="shared" si="5"/>
        <v>5.2199999999999953</v>
      </c>
      <c r="B49" s="651"/>
      <c r="C49" s="819">
        <f t="shared" ref="C49:C55" si="8">SUM(M49:O49)</f>
        <v>0</v>
      </c>
      <c r="D49" s="819">
        <f t="shared" ref="D49:D55" si="9">SUM(Q49:S49)</f>
        <v>0</v>
      </c>
      <c r="E49" s="819"/>
      <c r="F49" s="819"/>
      <c r="G49" s="819">
        <f t="shared" si="3"/>
        <v>0</v>
      </c>
      <c r="H49" s="819"/>
      <c r="I49" s="819">
        <f t="shared" si="4"/>
        <v>0</v>
      </c>
      <c r="J49" s="819">
        <f t="shared" si="4"/>
        <v>0</v>
      </c>
      <c r="K49" s="819">
        <f t="shared" si="4"/>
        <v>0</v>
      </c>
      <c r="L49" s="819"/>
      <c r="M49" s="651"/>
      <c r="N49" s="651"/>
      <c r="O49" s="651"/>
      <c r="P49" s="819"/>
      <c r="Q49" s="651"/>
      <c r="R49" s="651"/>
      <c r="S49" s="651"/>
    </row>
    <row r="50" spans="1:19">
      <c r="A50" s="836">
        <f t="shared" si="5"/>
        <v>5.2299999999999951</v>
      </c>
      <c r="B50" s="651"/>
      <c r="C50" s="819">
        <f t="shared" si="8"/>
        <v>0</v>
      </c>
      <c r="D50" s="819">
        <f t="shared" si="9"/>
        <v>0</v>
      </c>
      <c r="E50" s="819"/>
      <c r="F50" s="819"/>
      <c r="G50" s="819">
        <f t="shared" si="3"/>
        <v>0</v>
      </c>
      <c r="H50" s="819"/>
      <c r="I50" s="819">
        <f t="shared" si="4"/>
        <v>0</v>
      </c>
      <c r="J50" s="819">
        <f t="shared" si="4"/>
        <v>0</v>
      </c>
      <c r="K50" s="819">
        <f t="shared" si="4"/>
        <v>0</v>
      </c>
      <c r="L50" s="819"/>
      <c r="M50" s="651"/>
      <c r="N50" s="651"/>
      <c r="O50" s="651"/>
      <c r="P50" s="819"/>
      <c r="Q50" s="651"/>
      <c r="R50" s="651"/>
      <c r="S50" s="651"/>
    </row>
    <row r="51" spans="1:19">
      <c r="A51" s="836">
        <f t="shared" si="5"/>
        <v>5.2399999999999949</v>
      </c>
      <c r="B51" s="651"/>
      <c r="C51" s="819">
        <f t="shared" si="8"/>
        <v>0</v>
      </c>
      <c r="D51" s="819">
        <f t="shared" si="9"/>
        <v>0</v>
      </c>
      <c r="E51" s="819"/>
      <c r="F51" s="819"/>
      <c r="G51" s="819">
        <f>ROUND(SUM(C51:F51)/2,0)</f>
        <v>0</v>
      </c>
      <c r="H51" s="819"/>
      <c r="I51" s="819">
        <f t="shared" si="4"/>
        <v>0</v>
      </c>
      <c r="J51" s="819">
        <f t="shared" si="4"/>
        <v>0</v>
      </c>
      <c r="K51" s="819">
        <f t="shared" si="4"/>
        <v>0</v>
      </c>
      <c r="L51" s="819"/>
      <c r="M51" s="651"/>
      <c r="N51" s="651"/>
      <c r="O51" s="651"/>
      <c r="P51" s="819"/>
      <c r="Q51" s="651"/>
      <c r="R51" s="651"/>
      <c r="S51" s="651"/>
    </row>
    <row r="52" spans="1:19">
      <c r="A52" s="836">
        <f t="shared" si="5"/>
        <v>5.2499999999999947</v>
      </c>
      <c r="B52" s="651"/>
      <c r="C52" s="819">
        <f t="shared" si="8"/>
        <v>0</v>
      </c>
      <c r="D52" s="819">
        <f t="shared" si="9"/>
        <v>0</v>
      </c>
      <c r="E52" s="819"/>
      <c r="F52" s="819"/>
      <c r="G52" s="819">
        <f>ROUND(SUM(C52:F52)/2,0)</f>
        <v>0</v>
      </c>
      <c r="H52" s="819"/>
      <c r="I52" s="819">
        <f t="shared" si="4"/>
        <v>0</v>
      </c>
      <c r="J52" s="819">
        <f t="shared" si="4"/>
        <v>0</v>
      </c>
      <c r="K52" s="819">
        <f t="shared" si="4"/>
        <v>0</v>
      </c>
      <c r="L52" s="819"/>
      <c r="M52" s="651"/>
      <c r="N52" s="651"/>
      <c r="O52" s="651"/>
      <c r="P52" s="819"/>
      <c r="Q52" s="651"/>
      <c r="R52" s="651"/>
      <c r="S52" s="651"/>
    </row>
    <row r="53" spans="1:19">
      <c r="A53" s="836">
        <f t="shared" si="5"/>
        <v>5.2599999999999945</v>
      </c>
      <c r="B53" s="651"/>
      <c r="C53" s="819">
        <f t="shared" si="8"/>
        <v>0</v>
      </c>
      <c r="D53" s="819">
        <f t="shared" si="9"/>
        <v>0</v>
      </c>
      <c r="E53" s="819"/>
      <c r="F53" s="819"/>
      <c r="G53" s="819">
        <f>ROUND(SUM(C53:F53)/2,0)</f>
        <v>0</v>
      </c>
      <c r="H53" s="819"/>
      <c r="I53" s="819">
        <f t="shared" si="4"/>
        <v>0</v>
      </c>
      <c r="J53" s="819">
        <f t="shared" si="4"/>
        <v>0</v>
      </c>
      <c r="K53" s="819">
        <f t="shared" si="4"/>
        <v>0</v>
      </c>
      <c r="L53" s="819"/>
      <c r="M53" s="651"/>
      <c r="N53" s="651"/>
      <c r="O53" s="651"/>
      <c r="P53" s="819"/>
      <c r="Q53" s="651"/>
      <c r="R53" s="651"/>
      <c r="S53" s="651"/>
    </row>
    <row r="54" spans="1:19">
      <c r="A54" s="836">
        <f t="shared" si="5"/>
        <v>5.2699999999999942</v>
      </c>
      <c r="B54" s="651"/>
      <c r="C54" s="819">
        <f t="shared" si="8"/>
        <v>0</v>
      </c>
      <c r="D54" s="819">
        <f t="shared" si="9"/>
        <v>0</v>
      </c>
      <c r="E54" s="819"/>
      <c r="F54" s="819"/>
      <c r="G54" s="819">
        <f>ROUND(SUM(C54:F54)/2,0)</f>
        <v>0</v>
      </c>
      <c r="H54" s="819"/>
      <c r="I54" s="819">
        <f t="shared" si="4"/>
        <v>0</v>
      </c>
      <c r="J54" s="819">
        <f t="shared" si="4"/>
        <v>0</v>
      </c>
      <c r="K54" s="819">
        <f t="shared" si="4"/>
        <v>0</v>
      </c>
      <c r="L54" s="819"/>
      <c r="M54" s="651"/>
      <c r="N54" s="651"/>
      <c r="O54" s="651"/>
      <c r="P54" s="819"/>
      <c r="Q54" s="651"/>
      <c r="R54" s="651"/>
      <c r="S54" s="651"/>
    </row>
    <row r="55" spans="1:19">
      <c r="A55" s="836">
        <f t="shared" si="5"/>
        <v>5.279999999999994</v>
      </c>
      <c r="B55" s="651"/>
      <c r="C55" s="819">
        <f t="shared" si="8"/>
        <v>0</v>
      </c>
      <c r="D55" s="819">
        <f t="shared" si="9"/>
        <v>0</v>
      </c>
      <c r="E55" s="819"/>
      <c r="F55" s="819"/>
      <c r="G55" s="819">
        <f>ROUND(SUM(C55:F55)/2,0)</f>
        <v>0</v>
      </c>
      <c r="H55" s="819"/>
      <c r="I55" s="819">
        <f t="shared" si="4"/>
        <v>0</v>
      </c>
      <c r="J55" s="819">
        <f t="shared" si="4"/>
        <v>0</v>
      </c>
      <c r="K55" s="819">
        <f t="shared" si="4"/>
        <v>0</v>
      </c>
      <c r="L55" s="819"/>
      <c r="M55" s="651"/>
      <c r="N55" s="651"/>
      <c r="O55" s="651"/>
      <c r="P55" s="819"/>
      <c r="Q55" s="651"/>
      <c r="R55" s="651"/>
      <c r="S55" s="651"/>
    </row>
    <row r="56" spans="1:19">
      <c r="A56" s="836">
        <f t="shared" si="5"/>
        <v>5.2899999999999938</v>
      </c>
      <c r="B56" s="651"/>
      <c r="C56" s="819">
        <f t="shared" si="1"/>
        <v>0</v>
      </c>
      <c r="D56" s="819">
        <f t="shared" si="2"/>
        <v>0</v>
      </c>
      <c r="E56" s="819"/>
      <c r="F56" s="819"/>
      <c r="G56" s="819">
        <f t="shared" ref="G56:G68" si="10">ROUND(SUM(C56:F56)/2,0)</f>
        <v>0</v>
      </c>
      <c r="H56" s="819"/>
      <c r="I56" s="819">
        <f t="shared" si="4"/>
        <v>0</v>
      </c>
      <c r="J56" s="819">
        <f t="shared" si="4"/>
        <v>0</v>
      </c>
      <c r="K56" s="819">
        <f t="shared" si="4"/>
        <v>0</v>
      </c>
      <c r="L56" s="819"/>
      <c r="M56" s="651"/>
      <c r="N56" s="651"/>
      <c r="O56" s="651"/>
      <c r="P56" s="819"/>
      <c r="Q56" s="651"/>
      <c r="R56" s="651"/>
      <c r="S56" s="651"/>
    </row>
    <row r="57" spans="1:19">
      <c r="A57" s="836">
        <f t="shared" si="5"/>
        <v>5.2999999999999936</v>
      </c>
      <c r="B57" s="651"/>
      <c r="C57" s="819">
        <f t="shared" si="1"/>
        <v>0</v>
      </c>
      <c r="D57" s="819">
        <f t="shared" si="2"/>
        <v>0</v>
      </c>
      <c r="E57" s="819"/>
      <c r="F57" s="819"/>
      <c r="G57" s="819">
        <f t="shared" si="10"/>
        <v>0</v>
      </c>
      <c r="H57" s="819"/>
      <c r="I57" s="819">
        <f t="shared" si="4"/>
        <v>0</v>
      </c>
      <c r="J57" s="819">
        <f t="shared" si="4"/>
        <v>0</v>
      </c>
      <c r="K57" s="819">
        <f t="shared" si="4"/>
        <v>0</v>
      </c>
      <c r="L57" s="819"/>
      <c r="M57" s="651"/>
      <c r="N57" s="651"/>
      <c r="O57" s="651"/>
      <c r="P57" s="819"/>
      <c r="Q57" s="651"/>
      <c r="R57" s="651"/>
      <c r="S57" s="651"/>
    </row>
    <row r="58" spans="1:19">
      <c r="A58" s="836">
        <f t="shared" si="5"/>
        <v>5.3099999999999934</v>
      </c>
      <c r="B58" s="651"/>
      <c r="C58" s="819">
        <f>SUM(M58:O58)</f>
        <v>0</v>
      </c>
      <c r="D58" s="819">
        <f>SUM(Q58:S58)</f>
        <v>0</v>
      </c>
      <c r="E58" s="819"/>
      <c r="F58" s="819"/>
      <c r="G58" s="819">
        <f>ROUND(SUM(C58:F58)/2,0)</f>
        <v>0</v>
      </c>
      <c r="H58" s="819"/>
      <c r="I58" s="819">
        <f t="shared" si="4"/>
        <v>0</v>
      </c>
      <c r="J58" s="819">
        <f t="shared" si="4"/>
        <v>0</v>
      </c>
      <c r="K58" s="819">
        <f t="shared" si="4"/>
        <v>0</v>
      </c>
      <c r="L58" s="819"/>
      <c r="M58" s="651"/>
      <c r="N58" s="651"/>
      <c r="O58" s="651"/>
      <c r="P58" s="819"/>
      <c r="Q58" s="651"/>
      <c r="R58" s="651"/>
      <c r="S58" s="651"/>
    </row>
    <row r="59" spans="1:19">
      <c r="A59" s="836">
        <f t="shared" si="5"/>
        <v>5.3199999999999932</v>
      </c>
      <c r="B59" s="651"/>
      <c r="C59" s="819">
        <f t="shared" si="1"/>
        <v>0</v>
      </c>
      <c r="D59" s="819">
        <f t="shared" si="2"/>
        <v>0</v>
      </c>
      <c r="E59" s="819"/>
      <c r="F59" s="819"/>
      <c r="G59" s="819">
        <f t="shared" si="10"/>
        <v>0</v>
      </c>
      <c r="H59" s="819"/>
      <c r="I59" s="819">
        <f t="shared" si="4"/>
        <v>0</v>
      </c>
      <c r="J59" s="819">
        <f t="shared" si="4"/>
        <v>0</v>
      </c>
      <c r="K59" s="819">
        <f t="shared" si="4"/>
        <v>0</v>
      </c>
      <c r="L59" s="819"/>
      <c r="M59" s="651"/>
      <c r="N59" s="651"/>
      <c r="O59" s="651"/>
      <c r="P59" s="819"/>
      <c r="Q59" s="651"/>
      <c r="R59" s="651"/>
      <c r="S59" s="651"/>
    </row>
    <row r="60" spans="1:19">
      <c r="A60" s="836">
        <f t="shared" si="5"/>
        <v>5.329999999999993</v>
      </c>
      <c r="B60" s="651"/>
      <c r="C60" s="819">
        <f t="shared" si="1"/>
        <v>0</v>
      </c>
      <c r="D60" s="819">
        <f t="shared" si="2"/>
        <v>0</v>
      </c>
      <c r="E60" s="819"/>
      <c r="F60" s="819"/>
      <c r="G60" s="819">
        <f t="shared" si="10"/>
        <v>0</v>
      </c>
      <c r="H60" s="819"/>
      <c r="I60" s="819">
        <f t="shared" si="4"/>
        <v>0</v>
      </c>
      <c r="J60" s="819">
        <f t="shared" si="4"/>
        <v>0</v>
      </c>
      <c r="K60" s="819">
        <f t="shared" si="4"/>
        <v>0</v>
      </c>
      <c r="L60" s="819"/>
      <c r="M60" s="651"/>
      <c r="N60" s="651"/>
      <c r="O60" s="651"/>
      <c r="P60" s="819"/>
      <c r="Q60" s="651"/>
      <c r="R60" s="651"/>
      <c r="S60" s="651"/>
    </row>
    <row r="61" spans="1:19">
      <c r="A61" s="836">
        <f t="shared" si="5"/>
        <v>5.3399999999999928</v>
      </c>
      <c r="B61" s="651"/>
      <c r="C61" s="1268">
        <f>SUM(M61:O61)</f>
        <v>0</v>
      </c>
      <c r="D61" s="1268">
        <f>SUM(Q61:S61)</f>
        <v>0</v>
      </c>
      <c r="E61" s="1268"/>
      <c r="F61" s="1268"/>
      <c r="G61" s="1268">
        <f>ROUND(SUM(C61:F61)/2,0)</f>
        <v>0</v>
      </c>
      <c r="H61" s="1268"/>
      <c r="I61" s="1268">
        <f t="shared" si="4"/>
        <v>0</v>
      </c>
      <c r="J61" s="1268">
        <f t="shared" si="4"/>
        <v>0</v>
      </c>
      <c r="K61" s="1268">
        <f t="shared" si="4"/>
        <v>0</v>
      </c>
      <c r="L61" s="1268"/>
      <c r="M61" s="651"/>
      <c r="N61" s="651"/>
      <c r="O61" s="651"/>
      <c r="P61" s="1268"/>
      <c r="Q61" s="651"/>
      <c r="R61" s="651"/>
      <c r="S61" s="651"/>
    </row>
    <row r="62" spans="1:19">
      <c r="A62" s="836">
        <f t="shared" si="5"/>
        <v>5.3499999999999925</v>
      </c>
      <c r="B62" s="651"/>
      <c r="C62" s="1268">
        <f t="shared" si="1"/>
        <v>0</v>
      </c>
      <c r="D62" s="1268">
        <f t="shared" si="2"/>
        <v>0</v>
      </c>
      <c r="E62" s="1268"/>
      <c r="F62" s="1268"/>
      <c r="G62" s="1268">
        <f t="shared" si="10"/>
        <v>0</v>
      </c>
      <c r="H62" s="1268"/>
      <c r="I62" s="1268">
        <f t="shared" si="4"/>
        <v>0</v>
      </c>
      <c r="J62" s="1268">
        <f t="shared" si="4"/>
        <v>0</v>
      </c>
      <c r="K62" s="1268">
        <f t="shared" si="4"/>
        <v>0</v>
      </c>
      <c r="L62" s="1268"/>
      <c r="M62" s="651"/>
      <c r="N62" s="651"/>
      <c r="O62" s="651"/>
      <c r="P62" s="1268"/>
      <c r="Q62" s="651"/>
      <c r="R62" s="651"/>
      <c r="S62" s="651"/>
    </row>
    <row r="63" spans="1:19">
      <c r="A63" s="836">
        <f t="shared" si="5"/>
        <v>5.3599999999999923</v>
      </c>
      <c r="B63" s="651"/>
      <c r="C63" s="819">
        <f t="shared" si="1"/>
        <v>0</v>
      </c>
      <c r="D63" s="819">
        <f t="shared" si="2"/>
        <v>0</v>
      </c>
      <c r="E63" s="819"/>
      <c r="F63" s="819"/>
      <c r="G63" s="819">
        <f t="shared" si="10"/>
        <v>0</v>
      </c>
      <c r="H63" s="819"/>
      <c r="I63" s="819">
        <f t="shared" si="4"/>
        <v>0</v>
      </c>
      <c r="J63" s="819">
        <f t="shared" si="4"/>
        <v>0</v>
      </c>
      <c r="K63" s="819">
        <f t="shared" si="4"/>
        <v>0</v>
      </c>
      <c r="L63" s="819"/>
      <c r="M63" s="651"/>
      <c r="N63" s="651"/>
      <c r="O63" s="651"/>
      <c r="P63" s="819"/>
      <c r="Q63" s="651"/>
      <c r="R63" s="651"/>
      <c r="S63" s="651"/>
    </row>
    <row r="64" spans="1:19">
      <c r="A64" s="836">
        <f t="shared" si="5"/>
        <v>5.3699999999999921</v>
      </c>
      <c r="B64" s="651"/>
      <c r="C64" s="819">
        <f t="shared" si="1"/>
        <v>0</v>
      </c>
      <c r="D64" s="819">
        <f t="shared" si="2"/>
        <v>0</v>
      </c>
      <c r="E64" s="819"/>
      <c r="F64" s="819"/>
      <c r="G64" s="819">
        <f t="shared" si="10"/>
        <v>0</v>
      </c>
      <c r="H64" s="819"/>
      <c r="I64" s="819">
        <f t="shared" si="4"/>
        <v>0</v>
      </c>
      <c r="J64" s="819">
        <f t="shared" si="4"/>
        <v>0</v>
      </c>
      <c r="K64" s="819">
        <f t="shared" si="4"/>
        <v>0</v>
      </c>
      <c r="L64" s="819"/>
      <c r="M64" s="651"/>
      <c r="N64" s="651"/>
      <c r="O64" s="651"/>
      <c r="P64" s="819"/>
      <c r="Q64" s="651"/>
      <c r="R64" s="651"/>
      <c r="S64" s="651"/>
    </row>
    <row r="65" spans="1:19">
      <c r="A65" s="836">
        <f t="shared" si="5"/>
        <v>5.3799999999999919</v>
      </c>
      <c r="B65" s="651"/>
      <c r="C65" s="819">
        <f>SUM(M65:O65)</f>
        <v>0</v>
      </c>
      <c r="D65" s="819">
        <f>SUM(Q65:S65)</f>
        <v>0</v>
      </c>
      <c r="E65" s="819"/>
      <c r="F65" s="819"/>
      <c r="G65" s="819">
        <f>ROUND(SUM(C65:F65)/2,0)</f>
        <v>0</v>
      </c>
      <c r="H65" s="819"/>
      <c r="I65" s="819">
        <f t="shared" si="4"/>
        <v>0</v>
      </c>
      <c r="J65" s="819">
        <f t="shared" si="4"/>
        <v>0</v>
      </c>
      <c r="K65" s="819">
        <f t="shared" si="4"/>
        <v>0</v>
      </c>
      <c r="L65" s="819"/>
      <c r="M65" s="651"/>
      <c r="N65" s="651"/>
      <c r="O65" s="651"/>
      <c r="P65" s="819"/>
      <c r="Q65" s="651"/>
      <c r="R65" s="651"/>
      <c r="S65" s="651"/>
    </row>
    <row r="66" spans="1:19">
      <c r="A66" s="836">
        <f t="shared" si="5"/>
        <v>5.3899999999999917</v>
      </c>
      <c r="B66" s="651"/>
      <c r="C66" s="651"/>
      <c r="D66" s="651"/>
      <c r="E66" s="819">
        <f t="shared" ref="E66:F68" si="11">-C66</f>
        <v>0</v>
      </c>
      <c r="F66" s="819">
        <f t="shared" si="11"/>
        <v>0</v>
      </c>
      <c r="G66" s="819">
        <f t="shared" si="10"/>
        <v>0</v>
      </c>
      <c r="H66" s="819"/>
      <c r="I66" s="819"/>
      <c r="J66" s="819"/>
      <c r="K66" s="819"/>
      <c r="L66" s="819"/>
      <c r="M66" s="819"/>
      <c r="N66" s="819"/>
      <c r="O66" s="819"/>
      <c r="P66" s="819"/>
      <c r="Q66" s="819"/>
      <c r="R66" s="819"/>
      <c r="S66" s="819"/>
    </row>
    <row r="67" spans="1:19">
      <c r="A67" s="836">
        <f t="shared" si="5"/>
        <v>5.3999999999999915</v>
      </c>
      <c r="B67" s="651"/>
      <c r="C67" s="651"/>
      <c r="D67" s="651"/>
      <c r="E67" s="819">
        <f t="shared" si="11"/>
        <v>0</v>
      </c>
      <c r="F67" s="819">
        <f t="shared" si="11"/>
        <v>0</v>
      </c>
      <c r="G67" s="819">
        <f t="shared" si="10"/>
        <v>0</v>
      </c>
      <c r="H67" s="819"/>
      <c r="I67" s="819"/>
      <c r="J67" s="819"/>
      <c r="K67" s="819"/>
      <c r="L67" s="819"/>
      <c r="M67" s="819"/>
      <c r="N67" s="819"/>
      <c r="O67" s="819"/>
      <c r="P67" s="819"/>
      <c r="Q67" s="819"/>
      <c r="R67" s="819"/>
      <c r="S67" s="819"/>
    </row>
    <row r="68" spans="1:19">
      <c r="A68" s="836">
        <f t="shared" si="5"/>
        <v>5.4099999999999913</v>
      </c>
      <c r="B68" s="651"/>
      <c r="C68" s="651"/>
      <c r="D68" s="651"/>
      <c r="E68" s="819">
        <f t="shared" si="11"/>
        <v>0</v>
      </c>
      <c r="F68" s="819">
        <f t="shared" si="11"/>
        <v>0</v>
      </c>
      <c r="G68" s="819">
        <f t="shared" si="10"/>
        <v>0</v>
      </c>
      <c r="H68" s="819"/>
      <c r="I68" s="819"/>
      <c r="J68" s="819"/>
      <c r="K68" s="819"/>
      <c r="L68" s="819"/>
      <c r="M68" s="819"/>
      <c r="N68" s="819"/>
      <c r="O68" s="819"/>
      <c r="P68" s="819"/>
      <c r="Q68" s="819"/>
      <c r="R68" s="819"/>
      <c r="S68" s="819"/>
    </row>
    <row r="69" spans="1:19">
      <c r="A69"/>
    </row>
    <row r="70" spans="1:19">
      <c r="A70" s="826"/>
      <c r="B70" s="812"/>
      <c r="C70" s="819"/>
      <c r="D70" s="819"/>
      <c r="E70" s="819"/>
      <c r="F70" s="819"/>
      <c r="G70" s="819"/>
      <c r="H70" s="819"/>
      <c r="I70" s="819"/>
      <c r="J70" s="819"/>
      <c r="K70" s="819"/>
      <c r="L70" s="819"/>
      <c r="M70" s="819"/>
      <c r="N70" s="819"/>
      <c r="O70" s="819"/>
      <c r="P70" s="819"/>
      <c r="Q70" s="819"/>
      <c r="R70" s="819"/>
      <c r="S70" s="819"/>
    </row>
    <row r="71" spans="1:19" ht="13" thickBot="1">
      <c r="A71" s="826">
        <v>6</v>
      </c>
      <c r="B71" t="s">
        <v>731</v>
      </c>
      <c r="C71" s="821">
        <f>SUM(C28:C70)</f>
        <v>0</v>
      </c>
      <c r="D71" s="821">
        <f>SUM(D28:D70)</f>
        <v>0</v>
      </c>
      <c r="E71" s="821">
        <f>SUM(E28:E70)</f>
        <v>0</v>
      </c>
      <c r="F71" s="821">
        <f>SUM(F28:F70)</f>
        <v>0</v>
      </c>
      <c r="G71" s="821">
        <f>SUM(G28:G70)</f>
        <v>0</v>
      </c>
      <c r="H71" s="819"/>
      <c r="I71" s="821">
        <f>SUM(I28:I70)</f>
        <v>0</v>
      </c>
      <c r="J71" s="821">
        <f>SUM(J28:J70)</f>
        <v>0</v>
      </c>
      <c r="K71" s="821">
        <f>SUM(K28:K70)</f>
        <v>0</v>
      </c>
      <c r="L71" s="819"/>
      <c r="M71" s="821">
        <f>SUM(M28:M70)</f>
        <v>0</v>
      </c>
      <c r="N71" s="821">
        <f>SUM(N28:N70)</f>
        <v>0</v>
      </c>
      <c r="O71" s="821">
        <f>SUM(O28:O70)</f>
        <v>0</v>
      </c>
      <c r="P71" s="819"/>
      <c r="Q71" s="821">
        <f>SUM(Q28:Q70)</f>
        <v>0</v>
      </c>
      <c r="R71" s="821">
        <f>SUM(R28:R70)</f>
        <v>0</v>
      </c>
      <c r="S71" s="821">
        <f>SUM(S28:S70)</f>
        <v>0</v>
      </c>
    </row>
    <row r="72" spans="1:19" ht="13" thickTop="1">
      <c r="A72" s="826">
        <f>A71+1</f>
        <v>7</v>
      </c>
      <c r="B72" s="20" t="s">
        <v>744</v>
      </c>
      <c r="C72" s="822">
        <f>SUM(C34,C35,C61,C62)</f>
        <v>0</v>
      </c>
      <c r="D72" s="822">
        <f>SUM(D34,D35,D61,D62)</f>
        <v>0</v>
      </c>
      <c r="E72" s="822">
        <f>SUM(E34,E35,E61,E62)</f>
        <v>0</v>
      </c>
      <c r="F72" s="822">
        <f>SUM(F34,F35,F61,F62)</f>
        <v>0</v>
      </c>
      <c r="G72" s="822">
        <f>SUM(G34,G35,G61,G62)</f>
        <v>0</v>
      </c>
      <c r="H72" s="819"/>
      <c r="I72" s="822">
        <f>SUM(I34,I35,I61,I62)</f>
        <v>0</v>
      </c>
      <c r="J72" s="822">
        <f>SUM(J34,J35,J61,J62)</f>
        <v>0</v>
      </c>
      <c r="K72" s="822">
        <f>SUM(K34,K35,K61,K62)</f>
        <v>0</v>
      </c>
      <c r="L72" s="822"/>
      <c r="M72" s="822">
        <f>SUM(M34,M35,M61,M62)</f>
        <v>0</v>
      </c>
      <c r="N72" s="822">
        <v>0</v>
      </c>
      <c r="O72" s="822">
        <f>SUM(O34,O35,O61,O62)</f>
        <v>0</v>
      </c>
      <c r="P72" s="819"/>
      <c r="Q72" s="822">
        <f>SUM(Q34,Q35,Q61,Q62)</f>
        <v>0</v>
      </c>
      <c r="R72" s="822">
        <v>0</v>
      </c>
      <c r="S72" s="822">
        <f>SUM(S34,S35,S61,S62)</f>
        <v>0</v>
      </c>
    </row>
    <row r="73" spans="1:19">
      <c r="A73" s="826"/>
      <c r="C73" s="819"/>
      <c r="D73" s="819"/>
      <c r="E73" s="819"/>
      <c r="F73" s="819"/>
      <c r="G73" s="819"/>
      <c r="H73" s="819"/>
      <c r="I73" s="819"/>
      <c r="J73" s="819"/>
      <c r="K73" s="819"/>
      <c r="L73" s="819"/>
      <c r="M73" s="819"/>
      <c r="N73" s="819"/>
      <c r="O73" s="819"/>
      <c r="P73" s="819"/>
      <c r="Q73" s="819"/>
      <c r="R73" s="819"/>
      <c r="S73" s="819"/>
    </row>
    <row r="74" spans="1:19">
      <c r="A74" s="826">
        <v>8</v>
      </c>
      <c r="B74" t="s">
        <v>732</v>
      </c>
      <c r="C74" s="819" t="s">
        <v>116</v>
      </c>
      <c r="D74" s="819"/>
      <c r="E74" s="819"/>
      <c r="F74" s="819"/>
      <c r="G74" s="819"/>
      <c r="H74" s="819"/>
      <c r="I74" s="819"/>
      <c r="J74" s="819"/>
      <c r="K74" s="819"/>
      <c r="L74" s="819"/>
      <c r="M74" s="819"/>
      <c r="N74" s="819"/>
      <c r="O74" s="819"/>
      <c r="P74" s="819"/>
      <c r="Q74" s="819"/>
      <c r="R74" s="819"/>
      <c r="S74" s="819"/>
    </row>
    <row r="75" spans="1:19">
      <c r="A75" s="826"/>
      <c r="B75" s="812"/>
      <c r="C75" s="819"/>
      <c r="D75" s="819"/>
      <c r="E75" s="819"/>
      <c r="F75" s="819"/>
      <c r="G75" s="819"/>
      <c r="H75" s="819"/>
      <c r="I75" s="819"/>
      <c r="J75" s="819"/>
      <c r="K75" s="819"/>
      <c r="L75" s="819"/>
      <c r="M75" s="819"/>
      <c r="N75" s="819"/>
      <c r="O75" s="819"/>
      <c r="P75" s="819"/>
      <c r="Q75" s="819"/>
      <c r="R75" s="819"/>
      <c r="S75" s="819"/>
    </row>
    <row r="76" spans="1:19">
      <c r="A76" s="836">
        <v>9.01</v>
      </c>
      <c r="B76" s="651"/>
      <c r="C76" s="819">
        <f>SUM(M76:O76)</f>
        <v>0</v>
      </c>
      <c r="D76" s="819">
        <f t="shared" ref="D76:D139" si="12">SUM(Q76:S76)</f>
        <v>0</v>
      </c>
      <c r="E76" s="819"/>
      <c r="F76" s="819"/>
      <c r="G76" s="819">
        <f t="shared" ref="G76:G130" si="13">ROUND(SUM(C76:F76)/2,0)</f>
        <v>0</v>
      </c>
      <c r="H76" s="819"/>
      <c r="I76" s="819">
        <f>(M76+Q76)/2</f>
        <v>0</v>
      </c>
      <c r="J76" s="819">
        <f>(N76+R76)/2</f>
        <v>0</v>
      </c>
      <c r="K76" s="819">
        <f>(O76+S76)/2</f>
        <v>0</v>
      </c>
      <c r="L76" s="819"/>
      <c r="M76" s="651">
        <v>0</v>
      </c>
      <c r="N76" s="651">
        <v>0</v>
      </c>
      <c r="O76" s="651"/>
      <c r="P76" s="819"/>
      <c r="Q76" s="651">
        <v>0</v>
      </c>
      <c r="R76" s="651">
        <v>0</v>
      </c>
      <c r="S76" s="651"/>
    </row>
    <row r="77" spans="1:19">
      <c r="A77" s="836">
        <f>A76+0.01</f>
        <v>9.02</v>
      </c>
      <c r="B77" s="651"/>
      <c r="C77" s="819">
        <f t="shared" ref="C77:C140" si="14">SUM(M77:O77)</f>
        <v>0</v>
      </c>
      <c r="D77" s="819">
        <f t="shared" si="12"/>
        <v>0</v>
      </c>
      <c r="E77" s="819"/>
      <c r="F77" s="819"/>
      <c r="G77" s="819">
        <f>ROUND(SUM(C77:F77)/2,0)</f>
        <v>0</v>
      </c>
      <c r="H77" s="819"/>
      <c r="I77" s="819">
        <f t="shared" ref="I77:K136" si="15">(M77+Q77)/2</f>
        <v>0</v>
      </c>
      <c r="J77" s="819">
        <f t="shared" si="15"/>
        <v>0</v>
      </c>
      <c r="K77" s="819">
        <f t="shared" si="15"/>
        <v>0</v>
      </c>
      <c r="L77" s="819"/>
      <c r="M77" s="651"/>
      <c r="N77" s="651">
        <v>0</v>
      </c>
      <c r="O77" s="651"/>
      <c r="P77" s="819"/>
      <c r="Q77" s="651"/>
      <c r="R77" s="651">
        <v>0</v>
      </c>
      <c r="S77" s="651"/>
    </row>
    <row r="78" spans="1:19">
      <c r="A78" s="836">
        <f t="shared" ref="A78:A141" si="16">A77+0.01</f>
        <v>9.0299999999999994</v>
      </c>
      <c r="B78" s="651"/>
      <c r="C78" s="819">
        <f t="shared" si="14"/>
        <v>0</v>
      </c>
      <c r="D78" s="819">
        <f t="shared" si="12"/>
        <v>0</v>
      </c>
      <c r="E78" s="819"/>
      <c r="F78" s="819"/>
      <c r="G78" s="819">
        <f t="shared" si="13"/>
        <v>0</v>
      </c>
      <c r="H78" s="819"/>
      <c r="I78" s="819">
        <f t="shared" si="15"/>
        <v>0</v>
      </c>
      <c r="J78" s="819">
        <f t="shared" si="15"/>
        <v>0</v>
      </c>
      <c r="K78" s="819">
        <f t="shared" si="15"/>
        <v>0</v>
      </c>
      <c r="L78" s="819"/>
      <c r="M78" s="651"/>
      <c r="N78" s="651"/>
      <c r="O78" s="651"/>
      <c r="P78" s="819"/>
      <c r="Q78" s="651"/>
      <c r="R78" s="651"/>
      <c r="S78" s="651"/>
    </row>
    <row r="79" spans="1:19">
      <c r="A79" s="836">
        <f t="shared" si="16"/>
        <v>9.0399999999999991</v>
      </c>
      <c r="B79" s="651"/>
      <c r="C79" s="819">
        <f t="shared" si="14"/>
        <v>0</v>
      </c>
      <c r="D79" s="819">
        <f t="shared" si="12"/>
        <v>0</v>
      </c>
      <c r="E79" s="819"/>
      <c r="F79" s="819"/>
      <c r="G79" s="819">
        <f t="shared" si="13"/>
        <v>0</v>
      </c>
      <c r="H79" s="819"/>
      <c r="I79" s="819">
        <f t="shared" si="15"/>
        <v>0</v>
      </c>
      <c r="J79" s="819">
        <f t="shared" si="15"/>
        <v>0</v>
      </c>
      <c r="K79" s="819">
        <f t="shared" si="15"/>
        <v>0</v>
      </c>
      <c r="L79" s="819"/>
      <c r="M79" s="651"/>
      <c r="N79" s="651"/>
      <c r="O79" s="651"/>
      <c r="P79" s="819"/>
      <c r="Q79" s="651"/>
      <c r="R79" s="651"/>
      <c r="S79" s="651"/>
    </row>
    <row r="80" spans="1:19">
      <c r="A80" s="836">
        <f t="shared" si="16"/>
        <v>9.0499999999999989</v>
      </c>
      <c r="B80" s="651"/>
      <c r="C80" s="819">
        <f t="shared" si="14"/>
        <v>0</v>
      </c>
      <c r="D80" s="819">
        <f t="shared" si="12"/>
        <v>0</v>
      </c>
      <c r="E80" s="819"/>
      <c r="F80" s="819"/>
      <c r="G80" s="819">
        <f t="shared" si="13"/>
        <v>0</v>
      </c>
      <c r="H80" s="819"/>
      <c r="I80" s="819">
        <f t="shared" si="15"/>
        <v>0</v>
      </c>
      <c r="J80" s="819">
        <f t="shared" si="15"/>
        <v>0</v>
      </c>
      <c r="K80" s="819">
        <f t="shared" si="15"/>
        <v>0</v>
      </c>
      <c r="L80" s="819"/>
      <c r="M80" s="651"/>
      <c r="N80" s="651"/>
      <c r="O80" s="651"/>
      <c r="P80" s="819"/>
      <c r="Q80" s="651"/>
      <c r="R80" s="651"/>
      <c r="S80" s="651"/>
    </row>
    <row r="81" spans="1:19">
      <c r="A81" s="836">
        <f t="shared" si="16"/>
        <v>9.0599999999999987</v>
      </c>
      <c r="B81" s="651"/>
      <c r="C81" s="819">
        <f t="shared" si="14"/>
        <v>0</v>
      </c>
      <c r="D81" s="819">
        <f t="shared" si="12"/>
        <v>0</v>
      </c>
      <c r="E81" s="819"/>
      <c r="F81" s="819"/>
      <c r="G81" s="819">
        <f t="shared" si="13"/>
        <v>0</v>
      </c>
      <c r="H81" s="819"/>
      <c r="I81" s="819">
        <f t="shared" si="15"/>
        <v>0</v>
      </c>
      <c r="J81" s="819">
        <f t="shared" si="15"/>
        <v>0</v>
      </c>
      <c r="K81" s="819">
        <f t="shared" si="15"/>
        <v>0</v>
      </c>
      <c r="L81" s="819"/>
      <c r="M81" s="651"/>
      <c r="N81" s="651"/>
      <c r="O81" s="651"/>
      <c r="P81" s="819"/>
      <c r="Q81" s="651"/>
      <c r="R81" s="651"/>
      <c r="S81" s="651"/>
    </row>
    <row r="82" spans="1:19">
      <c r="A82" s="836">
        <f t="shared" si="16"/>
        <v>9.0699999999999985</v>
      </c>
      <c r="B82" s="651"/>
      <c r="C82" s="819">
        <f t="shared" si="14"/>
        <v>0</v>
      </c>
      <c r="D82" s="819">
        <f t="shared" si="12"/>
        <v>0</v>
      </c>
      <c r="E82" s="819"/>
      <c r="F82" s="819"/>
      <c r="G82" s="819">
        <f>ROUND(SUM(C82:F82)/2,0)</f>
        <v>0</v>
      </c>
      <c r="H82" s="819"/>
      <c r="I82" s="819">
        <f t="shared" si="15"/>
        <v>0</v>
      </c>
      <c r="J82" s="819">
        <f t="shared" si="15"/>
        <v>0</v>
      </c>
      <c r="K82" s="819">
        <f t="shared" si="15"/>
        <v>0</v>
      </c>
      <c r="L82" s="819"/>
      <c r="M82" s="651"/>
      <c r="N82" s="651"/>
      <c r="O82" s="651"/>
      <c r="P82" s="819"/>
      <c r="Q82" s="651"/>
      <c r="R82" s="651"/>
      <c r="S82" s="651"/>
    </row>
    <row r="83" spans="1:19">
      <c r="A83" s="836">
        <f t="shared" si="16"/>
        <v>9.0799999999999983</v>
      </c>
      <c r="B83" s="651"/>
      <c r="C83" s="819">
        <f t="shared" si="14"/>
        <v>0</v>
      </c>
      <c r="D83" s="819">
        <f t="shared" si="12"/>
        <v>0</v>
      </c>
      <c r="E83" s="819"/>
      <c r="F83" s="819"/>
      <c r="G83" s="819">
        <f>ROUND(SUM(C83:F83)/2,0)</f>
        <v>0</v>
      </c>
      <c r="H83" s="819"/>
      <c r="I83" s="819">
        <f t="shared" si="15"/>
        <v>0</v>
      </c>
      <c r="J83" s="819">
        <f t="shared" si="15"/>
        <v>0</v>
      </c>
      <c r="K83" s="819">
        <f t="shared" si="15"/>
        <v>0</v>
      </c>
      <c r="L83" s="819"/>
      <c r="M83" s="651"/>
      <c r="N83" s="651"/>
      <c r="O83" s="651"/>
      <c r="P83" s="819"/>
      <c r="Q83" s="651"/>
      <c r="R83" s="651"/>
      <c r="S83" s="651"/>
    </row>
    <row r="84" spans="1:19">
      <c r="A84" s="836">
        <f t="shared" si="16"/>
        <v>9.0899999999999981</v>
      </c>
      <c r="B84" s="651"/>
      <c r="C84" s="819">
        <f t="shared" si="14"/>
        <v>0</v>
      </c>
      <c r="D84" s="819">
        <f t="shared" si="12"/>
        <v>0</v>
      </c>
      <c r="E84" s="819"/>
      <c r="F84" s="819"/>
      <c r="G84" s="819">
        <f t="shared" si="13"/>
        <v>0</v>
      </c>
      <c r="H84" s="819"/>
      <c r="I84" s="819">
        <f t="shared" si="15"/>
        <v>0</v>
      </c>
      <c r="J84" s="819">
        <f t="shared" si="15"/>
        <v>0</v>
      </c>
      <c r="K84" s="819">
        <f t="shared" si="15"/>
        <v>0</v>
      </c>
      <c r="L84" s="819"/>
      <c r="M84" s="651"/>
      <c r="N84" s="651"/>
      <c r="O84" s="651"/>
      <c r="P84" s="819"/>
      <c r="Q84" s="651"/>
      <c r="R84" s="651"/>
      <c r="S84" s="651"/>
    </row>
    <row r="85" spans="1:19">
      <c r="A85" s="836">
        <f t="shared" si="16"/>
        <v>9.0999999999999979</v>
      </c>
      <c r="B85" s="651"/>
      <c r="C85" s="819">
        <f t="shared" si="14"/>
        <v>0</v>
      </c>
      <c r="D85" s="819">
        <f t="shared" si="12"/>
        <v>0</v>
      </c>
      <c r="E85" s="819"/>
      <c r="F85" s="819"/>
      <c r="G85" s="819">
        <f>ROUND(SUM(C85:F85)/2,0)</f>
        <v>0</v>
      </c>
      <c r="H85" s="819"/>
      <c r="I85" s="819">
        <f t="shared" si="15"/>
        <v>0</v>
      </c>
      <c r="J85" s="819">
        <f t="shared" si="15"/>
        <v>0</v>
      </c>
      <c r="K85" s="819">
        <f t="shared" si="15"/>
        <v>0</v>
      </c>
      <c r="L85" s="819"/>
      <c r="M85" s="651"/>
      <c r="N85" s="651"/>
      <c r="O85" s="651"/>
      <c r="P85" s="819"/>
      <c r="Q85" s="651"/>
      <c r="R85" s="651"/>
      <c r="S85" s="651"/>
    </row>
    <row r="86" spans="1:19">
      <c r="A86" s="836">
        <f t="shared" si="16"/>
        <v>9.1099999999999977</v>
      </c>
      <c r="B86" s="651"/>
      <c r="C86" s="819">
        <f t="shared" si="14"/>
        <v>0</v>
      </c>
      <c r="D86" s="819">
        <f t="shared" si="12"/>
        <v>0</v>
      </c>
      <c r="E86" s="819"/>
      <c r="F86" s="819"/>
      <c r="G86" s="819">
        <f>ROUND(SUM(C86:F86)/2,0)</f>
        <v>0</v>
      </c>
      <c r="H86" s="819"/>
      <c r="I86" s="819">
        <f t="shared" si="15"/>
        <v>0</v>
      </c>
      <c r="J86" s="819">
        <f t="shared" si="15"/>
        <v>0</v>
      </c>
      <c r="K86" s="819">
        <f t="shared" si="15"/>
        <v>0</v>
      </c>
      <c r="L86" s="819"/>
      <c r="M86" s="651"/>
      <c r="N86" s="651"/>
      <c r="O86" s="651"/>
      <c r="P86" s="819"/>
      <c r="Q86" s="651"/>
      <c r="R86" s="651"/>
      <c r="S86" s="651"/>
    </row>
    <row r="87" spans="1:19">
      <c r="A87" s="836">
        <f t="shared" si="16"/>
        <v>9.1199999999999974</v>
      </c>
      <c r="B87" s="651"/>
      <c r="C87" s="819">
        <f t="shared" si="14"/>
        <v>0</v>
      </c>
      <c r="D87" s="819">
        <f t="shared" si="12"/>
        <v>0</v>
      </c>
      <c r="E87" s="819"/>
      <c r="F87" s="819"/>
      <c r="G87" s="819">
        <f t="shared" si="13"/>
        <v>0</v>
      </c>
      <c r="H87" s="819"/>
      <c r="I87" s="819">
        <f t="shared" si="15"/>
        <v>0</v>
      </c>
      <c r="J87" s="819">
        <f t="shared" si="15"/>
        <v>0</v>
      </c>
      <c r="K87" s="819">
        <f t="shared" si="15"/>
        <v>0</v>
      </c>
      <c r="L87" s="819"/>
      <c r="M87" s="651"/>
      <c r="N87" s="651"/>
      <c r="O87" s="651"/>
      <c r="P87" s="819"/>
      <c r="Q87" s="651"/>
      <c r="R87" s="651"/>
      <c r="S87" s="651"/>
    </row>
    <row r="88" spans="1:19">
      <c r="A88" s="836">
        <f t="shared" si="16"/>
        <v>9.1299999999999972</v>
      </c>
      <c r="B88" s="651"/>
      <c r="C88" s="819">
        <f t="shared" si="14"/>
        <v>0</v>
      </c>
      <c r="D88" s="819">
        <f t="shared" si="12"/>
        <v>0</v>
      </c>
      <c r="E88" s="819"/>
      <c r="F88" s="819"/>
      <c r="G88" s="819">
        <f t="shared" si="13"/>
        <v>0</v>
      </c>
      <c r="H88" s="819"/>
      <c r="I88" s="819">
        <f t="shared" si="15"/>
        <v>0</v>
      </c>
      <c r="J88" s="819">
        <f t="shared" si="15"/>
        <v>0</v>
      </c>
      <c r="K88" s="819">
        <f t="shared" si="15"/>
        <v>0</v>
      </c>
      <c r="L88" s="819"/>
      <c r="M88" s="651"/>
      <c r="N88" s="651"/>
      <c r="O88" s="651"/>
      <c r="P88" s="819"/>
      <c r="Q88" s="651"/>
      <c r="R88" s="651"/>
      <c r="S88" s="651"/>
    </row>
    <row r="89" spans="1:19">
      <c r="A89" s="836">
        <f t="shared" si="16"/>
        <v>9.139999999999997</v>
      </c>
      <c r="B89" s="651"/>
      <c r="C89" s="819">
        <f t="shared" si="14"/>
        <v>0</v>
      </c>
      <c r="D89" s="819">
        <f t="shared" si="12"/>
        <v>0</v>
      </c>
      <c r="E89" s="819"/>
      <c r="F89" s="819"/>
      <c r="G89" s="819">
        <f t="shared" si="13"/>
        <v>0</v>
      </c>
      <c r="H89" s="819"/>
      <c r="I89" s="819">
        <f t="shared" si="15"/>
        <v>0</v>
      </c>
      <c r="J89" s="819">
        <f t="shared" si="15"/>
        <v>0</v>
      </c>
      <c r="K89" s="819">
        <f t="shared" si="15"/>
        <v>0</v>
      </c>
      <c r="L89" s="819"/>
      <c r="M89" s="651"/>
      <c r="N89" s="651"/>
      <c r="O89" s="651"/>
      <c r="P89" s="819"/>
      <c r="Q89" s="651"/>
      <c r="R89" s="651"/>
      <c r="S89" s="651"/>
    </row>
    <row r="90" spans="1:19">
      <c r="A90" s="836">
        <f t="shared" si="16"/>
        <v>9.1499999999999968</v>
      </c>
      <c r="B90" s="651"/>
      <c r="C90" s="819">
        <f t="shared" si="14"/>
        <v>0</v>
      </c>
      <c r="D90" s="819">
        <f t="shared" si="12"/>
        <v>0</v>
      </c>
      <c r="E90" s="819"/>
      <c r="F90" s="819"/>
      <c r="G90" s="819">
        <f t="shared" si="13"/>
        <v>0</v>
      </c>
      <c r="H90" s="819"/>
      <c r="I90" s="819">
        <f t="shared" si="15"/>
        <v>0</v>
      </c>
      <c r="J90" s="819">
        <f t="shared" si="15"/>
        <v>0</v>
      </c>
      <c r="K90" s="819">
        <f t="shared" si="15"/>
        <v>0</v>
      </c>
      <c r="L90" s="819"/>
      <c r="M90" s="651"/>
      <c r="N90" s="651"/>
      <c r="O90" s="651"/>
      <c r="P90" s="819"/>
      <c r="Q90" s="651"/>
      <c r="R90" s="651"/>
      <c r="S90" s="651"/>
    </row>
    <row r="91" spans="1:19">
      <c r="A91" s="836">
        <f t="shared" si="16"/>
        <v>9.1599999999999966</v>
      </c>
      <c r="B91" s="651"/>
      <c r="C91" s="819">
        <f t="shared" si="14"/>
        <v>0</v>
      </c>
      <c r="D91" s="819">
        <f t="shared" si="12"/>
        <v>0</v>
      </c>
      <c r="E91" s="819"/>
      <c r="F91" s="819"/>
      <c r="G91" s="819">
        <f t="shared" si="13"/>
        <v>0</v>
      </c>
      <c r="H91" s="819"/>
      <c r="I91" s="819">
        <f t="shared" si="15"/>
        <v>0</v>
      </c>
      <c r="J91" s="819">
        <f t="shared" si="15"/>
        <v>0</v>
      </c>
      <c r="K91" s="819">
        <f t="shared" si="15"/>
        <v>0</v>
      </c>
      <c r="L91" s="819"/>
      <c r="M91" s="651"/>
      <c r="N91" s="651"/>
      <c r="O91" s="651"/>
      <c r="P91" s="819"/>
      <c r="Q91" s="651"/>
      <c r="R91" s="651"/>
      <c r="S91" s="651"/>
    </row>
    <row r="92" spans="1:19">
      <c r="A92" s="836">
        <f t="shared" si="16"/>
        <v>9.1699999999999964</v>
      </c>
      <c r="B92" s="651"/>
      <c r="C92" s="819">
        <f t="shared" si="14"/>
        <v>0</v>
      </c>
      <c r="D92" s="819">
        <f t="shared" si="12"/>
        <v>0</v>
      </c>
      <c r="E92" s="819"/>
      <c r="F92" s="819"/>
      <c r="G92" s="819">
        <f t="shared" si="13"/>
        <v>0</v>
      </c>
      <c r="H92" s="819"/>
      <c r="I92" s="819">
        <f t="shared" si="15"/>
        <v>0</v>
      </c>
      <c r="J92" s="819">
        <f t="shared" si="15"/>
        <v>0</v>
      </c>
      <c r="K92" s="819">
        <f t="shared" si="15"/>
        <v>0</v>
      </c>
      <c r="L92" s="819"/>
      <c r="M92" s="651"/>
      <c r="N92" s="651"/>
      <c r="O92" s="651"/>
      <c r="P92" s="819"/>
      <c r="Q92" s="651"/>
      <c r="R92" s="651"/>
      <c r="S92" s="651"/>
    </row>
    <row r="93" spans="1:19">
      <c r="A93" s="836">
        <f t="shared" si="16"/>
        <v>9.1799999999999962</v>
      </c>
      <c r="B93" s="651"/>
      <c r="C93" s="819">
        <f t="shared" si="14"/>
        <v>0</v>
      </c>
      <c r="D93" s="819">
        <f t="shared" si="12"/>
        <v>0</v>
      </c>
      <c r="E93" s="819"/>
      <c r="F93" s="819"/>
      <c r="G93" s="819">
        <f t="shared" si="13"/>
        <v>0</v>
      </c>
      <c r="H93" s="819"/>
      <c r="I93" s="819">
        <f t="shared" si="15"/>
        <v>0</v>
      </c>
      <c r="J93" s="819">
        <f t="shared" si="15"/>
        <v>0</v>
      </c>
      <c r="K93" s="819">
        <f t="shared" si="15"/>
        <v>0</v>
      </c>
      <c r="L93" s="819"/>
      <c r="M93" s="651"/>
      <c r="N93" s="651"/>
      <c r="O93" s="651"/>
      <c r="P93" s="819"/>
      <c r="Q93" s="651"/>
      <c r="R93" s="651"/>
      <c r="S93" s="651"/>
    </row>
    <row r="94" spans="1:19">
      <c r="A94" s="836">
        <f t="shared" si="16"/>
        <v>9.1899999999999959</v>
      </c>
      <c r="B94" s="651"/>
      <c r="C94" s="819">
        <f t="shared" si="14"/>
        <v>0</v>
      </c>
      <c r="D94" s="819">
        <f t="shared" si="12"/>
        <v>0</v>
      </c>
      <c r="E94" s="819"/>
      <c r="F94" s="819"/>
      <c r="G94" s="819">
        <f t="shared" si="13"/>
        <v>0</v>
      </c>
      <c r="H94" s="819"/>
      <c r="I94" s="819">
        <f t="shared" si="15"/>
        <v>0</v>
      </c>
      <c r="J94" s="819">
        <f t="shared" si="15"/>
        <v>0</v>
      </c>
      <c r="K94" s="819">
        <f t="shared" si="15"/>
        <v>0</v>
      </c>
      <c r="L94" s="819"/>
      <c r="M94" s="651"/>
      <c r="N94" s="651"/>
      <c r="O94" s="651"/>
      <c r="P94" s="819"/>
      <c r="Q94" s="651"/>
      <c r="R94" s="651"/>
      <c r="S94" s="651"/>
    </row>
    <row r="95" spans="1:19">
      <c r="A95" s="836">
        <f t="shared" si="16"/>
        <v>9.1999999999999957</v>
      </c>
      <c r="B95" s="651"/>
      <c r="C95" s="819">
        <f t="shared" si="14"/>
        <v>0</v>
      </c>
      <c r="D95" s="819">
        <f t="shared" si="12"/>
        <v>0</v>
      </c>
      <c r="E95" s="819"/>
      <c r="F95" s="819"/>
      <c r="G95" s="819">
        <f t="shared" si="13"/>
        <v>0</v>
      </c>
      <c r="H95" s="819"/>
      <c r="I95" s="819">
        <f t="shared" si="15"/>
        <v>0</v>
      </c>
      <c r="J95" s="819">
        <f t="shared" si="15"/>
        <v>0</v>
      </c>
      <c r="K95" s="819">
        <f t="shared" si="15"/>
        <v>0</v>
      </c>
      <c r="L95" s="819"/>
      <c r="M95" s="651"/>
      <c r="N95" s="651"/>
      <c r="O95" s="651"/>
      <c r="P95" s="819"/>
      <c r="Q95" s="651"/>
      <c r="R95" s="651"/>
      <c r="S95" s="651"/>
    </row>
    <row r="96" spans="1:19">
      <c r="A96" s="836">
        <f t="shared" si="16"/>
        <v>9.2099999999999955</v>
      </c>
      <c r="B96" s="651"/>
      <c r="C96" s="819">
        <f t="shared" si="14"/>
        <v>0</v>
      </c>
      <c r="D96" s="819">
        <f t="shared" si="12"/>
        <v>0</v>
      </c>
      <c r="E96" s="819"/>
      <c r="F96" s="819"/>
      <c r="G96" s="819">
        <f t="shared" si="13"/>
        <v>0</v>
      </c>
      <c r="H96" s="819"/>
      <c r="I96" s="819">
        <f t="shared" si="15"/>
        <v>0</v>
      </c>
      <c r="J96" s="819">
        <f t="shared" si="15"/>
        <v>0</v>
      </c>
      <c r="K96" s="819">
        <f t="shared" si="15"/>
        <v>0</v>
      </c>
      <c r="L96" s="819"/>
      <c r="M96" s="651"/>
      <c r="N96" s="651"/>
      <c r="O96" s="651"/>
      <c r="P96" s="819"/>
      <c r="Q96" s="651"/>
      <c r="R96" s="651"/>
      <c r="S96" s="651"/>
    </row>
    <row r="97" spans="1:19">
      <c r="A97" s="836">
        <f t="shared" si="16"/>
        <v>9.2199999999999953</v>
      </c>
      <c r="B97" s="651"/>
      <c r="C97" s="819">
        <f t="shared" si="14"/>
        <v>0</v>
      </c>
      <c r="D97" s="819">
        <f t="shared" si="12"/>
        <v>0</v>
      </c>
      <c r="E97" s="819"/>
      <c r="F97" s="819"/>
      <c r="G97" s="819">
        <f t="shared" si="13"/>
        <v>0</v>
      </c>
      <c r="H97" s="819"/>
      <c r="I97" s="819">
        <f t="shared" si="15"/>
        <v>0</v>
      </c>
      <c r="J97" s="819">
        <f t="shared" si="15"/>
        <v>0</v>
      </c>
      <c r="K97" s="819">
        <f t="shared" si="15"/>
        <v>0</v>
      </c>
      <c r="L97" s="819"/>
      <c r="M97" s="651"/>
      <c r="N97" s="651"/>
      <c r="O97" s="651"/>
      <c r="P97" s="819"/>
      <c r="Q97" s="651"/>
      <c r="R97" s="651"/>
      <c r="S97" s="651"/>
    </row>
    <row r="98" spans="1:19">
      <c r="A98" s="836">
        <f t="shared" si="16"/>
        <v>9.2299999999999951</v>
      </c>
      <c r="B98" s="651"/>
      <c r="C98" s="819">
        <f t="shared" si="14"/>
        <v>0</v>
      </c>
      <c r="D98" s="819">
        <f t="shared" si="12"/>
        <v>0</v>
      </c>
      <c r="E98" s="819"/>
      <c r="F98" s="819"/>
      <c r="G98" s="819">
        <f t="shared" si="13"/>
        <v>0</v>
      </c>
      <c r="H98" s="819"/>
      <c r="I98" s="819">
        <f t="shared" si="15"/>
        <v>0</v>
      </c>
      <c r="J98" s="819">
        <f t="shared" si="15"/>
        <v>0</v>
      </c>
      <c r="K98" s="819">
        <f t="shared" si="15"/>
        <v>0</v>
      </c>
      <c r="L98" s="819"/>
      <c r="M98" s="651"/>
      <c r="N98" s="651"/>
      <c r="O98" s="651"/>
      <c r="P98" s="819"/>
      <c r="Q98" s="651"/>
      <c r="R98" s="651"/>
      <c r="S98" s="651"/>
    </row>
    <row r="99" spans="1:19">
      <c r="A99" s="836">
        <f t="shared" si="16"/>
        <v>9.2399999999999949</v>
      </c>
      <c r="B99" s="651"/>
      <c r="C99" s="819">
        <f t="shared" si="14"/>
        <v>0</v>
      </c>
      <c r="D99" s="819">
        <f t="shared" si="12"/>
        <v>0</v>
      </c>
      <c r="E99" s="819"/>
      <c r="F99" s="819"/>
      <c r="G99" s="819">
        <f t="shared" si="13"/>
        <v>0</v>
      </c>
      <c r="H99" s="819"/>
      <c r="I99" s="819">
        <f t="shared" si="15"/>
        <v>0</v>
      </c>
      <c r="J99" s="819">
        <f t="shared" si="15"/>
        <v>0</v>
      </c>
      <c r="K99" s="819">
        <f t="shared" si="15"/>
        <v>0</v>
      </c>
      <c r="L99" s="819"/>
      <c r="M99" s="651"/>
      <c r="N99" s="651"/>
      <c r="O99" s="651"/>
      <c r="P99" s="819"/>
      <c r="Q99" s="651"/>
      <c r="R99" s="651"/>
      <c r="S99" s="651"/>
    </row>
    <row r="100" spans="1:19">
      <c r="A100" s="836">
        <f t="shared" si="16"/>
        <v>9.2499999999999947</v>
      </c>
      <c r="B100" s="651"/>
      <c r="C100" s="819">
        <f t="shared" si="14"/>
        <v>0</v>
      </c>
      <c r="D100" s="819">
        <f t="shared" si="12"/>
        <v>0</v>
      </c>
      <c r="E100" s="819"/>
      <c r="F100" s="819"/>
      <c r="G100" s="819">
        <f>ROUND(SUM(C100:F100)/2,0)</f>
        <v>0</v>
      </c>
      <c r="H100" s="819"/>
      <c r="I100" s="819">
        <f t="shared" si="15"/>
        <v>0</v>
      </c>
      <c r="J100" s="819">
        <f t="shared" si="15"/>
        <v>0</v>
      </c>
      <c r="K100" s="819">
        <f t="shared" si="15"/>
        <v>0</v>
      </c>
      <c r="L100" s="819"/>
      <c r="M100" s="651"/>
      <c r="N100" s="651"/>
      <c r="O100" s="651"/>
      <c r="P100" s="819"/>
      <c r="Q100" s="651"/>
      <c r="R100" s="651"/>
      <c r="S100" s="651"/>
    </row>
    <row r="101" spans="1:19">
      <c r="A101" s="836">
        <f t="shared" si="16"/>
        <v>9.2599999999999945</v>
      </c>
      <c r="B101" s="651"/>
      <c r="C101" s="819">
        <f t="shared" si="14"/>
        <v>0</v>
      </c>
      <c r="D101" s="819">
        <f t="shared" si="12"/>
        <v>0</v>
      </c>
      <c r="E101" s="819"/>
      <c r="F101" s="819"/>
      <c r="G101" s="819">
        <f t="shared" si="13"/>
        <v>0</v>
      </c>
      <c r="H101" s="819"/>
      <c r="I101" s="819">
        <f t="shared" si="15"/>
        <v>0</v>
      </c>
      <c r="J101" s="819">
        <f t="shared" si="15"/>
        <v>0</v>
      </c>
      <c r="K101" s="819">
        <f t="shared" si="15"/>
        <v>0</v>
      </c>
      <c r="L101" s="819"/>
      <c r="M101" s="651"/>
      <c r="N101" s="651"/>
      <c r="O101" s="651"/>
      <c r="P101" s="819"/>
      <c r="Q101" s="651"/>
      <c r="R101" s="651"/>
      <c r="S101" s="651"/>
    </row>
    <row r="102" spans="1:19">
      <c r="A102" s="836">
        <f t="shared" si="16"/>
        <v>9.2699999999999942</v>
      </c>
      <c r="B102" s="651"/>
      <c r="C102" s="819">
        <f t="shared" si="14"/>
        <v>0</v>
      </c>
      <c r="D102" s="819">
        <f t="shared" si="12"/>
        <v>0</v>
      </c>
      <c r="E102" s="819"/>
      <c r="F102" s="819"/>
      <c r="G102" s="819">
        <f t="shared" si="13"/>
        <v>0</v>
      </c>
      <c r="H102" s="819"/>
      <c r="I102" s="819">
        <f t="shared" si="15"/>
        <v>0</v>
      </c>
      <c r="J102" s="819">
        <f t="shared" si="15"/>
        <v>0</v>
      </c>
      <c r="K102" s="819">
        <f t="shared" si="15"/>
        <v>0</v>
      </c>
      <c r="L102" s="819"/>
      <c r="M102" s="651"/>
      <c r="N102" s="651"/>
      <c r="O102" s="651"/>
      <c r="P102" s="819"/>
      <c r="Q102" s="651"/>
      <c r="R102" s="651"/>
      <c r="S102" s="651"/>
    </row>
    <row r="103" spans="1:19">
      <c r="A103" s="836">
        <f t="shared" si="16"/>
        <v>9.279999999999994</v>
      </c>
      <c r="B103" s="651"/>
      <c r="C103" s="819">
        <f t="shared" si="14"/>
        <v>0</v>
      </c>
      <c r="D103" s="819">
        <f t="shared" si="12"/>
        <v>0</v>
      </c>
      <c r="E103" s="819"/>
      <c r="F103" s="819"/>
      <c r="G103" s="819">
        <f>ROUND(SUM(C103:F103)/2,0)</f>
        <v>0</v>
      </c>
      <c r="H103" s="819"/>
      <c r="I103" s="819">
        <f t="shared" si="15"/>
        <v>0</v>
      </c>
      <c r="J103" s="819">
        <f t="shared" si="15"/>
        <v>0</v>
      </c>
      <c r="K103" s="819">
        <f t="shared" si="15"/>
        <v>0</v>
      </c>
      <c r="L103" s="819"/>
      <c r="M103" s="651"/>
      <c r="N103" s="651"/>
      <c r="O103" s="651"/>
      <c r="P103" s="819"/>
      <c r="Q103" s="651"/>
      <c r="R103" s="651"/>
      <c r="S103" s="651"/>
    </row>
    <row r="104" spans="1:19">
      <c r="A104" s="836">
        <f t="shared" si="16"/>
        <v>9.2899999999999938</v>
      </c>
      <c r="B104" s="651"/>
      <c r="C104" s="819">
        <f t="shared" si="14"/>
        <v>0</v>
      </c>
      <c r="D104" s="819">
        <f t="shared" si="12"/>
        <v>0</v>
      </c>
      <c r="E104" s="819"/>
      <c r="F104" s="819"/>
      <c r="G104" s="819">
        <f t="shared" si="13"/>
        <v>0</v>
      </c>
      <c r="H104" s="819"/>
      <c r="I104" s="819">
        <f t="shared" si="15"/>
        <v>0</v>
      </c>
      <c r="J104" s="819">
        <f t="shared" si="15"/>
        <v>0</v>
      </c>
      <c r="K104" s="819">
        <f t="shared" si="15"/>
        <v>0</v>
      </c>
      <c r="L104" s="819"/>
      <c r="M104" s="651"/>
      <c r="N104" s="651"/>
      <c r="O104" s="651"/>
      <c r="P104" s="819"/>
      <c r="Q104" s="651"/>
      <c r="R104" s="651"/>
      <c r="S104" s="651"/>
    </row>
    <row r="105" spans="1:19">
      <c r="A105" s="836">
        <f t="shared" si="16"/>
        <v>9.2999999999999936</v>
      </c>
      <c r="B105" s="651"/>
      <c r="C105" s="819">
        <f t="shared" si="14"/>
        <v>0</v>
      </c>
      <c r="D105" s="819">
        <f t="shared" si="12"/>
        <v>0</v>
      </c>
      <c r="E105" s="819"/>
      <c r="F105" s="819"/>
      <c r="G105" s="819">
        <f t="shared" si="13"/>
        <v>0</v>
      </c>
      <c r="H105" s="819"/>
      <c r="I105" s="819">
        <f t="shared" si="15"/>
        <v>0</v>
      </c>
      <c r="J105" s="819">
        <f t="shared" si="15"/>
        <v>0</v>
      </c>
      <c r="K105" s="819">
        <f t="shared" si="15"/>
        <v>0</v>
      </c>
      <c r="L105" s="819"/>
      <c r="M105" s="651"/>
      <c r="N105" s="651"/>
      <c r="O105" s="651"/>
      <c r="P105" s="819"/>
      <c r="Q105" s="651"/>
      <c r="R105" s="651"/>
      <c r="S105" s="651"/>
    </row>
    <row r="106" spans="1:19">
      <c r="A106" s="836">
        <f t="shared" si="16"/>
        <v>9.3099999999999934</v>
      </c>
      <c r="B106" s="651"/>
      <c r="C106" s="1268">
        <f t="shared" si="14"/>
        <v>0</v>
      </c>
      <c r="D106" s="1268">
        <f t="shared" si="12"/>
        <v>0</v>
      </c>
      <c r="E106" s="1268"/>
      <c r="F106" s="1268"/>
      <c r="G106" s="1268">
        <f t="shared" si="13"/>
        <v>0</v>
      </c>
      <c r="H106" s="1268"/>
      <c r="I106" s="1268">
        <f t="shared" si="15"/>
        <v>0</v>
      </c>
      <c r="J106" s="1268">
        <f t="shared" si="15"/>
        <v>0</v>
      </c>
      <c r="K106" s="1268">
        <f t="shared" si="15"/>
        <v>0</v>
      </c>
      <c r="L106" s="1268"/>
      <c r="M106" s="651"/>
      <c r="N106" s="651"/>
      <c r="O106" s="651"/>
      <c r="P106" s="1268"/>
      <c r="Q106" s="651"/>
      <c r="R106" s="651"/>
      <c r="S106" s="651"/>
    </row>
    <row r="107" spans="1:19">
      <c r="A107" s="836">
        <f t="shared" si="16"/>
        <v>9.3199999999999932</v>
      </c>
      <c r="B107" s="651"/>
      <c r="C107" s="819">
        <f t="shared" si="14"/>
        <v>0</v>
      </c>
      <c r="D107" s="819">
        <f t="shared" si="12"/>
        <v>0</v>
      </c>
      <c r="E107" s="819"/>
      <c r="F107" s="819"/>
      <c r="G107" s="819">
        <f t="shared" si="13"/>
        <v>0</v>
      </c>
      <c r="H107" s="819"/>
      <c r="I107" s="819">
        <f t="shared" si="15"/>
        <v>0</v>
      </c>
      <c r="J107" s="819">
        <f t="shared" si="15"/>
        <v>0</v>
      </c>
      <c r="K107" s="819">
        <f t="shared" si="15"/>
        <v>0</v>
      </c>
      <c r="L107" s="819"/>
      <c r="M107" s="651"/>
      <c r="N107" s="651"/>
      <c r="O107" s="651"/>
      <c r="P107" s="819"/>
      <c r="Q107" s="651"/>
      <c r="R107" s="651"/>
      <c r="S107" s="651"/>
    </row>
    <row r="108" spans="1:19">
      <c r="A108" s="836">
        <f t="shared" si="16"/>
        <v>9.329999999999993</v>
      </c>
      <c r="B108" s="651"/>
      <c r="C108" s="819">
        <f t="shared" si="14"/>
        <v>0</v>
      </c>
      <c r="D108" s="819">
        <f t="shared" si="12"/>
        <v>0</v>
      </c>
      <c r="E108" s="819"/>
      <c r="F108" s="819"/>
      <c r="G108" s="819">
        <f t="shared" si="13"/>
        <v>0</v>
      </c>
      <c r="H108" s="819"/>
      <c r="I108" s="819">
        <f t="shared" si="15"/>
        <v>0</v>
      </c>
      <c r="J108" s="819">
        <f t="shared" si="15"/>
        <v>0</v>
      </c>
      <c r="K108" s="819">
        <f t="shared" si="15"/>
        <v>0</v>
      </c>
      <c r="L108" s="819"/>
      <c r="M108" s="651"/>
      <c r="N108" s="651"/>
      <c r="O108" s="651"/>
      <c r="P108" s="819"/>
      <c r="Q108" s="651"/>
      <c r="R108" s="651"/>
      <c r="S108" s="651"/>
    </row>
    <row r="109" spans="1:19">
      <c r="A109" s="836">
        <f t="shared" si="16"/>
        <v>9.3399999999999928</v>
      </c>
      <c r="B109" s="651"/>
      <c r="C109" s="819">
        <f t="shared" si="14"/>
        <v>0</v>
      </c>
      <c r="D109" s="819">
        <f t="shared" si="12"/>
        <v>0</v>
      </c>
      <c r="E109" s="819"/>
      <c r="F109" s="819"/>
      <c r="G109" s="819">
        <f t="shared" si="13"/>
        <v>0</v>
      </c>
      <c r="H109" s="819"/>
      <c r="I109" s="819">
        <f t="shared" si="15"/>
        <v>0</v>
      </c>
      <c r="J109" s="819">
        <f t="shared" si="15"/>
        <v>0</v>
      </c>
      <c r="K109" s="819">
        <f t="shared" si="15"/>
        <v>0</v>
      </c>
      <c r="L109" s="819"/>
      <c r="M109" s="651"/>
      <c r="N109" s="651"/>
      <c r="O109" s="651"/>
      <c r="P109" s="819"/>
      <c r="Q109" s="651"/>
      <c r="R109" s="651"/>
      <c r="S109" s="651"/>
    </row>
    <row r="110" spans="1:19">
      <c r="A110" s="836">
        <f t="shared" si="16"/>
        <v>9.3499999999999925</v>
      </c>
      <c r="B110" s="651"/>
      <c r="C110" s="819">
        <f t="shared" si="14"/>
        <v>0</v>
      </c>
      <c r="D110" s="819">
        <f t="shared" si="12"/>
        <v>0</v>
      </c>
      <c r="E110" s="819"/>
      <c r="F110" s="819"/>
      <c r="G110" s="819">
        <f t="shared" si="13"/>
        <v>0</v>
      </c>
      <c r="H110" s="819"/>
      <c r="I110" s="819">
        <f t="shared" si="15"/>
        <v>0</v>
      </c>
      <c r="J110" s="819">
        <f t="shared" si="15"/>
        <v>0</v>
      </c>
      <c r="K110" s="819">
        <f t="shared" si="15"/>
        <v>0</v>
      </c>
      <c r="L110" s="819"/>
      <c r="M110" s="651"/>
      <c r="N110" s="651"/>
      <c r="O110" s="651"/>
      <c r="P110" s="819"/>
      <c r="Q110" s="651"/>
      <c r="R110" s="651"/>
      <c r="S110" s="651"/>
    </row>
    <row r="111" spans="1:19">
      <c r="A111" s="836">
        <f t="shared" si="16"/>
        <v>9.3599999999999923</v>
      </c>
      <c r="B111" s="651"/>
      <c r="C111" s="819">
        <f t="shared" si="14"/>
        <v>0</v>
      </c>
      <c r="D111" s="819">
        <f t="shared" si="12"/>
        <v>0</v>
      </c>
      <c r="E111" s="819"/>
      <c r="F111" s="819"/>
      <c r="G111" s="819">
        <f t="shared" si="13"/>
        <v>0</v>
      </c>
      <c r="H111" s="819"/>
      <c r="I111" s="819">
        <f t="shared" si="15"/>
        <v>0</v>
      </c>
      <c r="J111" s="819">
        <f t="shared" si="15"/>
        <v>0</v>
      </c>
      <c r="K111" s="819">
        <f t="shared" si="15"/>
        <v>0</v>
      </c>
      <c r="L111" s="819"/>
      <c r="M111" s="651"/>
      <c r="N111" s="651"/>
      <c r="O111" s="651"/>
      <c r="P111" s="819"/>
      <c r="Q111" s="651"/>
      <c r="R111" s="651"/>
      <c r="S111" s="651"/>
    </row>
    <row r="112" spans="1:19">
      <c r="A112" s="836">
        <f t="shared" si="16"/>
        <v>9.3699999999999921</v>
      </c>
      <c r="B112" s="651"/>
      <c r="C112" s="819">
        <f t="shared" si="14"/>
        <v>0</v>
      </c>
      <c r="D112" s="819">
        <f t="shared" si="12"/>
        <v>0</v>
      </c>
      <c r="E112" s="819"/>
      <c r="F112" s="819"/>
      <c r="G112" s="819">
        <f t="shared" si="13"/>
        <v>0</v>
      </c>
      <c r="H112" s="819"/>
      <c r="I112" s="819">
        <f t="shared" si="15"/>
        <v>0</v>
      </c>
      <c r="J112" s="819">
        <f t="shared" si="15"/>
        <v>0</v>
      </c>
      <c r="K112" s="819">
        <f t="shared" si="15"/>
        <v>0</v>
      </c>
      <c r="L112" s="819"/>
      <c r="M112" s="651"/>
      <c r="N112" s="651"/>
      <c r="O112" s="651"/>
      <c r="P112" s="819"/>
      <c r="Q112" s="651"/>
      <c r="R112" s="651"/>
      <c r="S112" s="651"/>
    </row>
    <row r="113" spans="1:19">
      <c r="A113" s="836">
        <f t="shared" si="16"/>
        <v>9.3799999999999919</v>
      </c>
      <c r="B113" s="651"/>
      <c r="C113" s="819">
        <f t="shared" si="14"/>
        <v>0</v>
      </c>
      <c r="D113" s="819">
        <f t="shared" si="12"/>
        <v>0</v>
      </c>
      <c r="E113" s="819"/>
      <c r="F113" s="819"/>
      <c r="G113" s="819">
        <f t="shared" si="13"/>
        <v>0</v>
      </c>
      <c r="H113" s="819"/>
      <c r="I113" s="819">
        <f t="shared" si="15"/>
        <v>0</v>
      </c>
      <c r="J113" s="819">
        <f t="shared" si="15"/>
        <v>0</v>
      </c>
      <c r="K113" s="819">
        <f t="shared" si="15"/>
        <v>0</v>
      </c>
      <c r="L113" s="819"/>
      <c r="M113" s="651"/>
      <c r="N113" s="651"/>
      <c r="O113" s="651"/>
      <c r="P113" s="819"/>
      <c r="Q113" s="651"/>
      <c r="R113" s="651"/>
      <c r="S113" s="651"/>
    </row>
    <row r="114" spans="1:19">
      <c r="A114" s="836">
        <f t="shared" si="16"/>
        <v>9.3899999999999917</v>
      </c>
      <c r="B114" s="651"/>
      <c r="C114" s="819">
        <f t="shared" si="14"/>
        <v>0</v>
      </c>
      <c r="D114" s="819">
        <f t="shared" si="12"/>
        <v>0</v>
      </c>
      <c r="E114" s="819"/>
      <c r="F114" s="819"/>
      <c r="G114" s="819">
        <f t="shared" si="13"/>
        <v>0</v>
      </c>
      <c r="H114" s="819"/>
      <c r="I114" s="819">
        <f t="shared" si="15"/>
        <v>0</v>
      </c>
      <c r="J114" s="819">
        <f t="shared" si="15"/>
        <v>0</v>
      </c>
      <c r="K114" s="819">
        <f t="shared" si="15"/>
        <v>0</v>
      </c>
      <c r="L114" s="819"/>
      <c r="M114" s="651"/>
      <c r="N114" s="651"/>
      <c r="O114" s="651"/>
      <c r="P114" s="819"/>
      <c r="Q114" s="651"/>
      <c r="R114" s="651"/>
      <c r="S114" s="651"/>
    </row>
    <row r="115" spans="1:19">
      <c r="A115" s="836">
        <f t="shared" si="16"/>
        <v>9.3999999999999915</v>
      </c>
      <c r="B115" s="651"/>
      <c r="C115" s="819">
        <f t="shared" si="14"/>
        <v>0</v>
      </c>
      <c r="D115" s="819">
        <f t="shared" si="12"/>
        <v>0</v>
      </c>
      <c r="E115" s="819"/>
      <c r="F115" s="819"/>
      <c r="G115" s="819">
        <f t="shared" si="13"/>
        <v>0</v>
      </c>
      <c r="H115" s="819"/>
      <c r="I115" s="819">
        <f t="shared" si="15"/>
        <v>0</v>
      </c>
      <c r="J115" s="819">
        <f t="shared" si="15"/>
        <v>0</v>
      </c>
      <c r="K115" s="819">
        <f t="shared" si="15"/>
        <v>0</v>
      </c>
      <c r="L115" s="819"/>
      <c r="M115" s="651"/>
      <c r="N115" s="651"/>
      <c r="O115" s="651"/>
      <c r="P115" s="819"/>
      <c r="Q115" s="651"/>
      <c r="R115" s="651"/>
      <c r="S115" s="651"/>
    </row>
    <row r="116" spans="1:19">
      <c r="A116" s="836">
        <f t="shared" si="16"/>
        <v>9.4099999999999913</v>
      </c>
      <c r="B116" s="651"/>
      <c r="C116" s="819">
        <f t="shared" si="14"/>
        <v>0</v>
      </c>
      <c r="D116" s="819">
        <f t="shared" si="12"/>
        <v>0</v>
      </c>
      <c r="E116" s="819"/>
      <c r="F116" s="819"/>
      <c r="G116" s="819">
        <f t="shared" si="13"/>
        <v>0</v>
      </c>
      <c r="H116" s="819"/>
      <c r="I116" s="819">
        <f t="shared" si="15"/>
        <v>0</v>
      </c>
      <c r="J116" s="819">
        <f t="shared" si="15"/>
        <v>0</v>
      </c>
      <c r="K116" s="819">
        <f t="shared" si="15"/>
        <v>0</v>
      </c>
      <c r="L116" s="819"/>
      <c r="M116" s="651"/>
      <c r="N116" s="651"/>
      <c r="O116" s="651"/>
      <c r="P116" s="819"/>
      <c r="Q116" s="651"/>
      <c r="R116" s="651"/>
      <c r="S116" s="651"/>
    </row>
    <row r="117" spans="1:19">
      <c r="A117" s="836">
        <f t="shared" si="16"/>
        <v>9.419999999999991</v>
      </c>
      <c r="B117" s="651"/>
      <c r="C117" s="819">
        <f t="shared" si="14"/>
        <v>0</v>
      </c>
      <c r="D117" s="819">
        <f t="shared" si="12"/>
        <v>0</v>
      </c>
      <c r="E117" s="819"/>
      <c r="F117" s="819"/>
      <c r="G117" s="819">
        <f t="shared" si="13"/>
        <v>0</v>
      </c>
      <c r="H117" s="819"/>
      <c r="I117" s="819">
        <f t="shared" si="15"/>
        <v>0</v>
      </c>
      <c r="J117" s="819">
        <f t="shared" si="15"/>
        <v>0</v>
      </c>
      <c r="K117" s="819">
        <f t="shared" si="15"/>
        <v>0</v>
      </c>
      <c r="L117" s="819"/>
      <c r="M117" s="651"/>
      <c r="N117" s="651"/>
      <c r="O117" s="651"/>
      <c r="P117" s="819"/>
      <c r="Q117" s="651"/>
      <c r="R117" s="651"/>
      <c r="S117" s="651"/>
    </row>
    <row r="118" spans="1:19">
      <c r="A118" s="836">
        <f t="shared" si="16"/>
        <v>9.4299999999999908</v>
      </c>
      <c r="B118" s="651"/>
      <c r="C118" s="819">
        <f t="shared" si="14"/>
        <v>0</v>
      </c>
      <c r="D118" s="819">
        <f t="shared" si="12"/>
        <v>0</v>
      </c>
      <c r="E118" s="819"/>
      <c r="F118" s="819"/>
      <c r="G118" s="819">
        <f t="shared" si="13"/>
        <v>0</v>
      </c>
      <c r="H118" s="819"/>
      <c r="I118" s="819">
        <f t="shared" si="15"/>
        <v>0</v>
      </c>
      <c r="J118" s="819">
        <f t="shared" si="15"/>
        <v>0</v>
      </c>
      <c r="K118" s="819">
        <f t="shared" si="15"/>
        <v>0</v>
      </c>
      <c r="L118" s="819"/>
      <c r="M118" s="651"/>
      <c r="N118" s="651"/>
      <c r="O118" s="651"/>
      <c r="P118" s="819"/>
      <c r="Q118" s="651"/>
      <c r="R118" s="651"/>
      <c r="S118" s="651"/>
    </row>
    <row r="119" spans="1:19">
      <c r="A119" s="836">
        <f t="shared" si="16"/>
        <v>9.4399999999999906</v>
      </c>
      <c r="B119" s="651"/>
      <c r="C119" s="819">
        <f t="shared" si="14"/>
        <v>0</v>
      </c>
      <c r="D119" s="819">
        <f t="shared" si="12"/>
        <v>0</v>
      </c>
      <c r="E119" s="819"/>
      <c r="F119" s="819"/>
      <c r="G119" s="819">
        <f t="shared" si="13"/>
        <v>0</v>
      </c>
      <c r="H119" s="819"/>
      <c r="I119" s="819">
        <f t="shared" si="15"/>
        <v>0</v>
      </c>
      <c r="J119" s="819">
        <f t="shared" si="15"/>
        <v>0</v>
      </c>
      <c r="K119" s="819">
        <f t="shared" si="15"/>
        <v>0</v>
      </c>
      <c r="L119" s="819"/>
      <c r="M119" s="651"/>
      <c r="N119" s="651"/>
      <c r="O119" s="651"/>
      <c r="P119" s="819"/>
      <c r="Q119" s="651"/>
      <c r="R119" s="651"/>
      <c r="S119" s="651"/>
    </row>
    <row r="120" spans="1:19">
      <c r="A120" s="836">
        <f t="shared" si="16"/>
        <v>9.4499999999999904</v>
      </c>
      <c r="B120" s="651"/>
      <c r="C120" s="819">
        <f t="shared" si="14"/>
        <v>0</v>
      </c>
      <c r="D120" s="819">
        <f t="shared" si="12"/>
        <v>0</v>
      </c>
      <c r="E120" s="819"/>
      <c r="F120" s="819"/>
      <c r="G120" s="819">
        <f t="shared" si="13"/>
        <v>0</v>
      </c>
      <c r="H120" s="819"/>
      <c r="I120" s="819">
        <f t="shared" si="15"/>
        <v>0</v>
      </c>
      <c r="J120" s="819">
        <f t="shared" si="15"/>
        <v>0</v>
      </c>
      <c r="K120" s="819">
        <f t="shared" si="15"/>
        <v>0</v>
      </c>
      <c r="L120" s="819"/>
      <c r="M120" s="651"/>
      <c r="N120" s="651"/>
      <c r="O120" s="651"/>
      <c r="P120" s="819"/>
      <c r="Q120" s="651"/>
      <c r="R120" s="651"/>
      <c r="S120" s="651"/>
    </row>
    <row r="121" spans="1:19">
      <c r="A121" s="836">
        <f t="shared" si="16"/>
        <v>9.4599999999999902</v>
      </c>
      <c r="B121" s="651"/>
      <c r="C121" s="819">
        <f t="shared" si="14"/>
        <v>0</v>
      </c>
      <c r="D121" s="819">
        <f t="shared" si="12"/>
        <v>0</v>
      </c>
      <c r="E121" s="819"/>
      <c r="F121" s="819"/>
      <c r="G121" s="819">
        <f t="shared" si="13"/>
        <v>0</v>
      </c>
      <c r="H121" s="819"/>
      <c r="I121" s="819">
        <f t="shared" si="15"/>
        <v>0</v>
      </c>
      <c r="J121" s="819">
        <f t="shared" si="15"/>
        <v>0</v>
      </c>
      <c r="K121" s="819">
        <f t="shared" si="15"/>
        <v>0</v>
      </c>
      <c r="L121" s="819"/>
      <c r="M121" s="651"/>
      <c r="N121" s="651"/>
      <c r="O121" s="651"/>
      <c r="P121" s="819"/>
      <c r="Q121" s="651"/>
      <c r="R121" s="651"/>
      <c r="S121" s="651"/>
    </row>
    <row r="122" spans="1:19">
      <c r="A122" s="836">
        <f t="shared" si="16"/>
        <v>9.46999999999999</v>
      </c>
      <c r="B122" s="651"/>
      <c r="C122" s="819">
        <f t="shared" si="14"/>
        <v>0</v>
      </c>
      <c r="D122" s="819">
        <f t="shared" si="12"/>
        <v>0</v>
      </c>
      <c r="E122" s="819"/>
      <c r="F122" s="819"/>
      <c r="G122" s="819">
        <f t="shared" si="13"/>
        <v>0</v>
      </c>
      <c r="H122" s="819"/>
      <c r="I122" s="819">
        <f t="shared" si="15"/>
        <v>0</v>
      </c>
      <c r="J122" s="819">
        <f t="shared" si="15"/>
        <v>0</v>
      </c>
      <c r="K122" s="819">
        <f t="shared" si="15"/>
        <v>0</v>
      </c>
      <c r="L122" s="819"/>
      <c r="M122" s="651"/>
      <c r="N122" s="651"/>
      <c r="O122" s="651"/>
      <c r="P122" s="819"/>
      <c r="Q122" s="651"/>
      <c r="R122" s="651"/>
      <c r="S122" s="651"/>
    </row>
    <row r="123" spans="1:19">
      <c r="A123" s="836">
        <f t="shared" si="16"/>
        <v>9.4799999999999898</v>
      </c>
      <c r="B123" s="651"/>
      <c r="C123" s="819">
        <f t="shared" si="14"/>
        <v>0</v>
      </c>
      <c r="D123" s="819">
        <f t="shared" si="12"/>
        <v>0</v>
      </c>
      <c r="E123" s="819"/>
      <c r="F123" s="819"/>
      <c r="G123" s="819">
        <f t="shared" si="13"/>
        <v>0</v>
      </c>
      <c r="H123" s="819"/>
      <c r="I123" s="819">
        <f t="shared" si="15"/>
        <v>0</v>
      </c>
      <c r="J123" s="819">
        <f t="shared" si="15"/>
        <v>0</v>
      </c>
      <c r="K123" s="819">
        <f t="shared" si="15"/>
        <v>0</v>
      </c>
      <c r="L123" s="819"/>
      <c r="M123" s="651"/>
      <c r="N123" s="651"/>
      <c r="O123" s="651"/>
      <c r="P123" s="819"/>
      <c r="Q123" s="651"/>
      <c r="R123" s="651"/>
      <c r="S123" s="651"/>
    </row>
    <row r="124" spans="1:19">
      <c r="A124" s="836">
        <f t="shared" si="16"/>
        <v>9.4899999999999896</v>
      </c>
      <c r="B124" s="651"/>
      <c r="C124" s="819">
        <f t="shared" si="14"/>
        <v>0</v>
      </c>
      <c r="D124" s="819">
        <f t="shared" si="12"/>
        <v>0</v>
      </c>
      <c r="E124" s="819"/>
      <c r="F124" s="819"/>
      <c r="G124" s="819">
        <f t="shared" si="13"/>
        <v>0</v>
      </c>
      <c r="H124" s="819"/>
      <c r="I124" s="819">
        <f t="shared" si="15"/>
        <v>0</v>
      </c>
      <c r="J124" s="819">
        <f t="shared" si="15"/>
        <v>0</v>
      </c>
      <c r="K124" s="819">
        <f t="shared" si="15"/>
        <v>0</v>
      </c>
      <c r="L124" s="819"/>
      <c r="M124" s="651"/>
      <c r="N124" s="651"/>
      <c r="O124" s="651"/>
      <c r="P124" s="819"/>
      <c r="Q124" s="651"/>
      <c r="R124" s="651"/>
      <c r="S124" s="651"/>
    </row>
    <row r="125" spans="1:19">
      <c r="A125" s="836">
        <f t="shared" si="16"/>
        <v>9.4999999999999893</v>
      </c>
      <c r="B125" s="651"/>
      <c r="C125" s="819">
        <f t="shared" si="14"/>
        <v>0</v>
      </c>
      <c r="D125" s="819">
        <f t="shared" si="12"/>
        <v>0</v>
      </c>
      <c r="E125" s="819"/>
      <c r="F125" s="819"/>
      <c r="G125" s="819">
        <f t="shared" si="13"/>
        <v>0</v>
      </c>
      <c r="H125" s="819"/>
      <c r="I125" s="819">
        <f t="shared" si="15"/>
        <v>0</v>
      </c>
      <c r="J125" s="819">
        <f t="shared" si="15"/>
        <v>0</v>
      </c>
      <c r="K125" s="819">
        <f t="shared" si="15"/>
        <v>0</v>
      </c>
      <c r="L125" s="819"/>
      <c r="M125" s="651"/>
      <c r="N125" s="651"/>
      <c r="O125" s="651"/>
      <c r="P125" s="819"/>
      <c r="Q125" s="651"/>
      <c r="R125" s="651"/>
      <c r="S125" s="651"/>
    </row>
    <row r="126" spans="1:19">
      <c r="A126" s="836">
        <f t="shared" si="16"/>
        <v>9.5099999999999891</v>
      </c>
      <c r="B126" s="651"/>
      <c r="C126" s="819">
        <f t="shared" si="14"/>
        <v>0</v>
      </c>
      <c r="D126" s="819">
        <f t="shared" si="12"/>
        <v>0</v>
      </c>
      <c r="E126" s="819"/>
      <c r="F126" s="819"/>
      <c r="G126" s="819">
        <f t="shared" si="13"/>
        <v>0</v>
      </c>
      <c r="H126" s="819"/>
      <c r="I126" s="819">
        <f t="shared" si="15"/>
        <v>0</v>
      </c>
      <c r="J126" s="819">
        <f t="shared" si="15"/>
        <v>0</v>
      </c>
      <c r="K126" s="819">
        <f t="shared" si="15"/>
        <v>0</v>
      </c>
      <c r="L126" s="819"/>
      <c r="M126" s="651"/>
      <c r="N126" s="651"/>
      <c r="O126" s="651"/>
      <c r="P126" s="819"/>
      <c r="Q126" s="651"/>
      <c r="R126" s="651"/>
      <c r="S126" s="651"/>
    </row>
    <row r="127" spans="1:19">
      <c r="A127" s="836">
        <f t="shared" si="16"/>
        <v>9.5199999999999889</v>
      </c>
      <c r="B127" s="651"/>
      <c r="C127" s="819">
        <f t="shared" si="14"/>
        <v>0</v>
      </c>
      <c r="D127" s="819">
        <f t="shared" si="12"/>
        <v>0</v>
      </c>
      <c r="E127" s="819"/>
      <c r="F127" s="819"/>
      <c r="G127" s="819">
        <f t="shared" si="13"/>
        <v>0</v>
      </c>
      <c r="H127" s="819"/>
      <c r="I127" s="819">
        <f t="shared" si="15"/>
        <v>0</v>
      </c>
      <c r="J127" s="819">
        <f t="shared" si="15"/>
        <v>0</v>
      </c>
      <c r="K127" s="819">
        <f t="shared" si="15"/>
        <v>0</v>
      </c>
      <c r="L127" s="819"/>
      <c r="M127" s="651"/>
      <c r="N127" s="651"/>
      <c r="O127" s="651"/>
      <c r="P127" s="819"/>
      <c r="Q127" s="651"/>
      <c r="R127" s="651"/>
      <c r="S127" s="651"/>
    </row>
    <row r="128" spans="1:19">
      <c r="A128" s="836">
        <f t="shared" si="16"/>
        <v>9.5299999999999887</v>
      </c>
      <c r="B128" s="651"/>
      <c r="C128" s="819">
        <f t="shared" si="14"/>
        <v>0</v>
      </c>
      <c r="D128" s="819">
        <f t="shared" si="12"/>
        <v>0</v>
      </c>
      <c r="E128" s="819"/>
      <c r="F128" s="819"/>
      <c r="G128" s="819">
        <f t="shared" si="13"/>
        <v>0</v>
      </c>
      <c r="H128" s="819"/>
      <c r="I128" s="819">
        <f t="shared" si="15"/>
        <v>0</v>
      </c>
      <c r="J128" s="819">
        <f t="shared" si="15"/>
        <v>0</v>
      </c>
      <c r="K128" s="819">
        <f t="shared" si="15"/>
        <v>0</v>
      </c>
      <c r="L128" s="819"/>
      <c r="M128" s="651"/>
      <c r="N128" s="651"/>
      <c r="O128" s="651"/>
      <c r="P128" s="819"/>
      <c r="Q128" s="651"/>
      <c r="R128" s="651"/>
      <c r="S128" s="651"/>
    </row>
    <row r="129" spans="1:19">
      <c r="A129" s="836">
        <f t="shared" si="16"/>
        <v>9.5399999999999885</v>
      </c>
      <c r="B129" s="651"/>
      <c r="C129" s="819">
        <f t="shared" si="14"/>
        <v>0</v>
      </c>
      <c r="D129" s="819">
        <f t="shared" si="12"/>
        <v>0</v>
      </c>
      <c r="E129" s="819"/>
      <c r="F129" s="819"/>
      <c r="G129" s="819">
        <f t="shared" si="13"/>
        <v>0</v>
      </c>
      <c r="H129" s="819"/>
      <c r="I129" s="819">
        <f t="shared" si="15"/>
        <v>0</v>
      </c>
      <c r="J129" s="819">
        <f t="shared" si="15"/>
        <v>0</v>
      </c>
      <c r="K129" s="819">
        <f t="shared" si="15"/>
        <v>0</v>
      </c>
      <c r="L129" s="819"/>
      <c r="M129" s="651"/>
      <c r="N129" s="651"/>
      <c r="O129" s="651"/>
      <c r="P129" s="819"/>
      <c r="Q129" s="651"/>
      <c r="R129" s="651"/>
      <c r="S129" s="651"/>
    </row>
    <row r="130" spans="1:19">
      <c r="A130" s="836">
        <f t="shared" si="16"/>
        <v>9.5499999999999883</v>
      </c>
      <c r="B130" s="651"/>
      <c r="C130" s="819">
        <f t="shared" si="14"/>
        <v>0</v>
      </c>
      <c r="D130" s="819">
        <f t="shared" si="12"/>
        <v>0</v>
      </c>
      <c r="E130" s="819"/>
      <c r="F130" s="819"/>
      <c r="G130" s="819">
        <f t="shared" si="13"/>
        <v>0</v>
      </c>
      <c r="H130" s="819"/>
      <c r="I130" s="819">
        <f t="shared" si="15"/>
        <v>0</v>
      </c>
      <c r="J130" s="819">
        <f t="shared" si="15"/>
        <v>0</v>
      </c>
      <c r="K130" s="819">
        <f t="shared" si="15"/>
        <v>0</v>
      </c>
      <c r="L130" s="819"/>
      <c r="M130" s="651"/>
      <c r="N130" s="651"/>
      <c r="O130" s="651"/>
      <c r="P130" s="819"/>
      <c r="Q130" s="651"/>
      <c r="R130" s="651"/>
      <c r="S130" s="651"/>
    </row>
    <row r="131" spans="1:19">
      <c r="A131" s="836">
        <f t="shared" si="16"/>
        <v>9.5599999999999881</v>
      </c>
      <c r="B131" s="651"/>
      <c r="C131" s="819">
        <f t="shared" si="14"/>
        <v>0</v>
      </c>
      <c r="D131" s="819">
        <f t="shared" si="12"/>
        <v>0</v>
      </c>
      <c r="E131" s="819"/>
      <c r="F131" s="819"/>
      <c r="G131" s="819">
        <f>ROUND(SUM(C131:F131)/2,0)</f>
        <v>0</v>
      </c>
      <c r="H131" s="819"/>
      <c r="I131" s="819">
        <f t="shared" si="15"/>
        <v>0</v>
      </c>
      <c r="J131" s="819">
        <f t="shared" si="15"/>
        <v>0</v>
      </c>
      <c r="K131" s="819">
        <f t="shared" si="15"/>
        <v>0</v>
      </c>
      <c r="L131" s="819"/>
      <c r="M131" s="651"/>
      <c r="N131" s="651"/>
      <c r="O131" s="651"/>
      <c r="P131" s="819"/>
      <c r="Q131" s="651"/>
      <c r="R131" s="651"/>
      <c r="S131" s="651"/>
    </row>
    <row r="132" spans="1:19">
      <c r="A132" s="836">
        <f t="shared" si="16"/>
        <v>9.5699999999999878</v>
      </c>
      <c r="B132" s="651"/>
      <c r="C132" s="819">
        <f t="shared" si="14"/>
        <v>0</v>
      </c>
      <c r="D132" s="819">
        <f t="shared" si="12"/>
        <v>0</v>
      </c>
      <c r="E132" s="819"/>
      <c r="F132" s="819"/>
      <c r="G132" s="819">
        <f>ROUND(SUM(C132:F132)/2,0)</f>
        <v>0</v>
      </c>
      <c r="H132" s="819"/>
      <c r="I132" s="819">
        <f t="shared" si="15"/>
        <v>0</v>
      </c>
      <c r="J132" s="819">
        <f t="shared" si="15"/>
        <v>0</v>
      </c>
      <c r="K132" s="819">
        <f t="shared" si="15"/>
        <v>0</v>
      </c>
      <c r="L132" s="819"/>
      <c r="M132" s="651"/>
      <c r="N132" s="651"/>
      <c r="O132" s="651"/>
      <c r="P132" s="819"/>
      <c r="Q132" s="651"/>
      <c r="R132" s="651"/>
      <c r="S132" s="651"/>
    </row>
    <row r="133" spans="1:19">
      <c r="A133" s="836">
        <f t="shared" si="16"/>
        <v>9.5799999999999876</v>
      </c>
      <c r="B133" s="651"/>
      <c r="C133" s="819">
        <f t="shared" si="14"/>
        <v>0</v>
      </c>
      <c r="D133" s="819">
        <f t="shared" si="12"/>
        <v>0</v>
      </c>
      <c r="E133" s="819"/>
      <c r="F133" s="819"/>
      <c r="G133" s="819">
        <f>ROUND(SUM(C133:F133)/2,0)</f>
        <v>0</v>
      </c>
      <c r="H133" s="819"/>
      <c r="I133" s="819">
        <f t="shared" si="15"/>
        <v>0</v>
      </c>
      <c r="J133" s="819">
        <f t="shared" si="15"/>
        <v>0</v>
      </c>
      <c r="K133" s="819">
        <f t="shared" si="15"/>
        <v>0</v>
      </c>
      <c r="L133" s="819"/>
      <c r="M133" s="651"/>
      <c r="N133" s="651"/>
      <c r="O133" s="651"/>
      <c r="P133" s="819"/>
      <c r="Q133" s="651"/>
      <c r="R133" s="651"/>
      <c r="S133" s="651"/>
    </row>
    <row r="134" spans="1:19">
      <c r="A134" s="836">
        <f t="shared" si="16"/>
        <v>9.5899999999999874</v>
      </c>
      <c r="B134" s="651"/>
      <c r="C134" s="819">
        <f t="shared" si="14"/>
        <v>0</v>
      </c>
      <c r="D134" s="819">
        <f t="shared" si="12"/>
        <v>0</v>
      </c>
      <c r="E134" s="819"/>
      <c r="F134" s="819"/>
      <c r="G134" s="819">
        <f t="shared" ref="G134:G174" si="17">ROUND(SUM(C134:F134)/2,0)</f>
        <v>0</v>
      </c>
      <c r="H134" s="819"/>
      <c r="I134" s="819">
        <f t="shared" si="15"/>
        <v>0</v>
      </c>
      <c r="J134" s="819">
        <f t="shared" si="15"/>
        <v>0</v>
      </c>
      <c r="K134" s="819">
        <f t="shared" si="15"/>
        <v>0</v>
      </c>
      <c r="L134" s="819"/>
      <c r="M134" s="651"/>
      <c r="N134" s="651"/>
      <c r="O134" s="651"/>
      <c r="P134" s="819"/>
      <c r="Q134" s="651"/>
      <c r="R134" s="651"/>
      <c r="S134" s="651"/>
    </row>
    <row r="135" spans="1:19">
      <c r="A135" s="836">
        <f t="shared" si="16"/>
        <v>9.5999999999999872</v>
      </c>
      <c r="B135" s="651"/>
      <c r="C135" s="819">
        <f t="shared" si="14"/>
        <v>0</v>
      </c>
      <c r="D135" s="819">
        <f t="shared" si="12"/>
        <v>0</v>
      </c>
      <c r="E135" s="819"/>
      <c r="F135" s="819"/>
      <c r="G135" s="819">
        <f t="shared" si="17"/>
        <v>0</v>
      </c>
      <c r="H135" s="819"/>
      <c r="I135" s="819">
        <f t="shared" si="15"/>
        <v>0</v>
      </c>
      <c r="J135" s="819">
        <f t="shared" si="15"/>
        <v>0</v>
      </c>
      <c r="K135" s="819">
        <f t="shared" si="15"/>
        <v>0</v>
      </c>
      <c r="L135" s="819"/>
      <c r="M135" s="651"/>
      <c r="N135" s="651"/>
      <c r="O135" s="651"/>
      <c r="P135" s="819"/>
      <c r="Q135" s="651"/>
      <c r="R135" s="651"/>
      <c r="S135" s="651"/>
    </row>
    <row r="136" spans="1:19">
      <c r="A136" s="836">
        <f t="shared" si="16"/>
        <v>9.609999999999987</v>
      </c>
      <c r="B136" s="651"/>
      <c r="C136" s="819">
        <f t="shared" si="14"/>
        <v>0</v>
      </c>
      <c r="D136" s="819">
        <f t="shared" si="12"/>
        <v>0</v>
      </c>
      <c r="E136" s="819"/>
      <c r="F136" s="819"/>
      <c r="G136" s="819">
        <f t="shared" si="17"/>
        <v>0</v>
      </c>
      <c r="H136" s="819"/>
      <c r="I136" s="819">
        <f t="shared" si="15"/>
        <v>0</v>
      </c>
      <c r="J136" s="819">
        <f t="shared" si="15"/>
        <v>0</v>
      </c>
      <c r="K136" s="819">
        <f t="shared" si="15"/>
        <v>0</v>
      </c>
      <c r="L136" s="819"/>
      <c r="M136" s="651"/>
      <c r="N136" s="651"/>
      <c r="O136" s="651"/>
      <c r="P136" s="819"/>
      <c r="Q136" s="651"/>
      <c r="R136" s="651"/>
      <c r="S136" s="651"/>
    </row>
    <row r="137" spans="1:19">
      <c r="A137" s="836">
        <f t="shared" si="16"/>
        <v>9.6199999999999868</v>
      </c>
      <c r="B137" s="651"/>
      <c r="C137" s="819">
        <f t="shared" si="14"/>
        <v>0</v>
      </c>
      <c r="D137" s="819">
        <f t="shared" si="12"/>
        <v>0</v>
      </c>
      <c r="E137" s="819"/>
      <c r="F137" s="819"/>
      <c r="G137" s="819">
        <f t="shared" si="17"/>
        <v>0</v>
      </c>
      <c r="H137" s="819"/>
      <c r="I137" s="819">
        <f t="shared" ref="I137:K157" si="18">(M137+Q137)/2</f>
        <v>0</v>
      </c>
      <c r="J137" s="819">
        <f t="shared" si="18"/>
        <v>0</v>
      </c>
      <c r="K137" s="819">
        <f t="shared" si="18"/>
        <v>0</v>
      </c>
      <c r="L137" s="819"/>
      <c r="M137" s="651"/>
      <c r="N137" s="651"/>
      <c r="O137" s="651"/>
      <c r="P137" s="819"/>
      <c r="Q137" s="651"/>
      <c r="R137" s="651"/>
      <c r="S137" s="651"/>
    </row>
    <row r="138" spans="1:19">
      <c r="A138" s="836">
        <f t="shared" si="16"/>
        <v>9.6299999999999866</v>
      </c>
      <c r="B138" s="651"/>
      <c r="C138" s="819">
        <f t="shared" si="14"/>
        <v>0</v>
      </c>
      <c r="D138" s="819">
        <f t="shared" si="12"/>
        <v>0</v>
      </c>
      <c r="E138" s="819"/>
      <c r="F138" s="819"/>
      <c r="G138" s="819">
        <f t="shared" si="17"/>
        <v>0</v>
      </c>
      <c r="H138" s="819"/>
      <c r="I138" s="819">
        <f t="shared" si="18"/>
        <v>0</v>
      </c>
      <c r="J138" s="819">
        <f t="shared" si="18"/>
        <v>0</v>
      </c>
      <c r="K138" s="819">
        <f t="shared" si="18"/>
        <v>0</v>
      </c>
      <c r="L138" s="819"/>
      <c r="M138" s="651"/>
      <c r="N138" s="651"/>
      <c r="O138" s="651"/>
      <c r="P138" s="819"/>
      <c r="Q138" s="651"/>
      <c r="R138" s="651"/>
      <c r="S138" s="651"/>
    </row>
    <row r="139" spans="1:19">
      <c r="A139" s="836">
        <f t="shared" si="16"/>
        <v>9.6399999999999864</v>
      </c>
      <c r="B139" s="651"/>
      <c r="C139" s="1268">
        <f t="shared" si="14"/>
        <v>0</v>
      </c>
      <c r="D139" s="1268">
        <f t="shared" si="12"/>
        <v>0</v>
      </c>
      <c r="E139" s="1268"/>
      <c r="F139" s="1268"/>
      <c r="G139" s="1268">
        <f t="shared" si="17"/>
        <v>0</v>
      </c>
      <c r="H139" s="1268"/>
      <c r="I139" s="1268">
        <f t="shared" si="18"/>
        <v>0</v>
      </c>
      <c r="J139" s="1268">
        <f t="shared" si="18"/>
        <v>0</v>
      </c>
      <c r="K139" s="1268">
        <f t="shared" si="18"/>
        <v>0</v>
      </c>
      <c r="L139" s="1268"/>
      <c r="M139" s="651"/>
      <c r="N139" s="651"/>
      <c r="O139" s="651"/>
      <c r="P139" s="1268"/>
      <c r="Q139" s="651"/>
      <c r="R139" s="651"/>
      <c r="S139" s="651"/>
    </row>
    <row r="140" spans="1:19">
      <c r="A140" s="836">
        <f>A139+0.01</f>
        <v>9.6499999999999861</v>
      </c>
      <c r="B140" s="651"/>
      <c r="C140" s="819">
        <f t="shared" si="14"/>
        <v>0</v>
      </c>
      <c r="D140" s="819">
        <f t="shared" ref="D140:D168" si="19">SUM(Q140:S140)</f>
        <v>0</v>
      </c>
      <c r="E140" s="819"/>
      <c r="F140" s="819"/>
      <c r="G140" s="819">
        <f t="shared" si="17"/>
        <v>0</v>
      </c>
      <c r="H140" s="819"/>
      <c r="I140" s="819">
        <f t="shared" si="18"/>
        <v>0</v>
      </c>
      <c r="J140" s="819">
        <f t="shared" si="18"/>
        <v>0</v>
      </c>
      <c r="K140" s="819">
        <f t="shared" si="18"/>
        <v>0</v>
      </c>
      <c r="L140" s="819"/>
      <c r="M140" s="651"/>
      <c r="N140" s="651"/>
      <c r="O140" s="651"/>
      <c r="P140" s="819"/>
      <c r="Q140" s="651"/>
      <c r="R140" s="651"/>
      <c r="S140" s="651"/>
    </row>
    <row r="141" spans="1:19">
      <c r="A141" s="836">
        <f t="shared" si="16"/>
        <v>9.6599999999999859</v>
      </c>
      <c r="B141" s="651"/>
      <c r="C141" s="819">
        <f t="shared" ref="C141:C168" si="20">SUM(M141:O141)</f>
        <v>0</v>
      </c>
      <c r="D141" s="819">
        <f t="shared" si="19"/>
        <v>0</v>
      </c>
      <c r="E141" s="819"/>
      <c r="F141" s="819"/>
      <c r="G141" s="819">
        <f t="shared" si="17"/>
        <v>0</v>
      </c>
      <c r="H141" s="819"/>
      <c r="I141" s="819">
        <f t="shared" si="18"/>
        <v>0</v>
      </c>
      <c r="J141" s="819">
        <f t="shared" si="18"/>
        <v>0</v>
      </c>
      <c r="K141" s="819">
        <f t="shared" si="18"/>
        <v>0</v>
      </c>
      <c r="L141" s="819"/>
      <c r="M141" s="651"/>
      <c r="N141" s="651"/>
      <c r="O141" s="651"/>
      <c r="P141" s="819"/>
      <c r="Q141" s="651"/>
      <c r="R141" s="651"/>
      <c r="S141" s="651"/>
    </row>
    <row r="142" spans="1:19">
      <c r="A142" s="836">
        <f t="shared" ref="A142:A174" si="21">A141+0.01</f>
        <v>9.6699999999999857</v>
      </c>
      <c r="B142" s="651"/>
      <c r="C142" s="819">
        <f t="shared" si="20"/>
        <v>0</v>
      </c>
      <c r="D142" s="819">
        <f t="shared" si="19"/>
        <v>0</v>
      </c>
      <c r="E142" s="819"/>
      <c r="F142" s="819"/>
      <c r="G142" s="819">
        <v>0</v>
      </c>
      <c r="H142" s="819"/>
      <c r="I142" s="819">
        <f t="shared" si="18"/>
        <v>0</v>
      </c>
      <c r="J142" s="819">
        <f t="shared" si="18"/>
        <v>0</v>
      </c>
      <c r="K142" s="819">
        <f t="shared" si="18"/>
        <v>0</v>
      </c>
      <c r="L142" s="819"/>
      <c r="M142" s="651"/>
      <c r="N142" s="651"/>
      <c r="O142" s="651"/>
      <c r="P142" s="819"/>
      <c r="Q142" s="651"/>
      <c r="R142" s="651"/>
      <c r="S142" s="651"/>
    </row>
    <row r="143" spans="1:19">
      <c r="A143" s="836">
        <f t="shared" si="21"/>
        <v>9.6799999999999855</v>
      </c>
      <c r="B143" s="651"/>
      <c r="C143" s="819">
        <f t="shared" si="20"/>
        <v>0</v>
      </c>
      <c r="D143" s="819">
        <f t="shared" si="19"/>
        <v>0</v>
      </c>
      <c r="E143" s="819"/>
      <c r="F143" s="819"/>
      <c r="G143" s="819">
        <f t="shared" si="17"/>
        <v>0</v>
      </c>
      <c r="H143" s="819"/>
      <c r="I143" s="819">
        <f t="shared" si="18"/>
        <v>0</v>
      </c>
      <c r="J143" s="819">
        <f t="shared" si="18"/>
        <v>0</v>
      </c>
      <c r="K143" s="819">
        <f t="shared" si="18"/>
        <v>0</v>
      </c>
      <c r="L143" s="819"/>
      <c r="M143" s="651"/>
      <c r="N143" s="651"/>
      <c r="O143" s="651"/>
      <c r="P143" s="819"/>
      <c r="Q143" s="651"/>
      <c r="R143" s="651"/>
      <c r="S143" s="651"/>
    </row>
    <row r="144" spans="1:19">
      <c r="A144" s="836">
        <f t="shared" si="21"/>
        <v>9.6899999999999853</v>
      </c>
      <c r="B144" s="651"/>
      <c r="C144" s="819">
        <f t="shared" si="20"/>
        <v>0</v>
      </c>
      <c r="D144" s="819">
        <f t="shared" si="19"/>
        <v>0</v>
      </c>
      <c r="E144" s="819"/>
      <c r="F144" s="819"/>
      <c r="G144" s="819">
        <f t="shared" si="17"/>
        <v>0</v>
      </c>
      <c r="H144" s="819"/>
      <c r="I144" s="819">
        <f t="shared" si="18"/>
        <v>0</v>
      </c>
      <c r="J144" s="819">
        <f t="shared" si="18"/>
        <v>0</v>
      </c>
      <c r="K144" s="819">
        <f t="shared" si="18"/>
        <v>0</v>
      </c>
      <c r="L144" s="819"/>
      <c r="M144" s="651"/>
      <c r="N144" s="651"/>
      <c r="O144" s="651"/>
      <c r="P144" s="819"/>
      <c r="Q144" s="651"/>
      <c r="R144" s="651"/>
      <c r="S144" s="651"/>
    </row>
    <row r="145" spans="1:19">
      <c r="A145" s="836">
        <f t="shared" si="21"/>
        <v>9.6999999999999851</v>
      </c>
      <c r="B145" s="651"/>
      <c r="C145" s="819">
        <f>SUM(M145:O145)</f>
        <v>0</v>
      </c>
      <c r="D145" s="819">
        <f t="shared" si="19"/>
        <v>0</v>
      </c>
      <c r="E145" s="819"/>
      <c r="F145" s="819"/>
      <c r="G145" s="819">
        <f t="shared" si="17"/>
        <v>0</v>
      </c>
      <c r="H145" s="819"/>
      <c r="I145" s="819">
        <f t="shared" si="18"/>
        <v>0</v>
      </c>
      <c r="J145" s="819">
        <f t="shared" si="18"/>
        <v>0</v>
      </c>
      <c r="K145" s="819">
        <f t="shared" si="18"/>
        <v>0</v>
      </c>
      <c r="L145" s="819"/>
      <c r="M145" s="651"/>
      <c r="N145" s="651"/>
      <c r="O145" s="651"/>
      <c r="P145" s="819"/>
      <c r="Q145" s="651"/>
      <c r="R145" s="651"/>
      <c r="S145" s="651"/>
    </row>
    <row r="146" spans="1:19">
      <c r="A146" s="836">
        <f t="shared" si="21"/>
        <v>9.7099999999999849</v>
      </c>
      <c r="B146" s="651"/>
      <c r="C146" s="819">
        <f t="shared" si="20"/>
        <v>0</v>
      </c>
      <c r="D146" s="819">
        <f t="shared" si="19"/>
        <v>0</v>
      </c>
      <c r="E146" s="819"/>
      <c r="F146" s="819"/>
      <c r="G146" s="819">
        <f t="shared" si="17"/>
        <v>0</v>
      </c>
      <c r="H146" s="819"/>
      <c r="I146" s="819">
        <f t="shared" si="18"/>
        <v>0</v>
      </c>
      <c r="J146" s="819">
        <f t="shared" si="18"/>
        <v>0</v>
      </c>
      <c r="K146" s="819">
        <f t="shared" si="18"/>
        <v>0</v>
      </c>
      <c r="L146" s="819"/>
      <c r="M146" s="651"/>
      <c r="N146" s="651"/>
      <c r="O146" s="651"/>
      <c r="P146" s="819"/>
      <c r="Q146" s="651"/>
      <c r="R146" s="651"/>
      <c r="S146" s="651"/>
    </row>
    <row r="147" spans="1:19">
      <c r="A147" s="836">
        <f t="shared" si="21"/>
        <v>9.7199999999999847</v>
      </c>
      <c r="B147" s="651"/>
      <c r="C147" s="819">
        <f>SUM(M147:O147)</f>
        <v>0</v>
      </c>
      <c r="D147" s="819">
        <f t="shared" si="19"/>
        <v>0</v>
      </c>
      <c r="E147" s="819"/>
      <c r="F147" s="819"/>
      <c r="G147" s="819">
        <f t="shared" si="17"/>
        <v>0</v>
      </c>
      <c r="H147" s="819"/>
      <c r="I147" s="819">
        <f t="shared" si="18"/>
        <v>0</v>
      </c>
      <c r="J147" s="819">
        <f t="shared" si="18"/>
        <v>0</v>
      </c>
      <c r="K147" s="819">
        <f t="shared" si="18"/>
        <v>0</v>
      </c>
      <c r="L147" s="819"/>
      <c r="M147" s="651"/>
      <c r="N147" s="651"/>
      <c r="O147" s="651"/>
      <c r="P147" s="819"/>
      <c r="Q147" s="651"/>
      <c r="R147" s="651"/>
      <c r="S147" s="651"/>
    </row>
    <row r="148" spans="1:19">
      <c r="A148" s="836">
        <f t="shared" si="21"/>
        <v>9.7299999999999844</v>
      </c>
      <c r="B148" s="651"/>
      <c r="C148" s="819">
        <f>SUM(M148:O148)</f>
        <v>0</v>
      </c>
      <c r="D148" s="819">
        <f t="shared" si="19"/>
        <v>0</v>
      </c>
      <c r="E148" s="819"/>
      <c r="F148" s="819"/>
      <c r="G148" s="819">
        <f t="shared" si="17"/>
        <v>0</v>
      </c>
      <c r="H148" s="819"/>
      <c r="I148" s="819">
        <f t="shared" si="18"/>
        <v>0</v>
      </c>
      <c r="J148" s="819">
        <f t="shared" si="18"/>
        <v>0</v>
      </c>
      <c r="K148" s="819">
        <f t="shared" si="18"/>
        <v>0</v>
      </c>
      <c r="L148" s="819"/>
      <c r="M148" s="651"/>
      <c r="N148" s="651"/>
      <c r="O148" s="651"/>
      <c r="P148" s="819"/>
      <c r="Q148" s="651"/>
      <c r="R148" s="651"/>
      <c r="S148" s="651"/>
    </row>
    <row r="149" spans="1:19">
      <c r="A149" s="836">
        <f t="shared" si="21"/>
        <v>9.7399999999999842</v>
      </c>
      <c r="B149" s="651"/>
      <c r="C149" s="819">
        <f>SUM(M149:O149)</f>
        <v>0</v>
      </c>
      <c r="D149" s="819">
        <f t="shared" si="19"/>
        <v>0</v>
      </c>
      <c r="E149" s="819"/>
      <c r="F149" s="819"/>
      <c r="G149" s="819">
        <f t="shared" si="17"/>
        <v>0</v>
      </c>
      <c r="H149" s="819"/>
      <c r="I149" s="819">
        <f t="shared" si="18"/>
        <v>0</v>
      </c>
      <c r="J149" s="819">
        <f t="shared" si="18"/>
        <v>0</v>
      </c>
      <c r="K149" s="819">
        <f t="shared" si="18"/>
        <v>0</v>
      </c>
      <c r="L149" s="819"/>
      <c r="M149" s="651"/>
      <c r="N149" s="651"/>
      <c r="O149" s="651"/>
      <c r="P149" s="819"/>
      <c r="Q149" s="651"/>
      <c r="R149" s="651"/>
      <c r="S149" s="651"/>
    </row>
    <row r="150" spans="1:19">
      <c r="A150" s="836">
        <f t="shared" si="21"/>
        <v>9.749999999999984</v>
      </c>
      <c r="B150" s="651"/>
      <c r="C150" s="819">
        <f>SUM(M150:O150)</f>
        <v>0</v>
      </c>
      <c r="D150" s="819">
        <f t="shared" si="19"/>
        <v>0</v>
      </c>
      <c r="E150" s="819"/>
      <c r="F150" s="819"/>
      <c r="G150" s="819">
        <f t="shared" si="17"/>
        <v>0</v>
      </c>
      <c r="H150" s="819"/>
      <c r="I150" s="819">
        <f t="shared" si="18"/>
        <v>0</v>
      </c>
      <c r="J150" s="819">
        <f t="shared" si="18"/>
        <v>0</v>
      </c>
      <c r="K150" s="819">
        <f t="shared" si="18"/>
        <v>0</v>
      </c>
      <c r="L150" s="819"/>
      <c r="M150" s="651"/>
      <c r="N150" s="651"/>
      <c r="O150" s="651"/>
      <c r="P150" s="819"/>
      <c r="Q150" s="651"/>
      <c r="R150" s="651"/>
      <c r="S150" s="651"/>
    </row>
    <row r="151" spans="1:19">
      <c r="A151" s="836">
        <f t="shared" si="21"/>
        <v>9.7599999999999838</v>
      </c>
      <c r="B151" s="651"/>
      <c r="C151" s="819">
        <f t="shared" si="20"/>
        <v>0</v>
      </c>
      <c r="D151" s="819">
        <f t="shared" si="19"/>
        <v>0</v>
      </c>
      <c r="E151" s="819"/>
      <c r="F151" s="819"/>
      <c r="G151" s="819">
        <f t="shared" si="17"/>
        <v>0</v>
      </c>
      <c r="H151" s="819"/>
      <c r="I151" s="819">
        <f t="shared" si="18"/>
        <v>0</v>
      </c>
      <c r="J151" s="819">
        <f t="shared" si="18"/>
        <v>0</v>
      </c>
      <c r="K151" s="819">
        <f t="shared" si="18"/>
        <v>0</v>
      </c>
      <c r="L151" s="819"/>
      <c r="M151" s="651"/>
      <c r="N151" s="651"/>
      <c r="O151" s="651"/>
      <c r="P151" s="819"/>
      <c r="Q151" s="651"/>
      <c r="R151" s="651"/>
      <c r="S151" s="651"/>
    </row>
    <row r="152" spans="1:19">
      <c r="A152" s="836">
        <f t="shared" si="21"/>
        <v>9.7699999999999836</v>
      </c>
      <c r="B152" s="651"/>
      <c r="C152" s="819">
        <f t="shared" si="20"/>
        <v>0</v>
      </c>
      <c r="D152" s="819">
        <f t="shared" si="19"/>
        <v>0</v>
      </c>
      <c r="E152" s="819"/>
      <c r="F152" s="819"/>
      <c r="G152" s="819">
        <f t="shared" si="17"/>
        <v>0</v>
      </c>
      <c r="H152" s="819"/>
      <c r="I152" s="819">
        <f t="shared" si="18"/>
        <v>0</v>
      </c>
      <c r="J152" s="819">
        <f t="shared" si="18"/>
        <v>0</v>
      </c>
      <c r="K152" s="819">
        <f t="shared" si="18"/>
        <v>0</v>
      </c>
      <c r="L152" s="819"/>
      <c r="M152" s="651"/>
      <c r="N152" s="651"/>
      <c r="O152" s="651"/>
      <c r="P152" s="819"/>
      <c r="Q152" s="651"/>
      <c r="R152" s="651"/>
      <c r="S152" s="651"/>
    </row>
    <row r="153" spans="1:19">
      <c r="A153" s="836">
        <f t="shared" si="21"/>
        <v>9.7799999999999834</v>
      </c>
      <c r="B153" s="651"/>
      <c r="C153" s="819">
        <f t="shared" si="20"/>
        <v>0</v>
      </c>
      <c r="D153" s="819">
        <f t="shared" si="19"/>
        <v>0</v>
      </c>
      <c r="E153" s="819"/>
      <c r="F153" s="819"/>
      <c r="G153" s="819">
        <f t="shared" si="17"/>
        <v>0</v>
      </c>
      <c r="H153" s="819"/>
      <c r="I153" s="819">
        <f t="shared" si="18"/>
        <v>0</v>
      </c>
      <c r="J153" s="819">
        <f t="shared" si="18"/>
        <v>0</v>
      </c>
      <c r="K153" s="819">
        <f t="shared" si="18"/>
        <v>0</v>
      </c>
      <c r="L153" s="819"/>
      <c r="M153" s="651"/>
      <c r="N153" s="651"/>
      <c r="O153" s="651"/>
      <c r="P153" s="819"/>
      <c r="Q153" s="651"/>
      <c r="R153" s="651"/>
      <c r="S153" s="651"/>
    </row>
    <row r="154" spans="1:19">
      <c r="A154" s="836">
        <f t="shared" si="21"/>
        <v>9.7899999999999832</v>
      </c>
      <c r="B154" s="651"/>
      <c r="C154" s="819">
        <f t="shared" si="20"/>
        <v>0</v>
      </c>
      <c r="D154" s="819">
        <f t="shared" si="19"/>
        <v>0</v>
      </c>
      <c r="E154" s="819"/>
      <c r="F154" s="819"/>
      <c r="G154" s="819">
        <f t="shared" si="17"/>
        <v>0</v>
      </c>
      <c r="H154" s="819"/>
      <c r="I154" s="819">
        <f t="shared" si="18"/>
        <v>0</v>
      </c>
      <c r="J154" s="819">
        <f t="shared" si="18"/>
        <v>0</v>
      </c>
      <c r="K154" s="819">
        <f t="shared" si="18"/>
        <v>0</v>
      </c>
      <c r="L154" s="819"/>
      <c r="M154" s="651"/>
      <c r="N154" s="651"/>
      <c r="O154" s="651"/>
      <c r="P154" s="819"/>
      <c r="Q154" s="651"/>
      <c r="R154" s="651"/>
      <c r="S154" s="651"/>
    </row>
    <row r="155" spans="1:19">
      <c r="A155" s="836">
        <f t="shared" si="21"/>
        <v>9.7999999999999829</v>
      </c>
      <c r="B155" s="651"/>
      <c r="C155" s="819">
        <f t="shared" si="20"/>
        <v>0</v>
      </c>
      <c r="D155" s="819">
        <f t="shared" si="19"/>
        <v>0</v>
      </c>
      <c r="E155" s="819"/>
      <c r="F155" s="819"/>
      <c r="G155" s="819">
        <f t="shared" si="17"/>
        <v>0</v>
      </c>
      <c r="H155" s="819"/>
      <c r="I155" s="819">
        <f t="shared" si="18"/>
        <v>0</v>
      </c>
      <c r="J155" s="819">
        <f t="shared" si="18"/>
        <v>0</v>
      </c>
      <c r="K155" s="819">
        <f t="shared" si="18"/>
        <v>0</v>
      </c>
      <c r="L155" s="819"/>
      <c r="M155" s="651"/>
      <c r="N155" s="651"/>
      <c r="O155" s="651"/>
      <c r="P155" s="819"/>
      <c r="Q155" s="651"/>
      <c r="R155" s="651"/>
      <c r="S155" s="651"/>
    </row>
    <row r="156" spans="1:19">
      <c r="A156" s="836">
        <f t="shared" si="21"/>
        <v>9.8099999999999827</v>
      </c>
      <c r="B156" s="651"/>
      <c r="C156" s="819">
        <f t="shared" si="20"/>
        <v>0</v>
      </c>
      <c r="D156" s="819">
        <f t="shared" si="19"/>
        <v>0</v>
      </c>
      <c r="E156" s="819"/>
      <c r="F156" s="819"/>
      <c r="G156" s="819">
        <f t="shared" si="17"/>
        <v>0</v>
      </c>
      <c r="H156" s="819"/>
      <c r="I156" s="819">
        <f t="shared" si="18"/>
        <v>0</v>
      </c>
      <c r="J156" s="819">
        <f t="shared" si="18"/>
        <v>0</v>
      </c>
      <c r="K156" s="819">
        <f t="shared" si="18"/>
        <v>0</v>
      </c>
      <c r="L156" s="819"/>
      <c r="M156" s="651"/>
      <c r="N156" s="651"/>
      <c r="O156" s="651"/>
      <c r="P156" s="819"/>
      <c r="Q156" s="651"/>
      <c r="R156" s="651"/>
      <c r="S156" s="651"/>
    </row>
    <row r="157" spans="1:19">
      <c r="A157" s="836">
        <f t="shared" si="21"/>
        <v>9.8199999999999825</v>
      </c>
      <c r="B157" s="651"/>
      <c r="C157" s="819">
        <f t="shared" si="20"/>
        <v>0</v>
      </c>
      <c r="D157" s="819">
        <f t="shared" si="19"/>
        <v>0</v>
      </c>
      <c r="E157" s="819"/>
      <c r="F157" s="819"/>
      <c r="G157" s="819">
        <f t="shared" si="17"/>
        <v>0</v>
      </c>
      <c r="H157" s="819"/>
      <c r="I157" s="819">
        <f t="shared" si="18"/>
        <v>0</v>
      </c>
      <c r="J157" s="819">
        <f t="shared" si="18"/>
        <v>0</v>
      </c>
      <c r="K157" s="819">
        <f t="shared" si="18"/>
        <v>0</v>
      </c>
      <c r="L157" s="819"/>
      <c r="M157" s="651"/>
      <c r="N157" s="651"/>
      <c r="O157" s="651"/>
      <c r="P157" s="819"/>
      <c r="Q157" s="651"/>
      <c r="R157" s="651"/>
      <c r="S157" s="651"/>
    </row>
    <row r="158" spans="1:19">
      <c r="A158" s="836">
        <f t="shared" si="21"/>
        <v>9.8299999999999823</v>
      </c>
      <c r="B158" s="651"/>
      <c r="C158" s="819">
        <f>SUM(M158:O158)</f>
        <v>0</v>
      </c>
      <c r="D158" s="819">
        <f t="shared" si="19"/>
        <v>0</v>
      </c>
      <c r="E158" s="819"/>
      <c r="F158" s="819"/>
      <c r="G158" s="819">
        <f t="shared" si="17"/>
        <v>0</v>
      </c>
      <c r="H158" s="819"/>
      <c r="I158" s="819">
        <f t="shared" ref="I158:K168" si="22">(M158+Q158)/2</f>
        <v>0</v>
      </c>
      <c r="J158" s="819">
        <f t="shared" si="22"/>
        <v>0</v>
      </c>
      <c r="K158" s="819">
        <f t="shared" si="22"/>
        <v>0</v>
      </c>
      <c r="L158" s="819"/>
      <c r="M158" s="651"/>
      <c r="N158" s="651"/>
      <c r="O158" s="651"/>
      <c r="P158" s="819"/>
      <c r="Q158" s="651"/>
      <c r="R158" s="651"/>
      <c r="S158" s="651"/>
    </row>
    <row r="159" spans="1:19">
      <c r="A159" s="836">
        <f t="shared" si="21"/>
        <v>9.8399999999999821</v>
      </c>
      <c r="B159" s="651"/>
      <c r="C159" s="819">
        <f>SUM(M159:O159)</f>
        <v>0</v>
      </c>
      <c r="D159" s="819">
        <f t="shared" si="19"/>
        <v>0</v>
      </c>
      <c r="E159" s="819"/>
      <c r="F159" s="819"/>
      <c r="G159" s="819">
        <f t="shared" si="17"/>
        <v>0</v>
      </c>
      <c r="H159" s="819"/>
      <c r="I159" s="819">
        <f t="shared" si="22"/>
        <v>0</v>
      </c>
      <c r="J159" s="819">
        <f t="shared" si="22"/>
        <v>0</v>
      </c>
      <c r="K159" s="819">
        <f t="shared" si="22"/>
        <v>0</v>
      </c>
      <c r="L159" s="819"/>
      <c r="M159" s="651"/>
      <c r="N159" s="651"/>
      <c r="O159" s="651"/>
      <c r="P159" s="819"/>
      <c r="Q159" s="651"/>
      <c r="R159" s="651"/>
      <c r="S159" s="651"/>
    </row>
    <row r="160" spans="1:19">
      <c r="A160" s="836">
        <f t="shared" si="21"/>
        <v>9.8499999999999819</v>
      </c>
      <c r="B160" s="651"/>
      <c r="C160" s="819">
        <f>SUM(M160:O160)</f>
        <v>0</v>
      </c>
      <c r="D160" s="819">
        <f t="shared" si="19"/>
        <v>0</v>
      </c>
      <c r="E160" s="819"/>
      <c r="F160" s="819"/>
      <c r="G160" s="819">
        <f t="shared" si="17"/>
        <v>0</v>
      </c>
      <c r="H160" s="819"/>
      <c r="I160" s="819">
        <f t="shared" si="22"/>
        <v>0</v>
      </c>
      <c r="J160" s="819">
        <f t="shared" si="22"/>
        <v>0</v>
      </c>
      <c r="K160" s="819">
        <f t="shared" si="22"/>
        <v>0</v>
      </c>
      <c r="L160" s="819"/>
      <c r="M160" s="651"/>
      <c r="N160" s="651"/>
      <c r="O160" s="651"/>
      <c r="P160" s="819"/>
      <c r="Q160" s="651"/>
      <c r="R160" s="651"/>
      <c r="S160" s="651"/>
    </row>
    <row r="161" spans="1:19">
      <c r="A161" s="836">
        <f t="shared" si="21"/>
        <v>9.8599999999999817</v>
      </c>
      <c r="B161" s="651"/>
      <c r="C161" s="819">
        <f>SUM(M161:O161)</f>
        <v>0</v>
      </c>
      <c r="D161" s="819">
        <f t="shared" si="19"/>
        <v>0</v>
      </c>
      <c r="E161" s="819"/>
      <c r="F161" s="819"/>
      <c r="G161" s="819">
        <f t="shared" si="17"/>
        <v>0</v>
      </c>
      <c r="H161" s="819"/>
      <c r="I161" s="819">
        <f t="shared" si="22"/>
        <v>0</v>
      </c>
      <c r="J161" s="819">
        <f t="shared" si="22"/>
        <v>0</v>
      </c>
      <c r="K161" s="819">
        <f t="shared" si="22"/>
        <v>0</v>
      </c>
      <c r="L161" s="819"/>
      <c r="M161" s="651"/>
      <c r="N161" s="651"/>
      <c r="O161" s="651"/>
      <c r="P161" s="819"/>
      <c r="Q161" s="651"/>
      <c r="R161" s="651"/>
      <c r="S161" s="651"/>
    </row>
    <row r="162" spans="1:19">
      <c r="A162" s="836">
        <f t="shared" si="21"/>
        <v>9.8699999999999815</v>
      </c>
      <c r="B162" s="651"/>
      <c r="C162" s="819">
        <f t="shared" si="20"/>
        <v>0</v>
      </c>
      <c r="D162" s="819">
        <f t="shared" si="19"/>
        <v>0</v>
      </c>
      <c r="E162" s="819"/>
      <c r="F162" s="819"/>
      <c r="G162" s="819">
        <f t="shared" si="17"/>
        <v>0</v>
      </c>
      <c r="H162" s="819"/>
      <c r="I162" s="819">
        <f t="shared" si="22"/>
        <v>0</v>
      </c>
      <c r="J162" s="819">
        <f t="shared" si="22"/>
        <v>0</v>
      </c>
      <c r="K162" s="819">
        <f t="shared" si="22"/>
        <v>0</v>
      </c>
      <c r="L162" s="819"/>
      <c r="M162" s="651"/>
      <c r="N162" s="651"/>
      <c r="O162" s="651"/>
      <c r="P162" s="819"/>
      <c r="Q162" s="651"/>
      <c r="R162" s="651"/>
      <c r="S162" s="651"/>
    </row>
    <row r="163" spans="1:19">
      <c r="A163" s="836">
        <f t="shared" si="21"/>
        <v>9.8799999999999812</v>
      </c>
      <c r="B163" s="651"/>
      <c r="C163" s="819">
        <f t="shared" si="20"/>
        <v>0</v>
      </c>
      <c r="D163" s="819">
        <f t="shared" si="19"/>
        <v>0</v>
      </c>
      <c r="E163" s="819"/>
      <c r="F163" s="819"/>
      <c r="G163" s="819">
        <f t="shared" si="17"/>
        <v>0</v>
      </c>
      <c r="H163" s="819"/>
      <c r="I163" s="819">
        <f t="shared" si="22"/>
        <v>0</v>
      </c>
      <c r="J163" s="819">
        <f t="shared" si="22"/>
        <v>0</v>
      </c>
      <c r="K163" s="819">
        <f t="shared" si="22"/>
        <v>0</v>
      </c>
      <c r="L163" s="819"/>
      <c r="M163" s="651"/>
      <c r="N163" s="651"/>
      <c r="O163" s="651"/>
      <c r="P163" s="819"/>
      <c r="Q163" s="651"/>
      <c r="R163" s="651"/>
      <c r="S163" s="651"/>
    </row>
    <row r="164" spans="1:19">
      <c r="A164" s="836">
        <f t="shared" si="21"/>
        <v>9.889999999999981</v>
      </c>
      <c r="B164" s="651"/>
      <c r="C164" s="819">
        <f t="shared" si="20"/>
        <v>0</v>
      </c>
      <c r="D164" s="819">
        <f t="shared" si="19"/>
        <v>0</v>
      </c>
      <c r="E164" s="819"/>
      <c r="F164" s="819"/>
      <c r="G164" s="819">
        <f t="shared" si="17"/>
        <v>0</v>
      </c>
      <c r="H164" s="819"/>
      <c r="I164" s="819">
        <f t="shared" si="22"/>
        <v>0</v>
      </c>
      <c r="J164" s="819">
        <f t="shared" si="22"/>
        <v>0</v>
      </c>
      <c r="K164" s="819">
        <f t="shared" si="22"/>
        <v>0</v>
      </c>
      <c r="L164" s="819"/>
      <c r="M164" s="651"/>
      <c r="N164" s="651"/>
      <c r="O164" s="651"/>
      <c r="P164" s="819"/>
      <c r="Q164" s="651"/>
      <c r="R164" s="651"/>
      <c r="S164" s="651"/>
    </row>
    <row r="165" spans="1:19">
      <c r="A165" s="836">
        <f t="shared" si="21"/>
        <v>9.8999999999999808</v>
      </c>
      <c r="B165" s="651"/>
      <c r="C165" s="819">
        <f t="shared" si="20"/>
        <v>0</v>
      </c>
      <c r="D165" s="819">
        <f t="shared" si="19"/>
        <v>0</v>
      </c>
      <c r="E165" s="819"/>
      <c r="F165" s="819"/>
      <c r="G165" s="819">
        <f t="shared" si="17"/>
        <v>0</v>
      </c>
      <c r="H165" s="819"/>
      <c r="I165" s="819">
        <f t="shared" si="22"/>
        <v>0</v>
      </c>
      <c r="J165" s="819">
        <f t="shared" si="22"/>
        <v>0</v>
      </c>
      <c r="K165" s="819">
        <f t="shared" si="22"/>
        <v>0</v>
      </c>
      <c r="L165" s="819"/>
      <c r="M165" s="651"/>
      <c r="N165" s="651"/>
      <c r="O165" s="651"/>
      <c r="P165" s="819"/>
      <c r="Q165" s="651"/>
      <c r="R165" s="651"/>
      <c r="S165" s="651"/>
    </row>
    <row r="166" spans="1:19">
      <c r="A166" s="836">
        <f t="shared" si="21"/>
        <v>9.9099999999999806</v>
      </c>
      <c r="B166" s="651"/>
      <c r="C166" s="819">
        <f t="shared" si="20"/>
        <v>0</v>
      </c>
      <c r="D166" s="819">
        <f t="shared" si="19"/>
        <v>0</v>
      </c>
      <c r="E166" s="819"/>
      <c r="F166" s="819"/>
      <c r="G166" s="819">
        <f>ROUND(SUM(C166:F166)/2,0)</f>
        <v>0</v>
      </c>
      <c r="H166" s="819"/>
      <c r="I166" s="819">
        <f t="shared" si="22"/>
        <v>0</v>
      </c>
      <c r="J166" s="819">
        <f t="shared" si="22"/>
        <v>0</v>
      </c>
      <c r="K166" s="819">
        <f t="shared" si="22"/>
        <v>0</v>
      </c>
      <c r="L166" s="819"/>
      <c r="M166" s="651"/>
      <c r="N166" s="651"/>
      <c r="O166" s="651"/>
      <c r="P166" s="819"/>
      <c r="Q166" s="651"/>
      <c r="R166" s="651"/>
      <c r="S166" s="651"/>
    </row>
    <row r="167" spans="1:19">
      <c r="A167" s="836">
        <f t="shared" si="21"/>
        <v>9.9199999999999804</v>
      </c>
      <c r="B167" s="651"/>
      <c r="C167" s="819">
        <f t="shared" si="20"/>
        <v>0</v>
      </c>
      <c r="D167" s="819">
        <f t="shared" si="19"/>
        <v>0</v>
      </c>
      <c r="E167" s="819"/>
      <c r="F167" s="819"/>
      <c r="G167" s="819">
        <f t="shared" si="17"/>
        <v>0</v>
      </c>
      <c r="H167" s="819"/>
      <c r="I167" s="819">
        <f t="shared" si="22"/>
        <v>0</v>
      </c>
      <c r="J167" s="819">
        <f t="shared" si="22"/>
        <v>0</v>
      </c>
      <c r="K167" s="819">
        <f t="shared" si="22"/>
        <v>0</v>
      </c>
      <c r="L167" s="819"/>
      <c r="M167" s="651"/>
      <c r="N167" s="651"/>
      <c r="O167" s="651"/>
      <c r="P167" s="819"/>
      <c r="Q167" s="651"/>
      <c r="R167" s="651"/>
      <c r="S167" s="651"/>
    </row>
    <row r="168" spans="1:19">
      <c r="A168" s="836">
        <f t="shared" si="21"/>
        <v>9.9299999999999802</v>
      </c>
      <c r="B168" s="651"/>
      <c r="C168" s="819">
        <f t="shared" si="20"/>
        <v>0</v>
      </c>
      <c r="D168" s="819">
        <f t="shared" si="19"/>
        <v>0</v>
      </c>
      <c r="E168" s="819"/>
      <c r="F168" s="819"/>
      <c r="G168" s="819">
        <f t="shared" si="17"/>
        <v>0</v>
      </c>
      <c r="H168" s="819"/>
      <c r="I168" s="819">
        <f t="shared" si="22"/>
        <v>0</v>
      </c>
      <c r="J168" s="819">
        <f t="shared" si="22"/>
        <v>0</v>
      </c>
      <c r="K168" s="819">
        <f t="shared" si="22"/>
        <v>0</v>
      </c>
      <c r="L168" s="819"/>
      <c r="M168" s="651"/>
      <c r="N168" s="651"/>
      <c r="O168" s="651"/>
      <c r="P168" s="819"/>
      <c r="Q168" s="651"/>
      <c r="R168" s="651"/>
      <c r="S168" s="651"/>
    </row>
    <row r="169" spans="1:19">
      <c r="A169" s="836">
        <f t="shared" si="21"/>
        <v>9.93999999999998</v>
      </c>
      <c r="B169" s="651"/>
      <c r="C169" s="651"/>
      <c r="D169" s="651"/>
      <c r="E169" s="819">
        <f t="shared" ref="E169:F174" si="23">-C169</f>
        <v>0</v>
      </c>
      <c r="F169" s="819">
        <f t="shared" si="23"/>
        <v>0</v>
      </c>
      <c r="G169" s="819">
        <f t="shared" si="17"/>
        <v>0</v>
      </c>
      <c r="H169" s="819"/>
      <c r="I169" s="819"/>
      <c r="J169" s="819"/>
      <c r="K169" s="819"/>
      <c r="L169" s="819"/>
      <c r="M169" s="819"/>
      <c r="N169" s="819"/>
      <c r="O169" s="819"/>
      <c r="P169" s="819"/>
      <c r="Q169" s="819"/>
      <c r="R169" s="819"/>
      <c r="S169" s="819"/>
    </row>
    <row r="170" spans="1:19">
      <c r="A170" s="836">
        <f t="shared" si="21"/>
        <v>9.9499999999999797</v>
      </c>
      <c r="B170" s="651"/>
      <c r="C170" s="651"/>
      <c r="D170" s="651"/>
      <c r="E170" s="819">
        <f t="shared" si="23"/>
        <v>0</v>
      </c>
      <c r="F170" s="819">
        <f t="shared" si="23"/>
        <v>0</v>
      </c>
      <c r="G170" s="819">
        <f t="shared" si="17"/>
        <v>0</v>
      </c>
      <c r="H170" s="819"/>
      <c r="I170" s="819"/>
      <c r="J170" s="819"/>
      <c r="K170" s="819"/>
      <c r="L170" s="819"/>
      <c r="M170" s="819"/>
      <c r="N170" s="819"/>
      <c r="O170" s="819"/>
      <c r="P170" s="819"/>
      <c r="Q170" s="819"/>
      <c r="R170" s="819"/>
      <c r="S170" s="819"/>
    </row>
    <row r="171" spans="1:19">
      <c r="A171" s="836">
        <f t="shared" si="21"/>
        <v>9.9599999999999795</v>
      </c>
      <c r="B171" s="651"/>
      <c r="C171" s="651"/>
      <c r="D171" s="651"/>
      <c r="E171" s="819">
        <f t="shared" si="23"/>
        <v>0</v>
      </c>
      <c r="F171" s="819">
        <f t="shared" si="23"/>
        <v>0</v>
      </c>
      <c r="G171" s="819">
        <f t="shared" si="17"/>
        <v>0</v>
      </c>
      <c r="H171" s="819"/>
      <c r="I171" s="819"/>
      <c r="J171" s="819"/>
      <c r="K171" s="819"/>
      <c r="L171" s="819"/>
      <c r="M171" s="819"/>
      <c r="N171" s="819"/>
      <c r="O171" s="819"/>
      <c r="P171" s="819"/>
      <c r="Q171" s="819"/>
      <c r="R171" s="819"/>
      <c r="S171" s="819"/>
    </row>
    <row r="172" spans="1:19">
      <c r="A172" s="836">
        <f t="shared" si="21"/>
        <v>9.9699999999999793</v>
      </c>
      <c r="B172" s="651"/>
      <c r="C172" s="651"/>
      <c r="D172" s="651"/>
      <c r="E172" s="819">
        <f>-C172</f>
        <v>0</v>
      </c>
      <c r="F172" s="819">
        <f>-D172</f>
        <v>0</v>
      </c>
      <c r="G172" s="819">
        <f t="shared" si="17"/>
        <v>0</v>
      </c>
      <c r="H172" s="819"/>
      <c r="I172" s="819"/>
      <c r="J172" s="819"/>
      <c r="K172" s="819"/>
      <c r="L172" s="819"/>
      <c r="M172" s="819"/>
      <c r="N172" s="819"/>
      <c r="O172" s="819"/>
      <c r="P172" s="819"/>
      <c r="Q172" s="819"/>
      <c r="R172" s="819"/>
      <c r="S172" s="819"/>
    </row>
    <row r="173" spans="1:19">
      <c r="A173" s="836">
        <f t="shared" si="21"/>
        <v>9.9799999999999791</v>
      </c>
      <c r="B173" s="651"/>
      <c r="C173" s="651"/>
      <c r="D173" s="651"/>
      <c r="E173" s="819">
        <f>-C173</f>
        <v>0</v>
      </c>
      <c r="F173" s="819">
        <f>-D173</f>
        <v>0</v>
      </c>
      <c r="G173" s="819">
        <f t="shared" si="17"/>
        <v>0</v>
      </c>
      <c r="H173" s="819"/>
      <c r="I173" s="819"/>
      <c r="J173" s="819"/>
      <c r="K173" s="819"/>
      <c r="L173" s="819"/>
      <c r="M173" s="819"/>
      <c r="N173" s="819"/>
      <c r="O173" s="819"/>
      <c r="P173" s="819"/>
      <c r="Q173" s="819"/>
      <c r="R173" s="819"/>
      <c r="S173" s="819"/>
    </row>
    <row r="174" spans="1:19">
      <c r="A174" s="836">
        <f t="shared" si="21"/>
        <v>9.9899999999999789</v>
      </c>
      <c r="B174" s="651"/>
      <c r="C174" s="651"/>
      <c r="D174" s="651"/>
      <c r="E174" s="819">
        <f t="shared" si="23"/>
        <v>0</v>
      </c>
      <c r="F174" s="819">
        <f t="shared" si="23"/>
        <v>0</v>
      </c>
      <c r="G174" s="819">
        <f t="shared" si="17"/>
        <v>0</v>
      </c>
      <c r="H174" s="819"/>
      <c r="I174" s="819"/>
      <c r="J174" s="819"/>
      <c r="K174" s="819"/>
      <c r="L174" s="819"/>
      <c r="M174" s="819"/>
      <c r="N174" s="819"/>
      <c r="O174" s="819"/>
      <c r="P174" s="819"/>
      <c r="Q174" s="819"/>
      <c r="R174" s="819"/>
      <c r="S174" s="819"/>
    </row>
    <row r="175" spans="1:19">
      <c r="A175" s="826"/>
      <c r="B175" s="812"/>
      <c r="C175" s="819"/>
      <c r="D175" s="819"/>
      <c r="E175" s="819"/>
      <c r="F175" s="819"/>
      <c r="G175" s="819"/>
      <c r="H175" s="819"/>
      <c r="I175" s="819"/>
      <c r="J175" s="819"/>
      <c r="K175" s="819"/>
      <c r="L175" s="819"/>
      <c r="M175" s="819"/>
      <c r="N175" s="819"/>
      <c r="O175" s="819"/>
      <c r="P175" s="819"/>
      <c r="Q175" s="819"/>
      <c r="R175" s="819"/>
      <c r="S175" s="819"/>
    </row>
    <row r="176" spans="1:19">
      <c r="A176" s="826"/>
      <c r="B176" s="812"/>
      <c r="C176" s="819"/>
      <c r="D176" s="819"/>
      <c r="E176" s="819"/>
      <c r="F176" s="819"/>
      <c r="G176" s="819"/>
      <c r="H176" s="819"/>
      <c r="I176" s="819"/>
      <c r="J176" s="819"/>
      <c r="K176" s="819"/>
      <c r="L176" s="819"/>
      <c r="M176" s="819"/>
      <c r="N176" s="819"/>
      <c r="O176" s="819"/>
      <c r="P176" s="819"/>
      <c r="Q176" s="819"/>
      <c r="R176" s="819"/>
      <c r="S176" s="819"/>
    </row>
    <row r="177" spans="1:19" ht="13" thickBot="1">
      <c r="A177" s="826">
        <v>10</v>
      </c>
      <c r="C177" s="821">
        <f>SUM(C76:C176)</f>
        <v>0</v>
      </c>
      <c r="D177" s="821">
        <f>SUM(D76:D176)</f>
        <v>0</v>
      </c>
      <c r="E177" s="821">
        <f>SUM(E76:E176)</f>
        <v>0</v>
      </c>
      <c r="F177" s="821">
        <f>SUM(F76:F176)</f>
        <v>0</v>
      </c>
      <c r="G177" s="821">
        <f>SUM(G76:G176)</f>
        <v>0</v>
      </c>
      <c r="H177" s="823"/>
      <c r="I177" s="821">
        <f>SUM(I76:I176)</f>
        <v>0</v>
      </c>
      <c r="J177" s="821">
        <f>SUM(J76:J176)</f>
        <v>0</v>
      </c>
      <c r="K177" s="821">
        <f>SUM(K76:K176)</f>
        <v>0</v>
      </c>
      <c r="L177" s="823"/>
      <c r="M177" s="821">
        <f>SUM(M76:M176)</f>
        <v>0</v>
      </c>
      <c r="N177" s="821">
        <f>SUM(N76:N176)</f>
        <v>0</v>
      </c>
      <c r="O177" s="821">
        <f>SUM(O76:O176)</f>
        <v>0</v>
      </c>
      <c r="P177" s="823"/>
      <c r="Q177" s="821">
        <f>SUM(Q76:Q176)</f>
        <v>0</v>
      </c>
      <c r="R177" s="821">
        <f>SUM(R76:R176)</f>
        <v>0</v>
      </c>
      <c r="S177" s="821">
        <f>SUM(S76:S176)</f>
        <v>0</v>
      </c>
    </row>
    <row r="178" spans="1:19" ht="13" thickTop="1">
      <c r="A178" s="826"/>
      <c r="B178" s="812"/>
      <c r="C178" s="822"/>
      <c r="D178" s="822"/>
      <c r="E178" s="822"/>
      <c r="F178" s="822"/>
      <c r="G178" s="822"/>
      <c r="H178" s="819"/>
      <c r="I178" s="822"/>
      <c r="J178" s="822"/>
      <c r="K178" s="822"/>
      <c r="L178" s="819"/>
      <c r="M178" s="822"/>
      <c r="N178" s="822"/>
      <c r="O178" s="822"/>
      <c r="P178" s="819"/>
      <c r="Q178" s="822"/>
      <c r="R178" s="822"/>
      <c r="S178" s="822"/>
    </row>
    <row r="179" spans="1:19">
      <c r="A179" s="826"/>
      <c r="B179" s="812"/>
      <c r="C179" s="819"/>
      <c r="D179" s="819"/>
      <c r="E179" s="819"/>
      <c r="F179" s="819"/>
      <c r="G179" s="819"/>
      <c r="H179" s="819"/>
      <c r="I179" s="819"/>
      <c r="J179" s="819"/>
      <c r="K179" s="819"/>
      <c r="L179" s="819"/>
      <c r="M179" s="819"/>
      <c r="N179" s="819"/>
      <c r="O179" s="819"/>
      <c r="P179" s="819"/>
      <c r="Q179" s="819"/>
      <c r="R179" s="819"/>
      <c r="S179" s="819"/>
    </row>
    <row r="180" spans="1:19">
      <c r="A180" s="826">
        <f>+A177+1</f>
        <v>11</v>
      </c>
      <c r="B180" t="s">
        <v>733</v>
      </c>
      <c r="C180" s="819">
        <f>SUM(M180:O180)</f>
        <v>0</v>
      </c>
      <c r="D180" s="819">
        <f>SUM(Q180:S180)</f>
        <v>0</v>
      </c>
      <c r="E180" s="819"/>
      <c r="F180" s="819"/>
      <c r="G180" s="819">
        <f>ROUND(SUM(C180:F180)/2,0)</f>
        <v>0</v>
      </c>
      <c r="H180" s="819"/>
      <c r="I180" s="819">
        <f>(M180+Q180)/2</f>
        <v>0</v>
      </c>
      <c r="J180" s="819">
        <f>(N180+R180)/2</f>
        <v>0</v>
      </c>
      <c r="K180" s="819">
        <f>(O180+S180)/2</f>
        <v>0</v>
      </c>
      <c r="L180" s="819"/>
      <c r="M180" s="651"/>
      <c r="N180" s="651"/>
      <c r="O180" s="651"/>
      <c r="P180" s="819"/>
      <c r="Q180" s="651"/>
      <c r="R180" s="651"/>
      <c r="S180" s="651"/>
    </row>
    <row r="181" spans="1:19">
      <c r="A181" s="836">
        <f>A180+0.01</f>
        <v>11.01</v>
      </c>
      <c r="B181" s="651"/>
      <c r="C181" s="651"/>
      <c r="D181" s="651"/>
      <c r="E181" s="819">
        <f>-C181</f>
        <v>0</v>
      </c>
      <c r="F181" s="819">
        <f>-D181</f>
        <v>0</v>
      </c>
      <c r="G181" s="819">
        <f>ROUND(SUM(C181:F181)/2,0)</f>
        <v>0</v>
      </c>
      <c r="H181" s="819"/>
      <c r="I181" s="819"/>
      <c r="J181" s="819"/>
      <c r="K181" s="819"/>
      <c r="L181" s="819"/>
      <c r="M181" s="819"/>
      <c r="N181" s="819"/>
      <c r="O181" s="819"/>
      <c r="P181" s="819"/>
      <c r="Q181" s="819"/>
      <c r="R181" s="819"/>
      <c r="S181" s="819"/>
    </row>
    <row r="182" spans="1:19">
      <c r="A182" s="826"/>
      <c r="B182" s="812"/>
      <c r="C182" s="819"/>
      <c r="D182" s="819"/>
      <c r="E182" s="819"/>
      <c r="F182" s="819"/>
      <c r="G182" s="819"/>
      <c r="H182" s="819"/>
      <c r="I182" s="819"/>
      <c r="J182" s="819"/>
      <c r="K182" s="819"/>
      <c r="L182" s="819"/>
      <c r="M182" s="819"/>
      <c r="N182" s="819"/>
      <c r="O182" s="819"/>
      <c r="P182" s="819"/>
      <c r="Q182" s="819"/>
      <c r="R182" s="819"/>
      <c r="S182" s="819"/>
    </row>
    <row r="183" spans="1:19" ht="13" thickBot="1">
      <c r="A183" s="826">
        <f>+A180+1</f>
        <v>12</v>
      </c>
      <c r="B183" s="4" t="s">
        <v>734</v>
      </c>
      <c r="C183" s="821">
        <f>SUM(C177:C182)</f>
        <v>0</v>
      </c>
      <c r="D183" s="821">
        <f>SUM(D177:D182)</f>
        <v>0</v>
      </c>
      <c r="E183" s="821">
        <f>SUM(E177:E182)</f>
        <v>0</v>
      </c>
      <c r="F183" s="821">
        <f>SUM(F177:F182)</f>
        <v>0</v>
      </c>
      <c r="G183" s="821">
        <f>SUM(G177:G182)</f>
        <v>0</v>
      </c>
      <c r="H183" s="819"/>
      <c r="I183" s="821">
        <f>SUM(I177:I182)</f>
        <v>0</v>
      </c>
      <c r="J183" s="821">
        <f>SUM(J177:J182)</f>
        <v>0</v>
      </c>
      <c r="K183" s="821">
        <f>SUM(K177:K182)</f>
        <v>0</v>
      </c>
      <c r="L183" s="819"/>
      <c r="M183" s="824">
        <f>SUM(M177:M182)</f>
        <v>0</v>
      </c>
      <c r="N183" s="824">
        <f>SUM(N177:N182)</f>
        <v>0</v>
      </c>
      <c r="O183" s="824">
        <f>SUM(O177:O182)</f>
        <v>0</v>
      </c>
      <c r="P183" s="819"/>
      <c r="Q183" s="821">
        <f>SUM(Q177:Q182)</f>
        <v>0</v>
      </c>
      <c r="R183" s="821">
        <f>SUM(R177:R182)</f>
        <v>0</v>
      </c>
      <c r="S183" s="821">
        <f>SUM(S177:S182)</f>
        <v>0</v>
      </c>
    </row>
    <row r="184" spans="1:19" ht="13" thickTop="1">
      <c r="A184" s="826">
        <f>A183+1</f>
        <v>13</v>
      </c>
      <c r="B184" s="20" t="s">
        <v>745</v>
      </c>
      <c r="C184" s="822">
        <f>C106+C139</f>
        <v>0</v>
      </c>
      <c r="D184" s="822">
        <f>D106+D139</f>
        <v>0</v>
      </c>
      <c r="E184" s="822">
        <f>E106+E139</f>
        <v>0</v>
      </c>
      <c r="F184" s="822">
        <f>F106+F139</f>
        <v>0</v>
      </c>
      <c r="G184" s="822">
        <f>G106+G139</f>
        <v>0</v>
      </c>
      <c r="H184" s="819"/>
      <c r="I184" s="822">
        <f>I106+I139</f>
        <v>0</v>
      </c>
      <c r="J184" s="822">
        <f>J106+J139</f>
        <v>0</v>
      </c>
      <c r="K184" s="822">
        <f>K106+K139</f>
        <v>0</v>
      </c>
      <c r="L184" s="819"/>
      <c r="M184" s="822">
        <f>M106+M139</f>
        <v>0</v>
      </c>
      <c r="N184" s="822">
        <v>0</v>
      </c>
      <c r="O184" s="822">
        <f>O106+O139</f>
        <v>0</v>
      </c>
      <c r="P184" s="819"/>
      <c r="Q184" s="822">
        <f>Q106+Q139</f>
        <v>0</v>
      </c>
      <c r="R184" s="822">
        <v>0</v>
      </c>
      <c r="S184" s="822">
        <f>S106+S139</f>
        <v>0</v>
      </c>
    </row>
    <row r="185" spans="1:19">
      <c r="A185" s="826"/>
      <c r="B185" s="812"/>
      <c r="C185" s="819"/>
      <c r="D185" s="819"/>
      <c r="E185" s="819"/>
      <c r="F185" s="819"/>
      <c r="G185" s="819"/>
      <c r="H185" s="819"/>
      <c r="I185" s="819"/>
      <c r="J185" s="819"/>
      <c r="K185" s="819"/>
      <c r="L185" s="819"/>
      <c r="M185" s="819"/>
      <c r="N185" s="819"/>
      <c r="O185" s="819"/>
      <c r="P185" s="819"/>
      <c r="Q185" s="819"/>
      <c r="R185" s="819"/>
      <c r="S185" s="819"/>
    </row>
    <row r="186" spans="1:19">
      <c r="A186" s="826">
        <f>+A184+1</f>
        <v>14</v>
      </c>
      <c r="B186" t="s">
        <v>735</v>
      </c>
      <c r="C186" s="819"/>
      <c r="D186" s="819"/>
      <c r="E186" s="819"/>
      <c r="F186" s="819"/>
      <c r="G186" s="819"/>
      <c r="H186" s="819"/>
      <c r="I186" s="819"/>
      <c r="J186" s="819"/>
      <c r="K186" s="819"/>
      <c r="L186" s="819"/>
      <c r="M186" s="819"/>
      <c r="N186" s="819"/>
      <c r="O186" s="819"/>
      <c r="P186" s="819"/>
      <c r="Q186" s="819"/>
      <c r="R186" s="819"/>
      <c r="S186" s="819"/>
    </row>
    <row r="187" spans="1:19">
      <c r="A187" s="826"/>
      <c r="B187" s="812"/>
      <c r="C187" s="819"/>
      <c r="D187" s="819"/>
      <c r="E187" s="819"/>
      <c r="F187" s="819"/>
      <c r="G187" s="819"/>
      <c r="H187" s="819"/>
      <c r="I187" s="819"/>
      <c r="J187" s="819"/>
      <c r="K187" s="819"/>
      <c r="L187" s="819"/>
      <c r="M187" s="819"/>
      <c r="N187" s="819"/>
      <c r="O187" s="819"/>
      <c r="P187" s="819"/>
      <c r="Q187" s="819"/>
      <c r="R187" s="819"/>
      <c r="S187" s="819"/>
    </row>
    <row r="188" spans="1:19">
      <c r="A188" s="826">
        <f>+A186+1</f>
        <v>15</v>
      </c>
      <c r="B188" t="s">
        <v>736</v>
      </c>
      <c r="C188" s="819"/>
      <c r="D188" s="819"/>
      <c r="E188" s="819"/>
      <c r="F188" s="819"/>
      <c r="G188" s="819"/>
      <c r="H188" s="819"/>
      <c r="I188" s="819"/>
      <c r="J188" s="819"/>
      <c r="K188" s="819"/>
      <c r="L188" s="819"/>
      <c r="M188" s="819"/>
      <c r="N188" s="819"/>
      <c r="O188" s="819"/>
      <c r="P188" s="819"/>
      <c r="Q188" s="819"/>
      <c r="R188" s="819"/>
      <c r="S188" s="819"/>
    </row>
    <row r="189" spans="1:19">
      <c r="A189" s="826"/>
      <c r="B189" s="812"/>
      <c r="C189" s="819"/>
      <c r="D189" s="823"/>
      <c r="E189" s="823"/>
      <c r="F189" s="823"/>
      <c r="G189" s="823"/>
      <c r="H189" s="823"/>
      <c r="I189" s="823"/>
      <c r="J189" s="823"/>
      <c r="K189" s="823"/>
      <c r="L189" s="823"/>
      <c r="M189" s="819"/>
      <c r="N189" s="819"/>
      <c r="O189" s="819"/>
      <c r="P189" s="819"/>
      <c r="Q189" s="819"/>
      <c r="R189" s="819"/>
      <c r="S189" s="819"/>
    </row>
    <row r="190" spans="1:19">
      <c r="A190" s="826">
        <f>+A188+1</f>
        <v>16</v>
      </c>
      <c r="B190" t="s">
        <v>737</v>
      </c>
      <c r="C190" s="819"/>
      <c r="D190" s="823"/>
      <c r="E190" s="823"/>
      <c r="F190" s="823"/>
      <c r="G190" s="823"/>
      <c r="H190" s="823"/>
      <c r="I190" s="823"/>
      <c r="J190" s="823"/>
      <c r="K190" s="823"/>
      <c r="L190" s="823"/>
      <c r="M190" s="819"/>
      <c r="N190" s="819"/>
      <c r="O190" s="819"/>
      <c r="P190" s="819"/>
      <c r="Q190" s="819"/>
      <c r="R190" s="819"/>
      <c r="S190" s="819"/>
    </row>
    <row r="191" spans="1:19">
      <c r="A191" s="826"/>
      <c r="B191" s="812"/>
      <c r="C191" s="819"/>
      <c r="D191" s="819"/>
      <c r="E191" s="819"/>
      <c r="F191" s="819"/>
      <c r="G191" s="819"/>
      <c r="H191" s="819"/>
      <c r="I191" s="819"/>
      <c r="J191" s="819"/>
      <c r="K191" s="819"/>
      <c r="L191" s="819"/>
      <c r="M191" s="819"/>
      <c r="N191" s="819"/>
      <c r="O191" s="819"/>
      <c r="P191" s="819"/>
      <c r="Q191" s="819"/>
      <c r="R191" s="819"/>
      <c r="S191" s="819"/>
    </row>
    <row r="192" spans="1:19">
      <c r="A192" s="826">
        <f>+A190+1</f>
        <v>17</v>
      </c>
      <c r="B192" t="s">
        <v>738</v>
      </c>
      <c r="C192" s="819"/>
      <c r="D192" s="819"/>
      <c r="E192" s="819"/>
      <c r="F192" s="819"/>
      <c r="G192" s="819"/>
      <c r="H192" s="819"/>
      <c r="I192" s="819"/>
      <c r="J192" s="819"/>
      <c r="K192" s="819"/>
      <c r="L192" s="819"/>
      <c r="M192" s="819"/>
      <c r="N192" s="819"/>
      <c r="O192" s="819"/>
      <c r="P192" s="819"/>
      <c r="Q192" s="819"/>
      <c r="R192" s="819"/>
      <c r="S192" s="819"/>
    </row>
    <row r="193" spans="1:19">
      <c r="A193" s="826">
        <f>A192+1</f>
        <v>18</v>
      </c>
      <c r="B193" t="s">
        <v>739</v>
      </c>
      <c r="C193" s="819"/>
      <c r="D193" s="819"/>
      <c r="E193" s="819"/>
      <c r="F193" s="819"/>
      <c r="G193" s="819"/>
      <c r="H193" s="819"/>
      <c r="I193" s="819"/>
      <c r="J193" s="819"/>
      <c r="K193" s="819"/>
      <c r="L193" s="819"/>
      <c r="M193" s="819"/>
      <c r="N193" s="819"/>
      <c r="O193" s="819"/>
      <c r="P193" s="819"/>
      <c r="Q193" s="651"/>
      <c r="R193" s="819"/>
      <c r="S193" s="819"/>
    </row>
    <row r="194" spans="1:19">
      <c r="A194" s="836">
        <f>A193+0.01</f>
        <v>18.010000000000002</v>
      </c>
      <c r="B194" s="651"/>
      <c r="C194" s="819">
        <f>SUM(M194:O194)</f>
        <v>0</v>
      </c>
      <c r="D194" s="819">
        <f>SUM(Q194:S194)</f>
        <v>0</v>
      </c>
      <c r="E194" s="819"/>
      <c r="F194" s="819"/>
      <c r="G194" s="819">
        <f>ROUND(SUM(C194:F194)/2,0)</f>
        <v>0</v>
      </c>
      <c r="H194" s="819"/>
      <c r="I194" s="819">
        <f t="shared" ref="I194:K195" si="24">(M194+Q194)/2</f>
        <v>0</v>
      </c>
      <c r="J194" s="819">
        <f t="shared" si="24"/>
        <v>0</v>
      </c>
      <c r="K194" s="819">
        <f t="shared" si="24"/>
        <v>0</v>
      </c>
      <c r="L194" s="819"/>
      <c r="M194" s="651"/>
      <c r="N194" s="651"/>
      <c r="O194" s="651"/>
      <c r="P194" s="819"/>
      <c r="Q194" s="651"/>
      <c r="R194" s="651"/>
      <c r="S194" s="651"/>
    </row>
    <row r="195" spans="1:19">
      <c r="A195" s="836">
        <f>A194+0.01</f>
        <v>18.020000000000003</v>
      </c>
      <c r="B195" s="651"/>
      <c r="C195" s="819">
        <f>SUM(M195:O195)</f>
        <v>0</v>
      </c>
      <c r="D195" s="819">
        <f>SUM(Q195:S195)</f>
        <v>0</v>
      </c>
      <c r="E195" s="819"/>
      <c r="F195" s="819"/>
      <c r="G195" s="819">
        <f>ROUND(SUM(C195:F195)/2,0)</f>
        <v>0</v>
      </c>
      <c r="H195" s="819"/>
      <c r="I195" s="819">
        <f t="shared" si="24"/>
        <v>0</v>
      </c>
      <c r="J195" s="819">
        <f t="shared" si="24"/>
        <v>0</v>
      </c>
      <c r="K195" s="819">
        <f t="shared" si="24"/>
        <v>0</v>
      </c>
      <c r="L195" s="819"/>
      <c r="M195" s="651"/>
      <c r="N195" s="651"/>
      <c r="O195" s="651"/>
      <c r="P195" s="819"/>
      <c r="Q195" s="651"/>
      <c r="R195" s="651"/>
      <c r="S195" s="651"/>
    </row>
    <row r="196" spans="1:19">
      <c r="A196" s="826">
        <f>INT(A195)+1</f>
        <v>19</v>
      </c>
      <c r="C196" s="819"/>
      <c r="D196" s="819"/>
      <c r="E196" s="819"/>
      <c r="F196" s="819"/>
      <c r="G196" s="819"/>
      <c r="H196" s="819"/>
      <c r="I196" s="819"/>
      <c r="J196" s="819"/>
      <c r="K196" s="819"/>
      <c r="L196" s="819"/>
      <c r="M196" s="819"/>
      <c r="N196" s="819"/>
      <c r="O196" s="819"/>
      <c r="P196" s="819"/>
      <c r="Q196" s="819"/>
      <c r="R196" s="819"/>
      <c r="S196" s="819"/>
    </row>
    <row r="197" spans="1:19">
      <c r="A197" s="826">
        <f>A196+1</f>
        <v>20</v>
      </c>
      <c r="B197" t="s">
        <v>740</v>
      </c>
      <c r="C197" s="821">
        <f>SUM(C194:C196)</f>
        <v>0</v>
      </c>
      <c r="D197" s="821">
        <f>SUM(D194:D196)</f>
        <v>0</v>
      </c>
      <c r="E197" s="821">
        <f>SUM(E194:E196)</f>
        <v>0</v>
      </c>
      <c r="F197" s="821">
        <f>SUM(F194:F196)</f>
        <v>0</v>
      </c>
      <c r="G197" s="821">
        <f>SUM(G194:G196)</f>
        <v>0</v>
      </c>
      <c r="H197" s="819"/>
      <c r="I197" s="821">
        <f>SUM(I194:I196)</f>
        <v>0</v>
      </c>
      <c r="J197" s="821">
        <f>SUM(J194:J196)</f>
        <v>0</v>
      </c>
      <c r="K197" s="821">
        <f>SUM(K194:K196)</f>
        <v>0</v>
      </c>
      <c r="L197" s="819"/>
      <c r="M197" s="821">
        <f>SUM(M194:M196)</f>
        <v>0</v>
      </c>
      <c r="N197" s="821">
        <f>SUM(N194:N196)</f>
        <v>0</v>
      </c>
      <c r="O197" s="821">
        <f>SUM(O194:O196)</f>
        <v>0</v>
      </c>
      <c r="P197" s="819"/>
      <c r="Q197" s="821">
        <f>SUM(Q194:Q196)</f>
        <v>0</v>
      </c>
      <c r="R197" s="821">
        <f>SUM(R194:R196)</f>
        <v>0</v>
      </c>
      <c r="S197" s="821">
        <f>SUM(S194:S196)</f>
        <v>0</v>
      </c>
    </row>
  </sheetData>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42"/>
  <sheetViews>
    <sheetView view="pageBreakPreview" zoomScale="60" zoomScaleNormal="60" workbookViewId="0">
      <selection activeCell="H84" sqref="H84"/>
    </sheetView>
  </sheetViews>
  <sheetFormatPr defaultRowHeight="12.5"/>
  <cols>
    <col min="1" max="1" width="6" customWidth="1"/>
    <col min="2" max="2" width="54.54296875" bestFit="1" customWidth="1"/>
    <col min="3" max="3" width="13.453125" bestFit="1" customWidth="1"/>
    <col min="4" max="4" width="12.81640625" bestFit="1" customWidth="1"/>
    <col min="5" max="6" width="17" customWidth="1"/>
    <col min="7" max="7" width="15.26953125" bestFit="1" customWidth="1"/>
    <col min="9" max="9" width="13.1796875" bestFit="1" customWidth="1"/>
    <col min="10" max="10" width="15" bestFit="1" customWidth="1"/>
    <col min="11" max="11" width="13.54296875" bestFit="1" customWidth="1"/>
    <col min="13" max="13" width="13.1796875" bestFit="1" customWidth="1"/>
    <col min="14" max="14" width="15" bestFit="1" customWidth="1"/>
    <col min="15" max="15" width="13.54296875" bestFit="1" customWidth="1"/>
    <col min="17" max="17" width="13.1796875" bestFit="1" customWidth="1"/>
    <col min="18" max="18" width="15" bestFit="1" customWidth="1"/>
    <col min="19" max="19" width="13.54296875" bestFit="1" customWidth="1"/>
  </cols>
  <sheetData>
    <row r="1" spans="1:19" ht="13">
      <c r="A1" s="827"/>
      <c r="B1" s="869" t="str">
        <f>TCOS!F9</f>
        <v>KENTUCKY POWER COMPANY</v>
      </c>
      <c r="C1" s="812"/>
      <c r="D1" s="812"/>
      <c r="E1" s="812"/>
      <c r="F1" s="812"/>
      <c r="M1" s="812"/>
      <c r="N1" s="812"/>
      <c r="P1" s="812"/>
      <c r="Q1" s="812"/>
      <c r="R1" s="812"/>
    </row>
    <row r="2" spans="1:19" ht="13">
      <c r="A2" s="827"/>
      <c r="B2" s="176" t="s">
        <v>828</v>
      </c>
      <c r="C2" s="812"/>
      <c r="D2" s="812"/>
      <c r="E2" s="812"/>
      <c r="F2" s="812"/>
      <c r="M2" s="812"/>
      <c r="N2" s="812"/>
      <c r="P2" s="812"/>
      <c r="Q2" s="812"/>
      <c r="R2" s="812"/>
    </row>
    <row r="3" spans="1:19" ht="13">
      <c r="A3" s="827"/>
      <c r="B3" s="176" t="str">
        <f>"PERIOD ENDED DECEMBER 31, "&amp;TCOS!L4</f>
        <v>PERIOD ENDED DECEMBER 31, 2024</v>
      </c>
      <c r="C3" s="812"/>
      <c r="D3" s="812"/>
      <c r="E3" s="812"/>
      <c r="F3" s="812"/>
      <c r="G3" s="812"/>
      <c r="H3" s="812"/>
      <c r="I3" s="812"/>
      <c r="J3" s="812"/>
      <c r="K3" s="812"/>
      <c r="L3" s="812"/>
      <c r="M3" s="812"/>
      <c r="N3" s="812"/>
      <c r="O3" s="812"/>
      <c r="P3" s="812"/>
      <c r="Q3" s="812"/>
      <c r="R3" s="812"/>
      <c r="S3" s="812"/>
    </row>
    <row r="4" spans="1:19">
      <c r="A4" s="827"/>
      <c r="B4" s="818"/>
      <c r="C4" s="812"/>
      <c r="D4" s="812"/>
      <c r="E4" s="812"/>
      <c r="F4" s="812"/>
      <c r="G4" s="1" t="s">
        <v>741</v>
      </c>
      <c r="H4" s="812"/>
      <c r="I4" s="812"/>
      <c r="J4" s="812"/>
      <c r="K4" s="812"/>
      <c r="L4" s="812"/>
      <c r="M4" s="812"/>
      <c r="N4" s="812"/>
      <c r="O4" s="812"/>
      <c r="P4" s="812"/>
      <c r="Q4" s="812"/>
      <c r="R4" s="812"/>
      <c r="S4" s="812"/>
    </row>
    <row r="5" spans="1:19">
      <c r="A5" s="827"/>
      <c r="B5" s="812"/>
      <c r="C5" s="812"/>
      <c r="D5" s="812"/>
      <c r="E5" s="812"/>
      <c r="F5" s="812"/>
      <c r="G5" s="812"/>
      <c r="H5" s="812"/>
      <c r="I5" s="812"/>
      <c r="J5" s="812"/>
      <c r="K5" s="812"/>
      <c r="L5" s="812"/>
      <c r="M5" s="812"/>
      <c r="N5" s="812"/>
      <c r="O5" s="812"/>
      <c r="P5" s="812"/>
      <c r="Q5" s="812"/>
      <c r="R5" s="812"/>
      <c r="S5" s="812"/>
    </row>
    <row r="6" spans="1:19">
      <c r="A6" s="827"/>
      <c r="B6" s="812"/>
      <c r="C6" s="812"/>
      <c r="D6" s="812"/>
      <c r="E6" s="812"/>
      <c r="F6" s="812"/>
      <c r="G6" s="812"/>
      <c r="H6" s="1"/>
      <c r="I6" s="1"/>
      <c r="J6" s="1"/>
      <c r="K6" s="1"/>
      <c r="L6" s="1"/>
      <c r="M6" s="812"/>
      <c r="N6" s="812"/>
      <c r="O6" s="812"/>
      <c r="P6" s="812"/>
      <c r="Q6" s="812"/>
      <c r="R6" s="812"/>
      <c r="S6" s="812"/>
    </row>
    <row r="7" spans="1:19">
      <c r="A7" s="827"/>
      <c r="B7" s="812"/>
      <c r="C7" s="812"/>
      <c r="D7" s="812"/>
      <c r="E7" s="812"/>
      <c r="F7" s="812"/>
      <c r="G7" s="812"/>
      <c r="H7" s="812"/>
      <c r="I7" s="812"/>
      <c r="J7" s="812"/>
      <c r="K7" s="812"/>
      <c r="L7" s="812"/>
      <c r="M7" s="812"/>
      <c r="N7" s="812"/>
      <c r="O7" s="812"/>
      <c r="P7" s="812"/>
      <c r="Q7" s="812"/>
      <c r="R7" s="812"/>
      <c r="S7" s="812"/>
    </row>
    <row r="8" spans="1:19">
      <c r="A8" s="827"/>
      <c r="B8" s="813" t="s">
        <v>701</v>
      </c>
      <c r="C8" s="813" t="s">
        <v>702</v>
      </c>
      <c r="D8" s="813" t="s">
        <v>703</v>
      </c>
      <c r="E8" s="813" t="s">
        <v>704</v>
      </c>
      <c r="F8" s="813" t="s">
        <v>705</v>
      </c>
      <c r="G8" s="813" t="s">
        <v>706</v>
      </c>
      <c r="H8" s="813"/>
      <c r="I8" s="813" t="s">
        <v>707</v>
      </c>
      <c r="J8" s="813" t="s">
        <v>708</v>
      </c>
      <c r="K8" s="813" t="s">
        <v>709</v>
      </c>
      <c r="L8" s="813"/>
      <c r="M8" s="813" t="s">
        <v>710</v>
      </c>
      <c r="N8" s="813" t="s">
        <v>711</v>
      </c>
      <c r="O8" s="813" t="s">
        <v>712</v>
      </c>
      <c r="P8" s="812"/>
      <c r="Q8" s="813" t="s">
        <v>713</v>
      </c>
      <c r="R8" s="813" t="s">
        <v>714</v>
      </c>
      <c r="S8" s="813" t="s">
        <v>715</v>
      </c>
    </row>
    <row r="9" spans="1:19">
      <c r="A9" s="827"/>
      <c r="B9" s="812"/>
      <c r="C9" s="812"/>
      <c r="D9" s="812"/>
      <c r="E9" s="812"/>
      <c r="F9" s="812"/>
      <c r="G9" s="812"/>
      <c r="H9" s="812"/>
      <c r="I9" s="812"/>
      <c r="J9" s="812"/>
      <c r="K9" s="812"/>
      <c r="L9" s="812"/>
      <c r="M9" s="812"/>
      <c r="N9" s="812"/>
      <c r="O9" s="812"/>
      <c r="P9" s="812"/>
      <c r="Q9" s="812"/>
      <c r="R9" s="812"/>
      <c r="S9" s="812"/>
    </row>
    <row r="10" spans="1:19">
      <c r="A10" s="827"/>
      <c r="B10" s="812"/>
      <c r="C10" s="814" t="s">
        <v>716</v>
      </c>
      <c r="D10" s="814"/>
      <c r="E10" s="815" t="s">
        <v>717</v>
      </c>
      <c r="F10" s="814"/>
      <c r="G10" s="1" t="s">
        <v>718</v>
      </c>
      <c r="H10" s="1"/>
      <c r="I10" s="814" t="s">
        <v>719</v>
      </c>
      <c r="J10" s="814"/>
      <c r="K10" s="814"/>
      <c r="L10" s="1"/>
      <c r="M10" s="816" t="str">
        <f>"FUNCTIONALIZATION 12/31/"&amp;TCOS!L4-1</f>
        <v>FUNCTIONALIZATION 12/31/2023</v>
      </c>
      <c r="N10" s="814"/>
      <c r="O10" s="814"/>
      <c r="P10" s="812"/>
      <c r="Q10" s="816" t="str">
        <f>"FUNCTIONALIZATION 12/31/"&amp;TCOS!L4</f>
        <v>FUNCTIONALIZATION 12/31/2024</v>
      </c>
      <c r="R10" s="814"/>
      <c r="S10" s="814"/>
    </row>
    <row r="11" spans="1:19">
      <c r="A11" s="827"/>
      <c r="B11" s="812"/>
      <c r="C11" s="817"/>
      <c r="D11" s="817"/>
      <c r="E11" s="812"/>
      <c r="F11" s="812"/>
      <c r="G11" s="1" t="s">
        <v>720</v>
      </c>
      <c r="H11" s="1"/>
      <c r="I11" s="817"/>
      <c r="J11" s="817"/>
      <c r="K11" s="817"/>
      <c r="L11" s="1"/>
      <c r="M11" s="817"/>
      <c r="N11" s="817"/>
      <c r="O11" s="817"/>
      <c r="P11" s="812"/>
      <c r="Q11" s="817"/>
      <c r="R11" s="817"/>
      <c r="S11" s="817"/>
    </row>
    <row r="12" spans="1:19">
      <c r="A12" s="827"/>
      <c r="B12" s="812"/>
      <c r="C12" s="1" t="s">
        <v>721</v>
      </c>
      <c r="D12" s="1" t="s">
        <v>721</v>
      </c>
      <c r="E12" s="1" t="s">
        <v>721</v>
      </c>
      <c r="F12" s="1" t="s">
        <v>721</v>
      </c>
      <c r="G12" s="1" t="s">
        <v>722</v>
      </c>
      <c r="H12" s="1"/>
      <c r="I12" s="812"/>
      <c r="J12" s="812"/>
      <c r="K12" s="812"/>
      <c r="L12" s="1"/>
      <c r="M12" s="812"/>
      <c r="N12" s="812"/>
      <c r="O12" s="812"/>
      <c r="P12" s="812"/>
      <c r="Q12" s="812"/>
      <c r="R12" s="812"/>
      <c r="S12" s="812"/>
    </row>
    <row r="13" spans="1:19">
      <c r="A13" s="827"/>
      <c r="B13" s="813" t="s">
        <v>723</v>
      </c>
      <c r="C13" s="813" t="str">
        <f>"OF 12-31-"&amp;TCOS!L4-1</f>
        <v>OF 12-31-2023</v>
      </c>
      <c r="D13" s="813" t="str">
        <f>"OF 12-31-"&amp;TCOS!L4</f>
        <v>OF 12-31-2024</v>
      </c>
      <c r="E13" s="813" t="str">
        <f>"OF 12-31-"&amp;TCOS!L4-1</f>
        <v>OF 12-31-2023</v>
      </c>
      <c r="F13" s="813" t="str">
        <f>"OF 12-31-"&amp;TCOS!L4</f>
        <v>OF 12-31-2024</v>
      </c>
      <c r="G13" s="813" t="s">
        <v>724</v>
      </c>
      <c r="H13" s="813"/>
      <c r="I13" s="813" t="s">
        <v>725</v>
      </c>
      <c r="J13" s="813" t="s">
        <v>726</v>
      </c>
      <c r="K13" s="813" t="s">
        <v>727</v>
      </c>
      <c r="L13" s="813"/>
      <c r="M13" s="813" t="s">
        <v>725</v>
      </c>
      <c r="N13" s="813" t="s">
        <v>726</v>
      </c>
      <c r="O13" s="813" t="s">
        <v>727</v>
      </c>
      <c r="P13" s="812"/>
      <c r="Q13" s="813" t="s">
        <v>725</v>
      </c>
      <c r="R13" s="813" t="s">
        <v>726</v>
      </c>
      <c r="S13" s="813" t="s">
        <v>727</v>
      </c>
    </row>
    <row r="14" spans="1:19">
      <c r="A14" s="827"/>
      <c r="B14" s="812"/>
      <c r="C14" s="812"/>
      <c r="D14" s="812"/>
      <c r="E14" s="812"/>
      <c r="F14" s="812"/>
      <c r="G14" s="812"/>
      <c r="H14" s="812"/>
      <c r="I14" s="812"/>
      <c r="J14" s="812"/>
      <c r="K14" s="812"/>
      <c r="L14" s="812"/>
      <c r="M14" s="812"/>
      <c r="N14" s="812"/>
      <c r="O14" s="812"/>
      <c r="P14" s="812"/>
      <c r="Q14" s="812"/>
      <c r="R14" s="812"/>
      <c r="S14" s="812"/>
    </row>
    <row r="15" spans="1:19">
      <c r="A15" s="142">
        <v>1</v>
      </c>
      <c r="B15" s="819" t="s">
        <v>742</v>
      </c>
      <c r="C15" s="819"/>
      <c r="D15" s="819"/>
      <c r="E15" s="819"/>
      <c r="F15" s="820"/>
      <c r="G15" s="819"/>
      <c r="H15" s="819"/>
      <c r="I15" s="819"/>
      <c r="J15" s="819"/>
      <c r="K15" s="819"/>
      <c r="L15" s="819"/>
      <c r="M15" s="819"/>
      <c r="N15" s="819"/>
      <c r="O15" s="819"/>
      <c r="P15" s="819"/>
      <c r="Q15" s="819"/>
      <c r="R15" s="819"/>
      <c r="S15" s="819"/>
    </row>
    <row r="16" spans="1:19">
      <c r="A16" s="142"/>
      <c r="B16" s="819"/>
      <c r="C16" s="819"/>
      <c r="D16" s="819"/>
      <c r="E16" s="819"/>
      <c r="F16" s="819"/>
      <c r="G16" s="819"/>
      <c r="H16" s="819"/>
      <c r="I16" s="819"/>
      <c r="J16" s="819"/>
      <c r="K16" s="819"/>
      <c r="L16" s="819"/>
      <c r="M16" s="819"/>
      <c r="N16" s="819"/>
      <c r="O16" s="819"/>
      <c r="P16" s="819"/>
      <c r="Q16" s="819"/>
      <c r="R16" s="819"/>
      <c r="S16" s="819"/>
    </row>
    <row r="17" spans="1:19">
      <c r="A17" s="836">
        <v>2.0099999999999998</v>
      </c>
      <c r="B17" s="651"/>
      <c r="C17" s="819">
        <f t="shared" ref="C17:C80" si="0">SUM(M17:O17)</f>
        <v>0</v>
      </c>
      <c r="D17" s="819">
        <f t="shared" ref="D17:D80" si="1">SUM(Q17:S17)</f>
        <v>0</v>
      </c>
      <c r="E17" s="819"/>
      <c r="F17" s="819"/>
      <c r="G17" s="819">
        <f t="shared" ref="G17:G80" si="2">ROUND(SUM(C17:F17)/2,0)</f>
        <v>0</v>
      </c>
      <c r="H17" s="819"/>
      <c r="I17" s="819">
        <f t="shared" ref="I17:K48" si="3">(M17+Q17)/2</f>
        <v>0</v>
      </c>
      <c r="J17" s="819">
        <f t="shared" si="3"/>
        <v>0</v>
      </c>
      <c r="K17" s="819">
        <f t="shared" si="3"/>
        <v>0</v>
      </c>
      <c r="L17" s="819"/>
      <c r="M17" s="651">
        <v>0</v>
      </c>
      <c r="N17" s="651">
        <v>0</v>
      </c>
      <c r="O17" s="651"/>
      <c r="P17" s="819"/>
      <c r="Q17" s="651">
        <v>0</v>
      </c>
      <c r="R17" s="651">
        <v>0</v>
      </c>
      <c r="S17" s="651"/>
    </row>
    <row r="18" spans="1:19">
      <c r="A18" s="836">
        <f>A17+0.01</f>
        <v>2.0199999999999996</v>
      </c>
      <c r="B18" s="651"/>
      <c r="C18" s="819">
        <f t="shared" si="0"/>
        <v>0</v>
      </c>
      <c r="D18" s="819">
        <f t="shared" si="1"/>
        <v>0</v>
      </c>
      <c r="E18" s="819"/>
      <c r="F18" s="819"/>
      <c r="G18" s="819">
        <f t="shared" si="2"/>
        <v>0</v>
      </c>
      <c r="H18" s="819"/>
      <c r="I18" s="819">
        <f t="shared" si="3"/>
        <v>0</v>
      </c>
      <c r="J18" s="819">
        <f t="shared" si="3"/>
        <v>0</v>
      </c>
      <c r="K18" s="819">
        <f t="shared" si="3"/>
        <v>0</v>
      </c>
      <c r="L18" s="819"/>
      <c r="M18" s="651"/>
      <c r="N18" s="651">
        <v>0</v>
      </c>
      <c r="O18" s="651"/>
      <c r="P18" s="819"/>
      <c r="Q18" s="651"/>
      <c r="R18" s="651">
        <v>0</v>
      </c>
      <c r="S18" s="651"/>
    </row>
    <row r="19" spans="1:19">
      <c r="A19" s="836">
        <f t="shared" ref="A19:A82" si="4">A18+0.01</f>
        <v>2.0299999999999994</v>
      </c>
      <c r="B19" s="651"/>
      <c r="C19" s="819">
        <f t="shared" si="0"/>
        <v>0</v>
      </c>
      <c r="D19" s="819">
        <f t="shared" si="1"/>
        <v>0</v>
      </c>
      <c r="E19" s="819"/>
      <c r="F19" s="819"/>
      <c r="G19" s="819">
        <f t="shared" si="2"/>
        <v>0</v>
      </c>
      <c r="H19" s="819"/>
      <c r="I19" s="819">
        <f t="shared" si="3"/>
        <v>0</v>
      </c>
      <c r="J19" s="819">
        <f t="shared" si="3"/>
        <v>0</v>
      </c>
      <c r="K19" s="819">
        <f t="shared" si="3"/>
        <v>0</v>
      </c>
      <c r="L19" s="819"/>
      <c r="M19" s="651"/>
      <c r="N19" s="651"/>
      <c r="O19" s="651"/>
      <c r="P19" s="819"/>
      <c r="Q19" s="651"/>
      <c r="R19" s="651"/>
      <c r="S19" s="651"/>
    </row>
    <row r="20" spans="1:19">
      <c r="A20" s="836">
        <f t="shared" si="4"/>
        <v>2.0399999999999991</v>
      </c>
      <c r="B20" s="651"/>
      <c r="C20" s="819">
        <f t="shared" si="0"/>
        <v>0</v>
      </c>
      <c r="D20" s="819">
        <f t="shared" si="1"/>
        <v>0</v>
      </c>
      <c r="E20" s="819"/>
      <c r="F20" s="819"/>
      <c r="G20" s="819">
        <f t="shared" si="2"/>
        <v>0</v>
      </c>
      <c r="H20" s="819"/>
      <c r="I20" s="819">
        <f t="shared" si="3"/>
        <v>0</v>
      </c>
      <c r="J20" s="819">
        <f t="shared" si="3"/>
        <v>0</v>
      </c>
      <c r="K20" s="819">
        <f t="shared" si="3"/>
        <v>0</v>
      </c>
      <c r="L20" s="819"/>
      <c r="M20" s="651"/>
      <c r="N20" s="651"/>
      <c r="O20" s="651"/>
      <c r="P20" s="819"/>
      <c r="Q20" s="651"/>
      <c r="R20" s="651"/>
      <c r="S20" s="651"/>
    </row>
    <row r="21" spans="1:19">
      <c r="A21" s="836">
        <f t="shared" si="4"/>
        <v>2.0499999999999989</v>
      </c>
      <c r="B21" s="651"/>
      <c r="C21" s="819">
        <f t="shared" si="0"/>
        <v>0</v>
      </c>
      <c r="D21" s="819">
        <f t="shared" si="1"/>
        <v>0</v>
      </c>
      <c r="E21" s="819"/>
      <c r="F21" s="819"/>
      <c r="G21" s="819">
        <f t="shared" si="2"/>
        <v>0</v>
      </c>
      <c r="H21" s="819"/>
      <c r="I21" s="819">
        <f t="shared" si="3"/>
        <v>0</v>
      </c>
      <c r="J21" s="819">
        <f t="shared" si="3"/>
        <v>0</v>
      </c>
      <c r="K21" s="819">
        <f t="shared" si="3"/>
        <v>0</v>
      </c>
      <c r="L21" s="819"/>
      <c r="M21" s="651"/>
      <c r="N21" s="651"/>
      <c r="O21" s="651"/>
      <c r="P21" s="819"/>
      <c r="Q21" s="651"/>
      <c r="R21" s="651"/>
      <c r="S21" s="651"/>
    </row>
    <row r="22" spans="1:19">
      <c r="A22" s="836">
        <f t="shared" si="4"/>
        <v>2.0599999999999987</v>
      </c>
      <c r="B22" s="651"/>
      <c r="C22" s="819">
        <f t="shared" si="0"/>
        <v>0</v>
      </c>
      <c r="D22" s="819">
        <f t="shared" si="1"/>
        <v>0</v>
      </c>
      <c r="E22" s="819"/>
      <c r="F22" s="819"/>
      <c r="G22" s="819">
        <f t="shared" si="2"/>
        <v>0</v>
      </c>
      <c r="H22" s="819"/>
      <c r="I22" s="819">
        <f t="shared" si="3"/>
        <v>0</v>
      </c>
      <c r="J22" s="819">
        <f t="shared" si="3"/>
        <v>0</v>
      </c>
      <c r="K22" s="819">
        <f t="shared" si="3"/>
        <v>0</v>
      </c>
      <c r="L22" s="819"/>
      <c r="M22" s="651"/>
      <c r="N22" s="651"/>
      <c r="O22" s="651"/>
      <c r="P22" s="819"/>
      <c r="Q22" s="651"/>
      <c r="R22" s="651"/>
      <c r="S22" s="651"/>
    </row>
    <row r="23" spans="1:19">
      <c r="A23" s="836">
        <f t="shared" si="4"/>
        <v>2.0699999999999985</v>
      </c>
      <c r="B23" s="651"/>
      <c r="C23" s="819">
        <f t="shared" si="0"/>
        <v>0</v>
      </c>
      <c r="D23" s="819">
        <f t="shared" si="1"/>
        <v>0</v>
      </c>
      <c r="E23" s="819"/>
      <c r="F23" s="819"/>
      <c r="G23" s="819">
        <f t="shared" si="2"/>
        <v>0</v>
      </c>
      <c r="H23" s="819"/>
      <c r="I23" s="819">
        <f t="shared" si="3"/>
        <v>0</v>
      </c>
      <c r="J23" s="819">
        <f t="shared" si="3"/>
        <v>0</v>
      </c>
      <c r="K23" s="819">
        <f t="shared" si="3"/>
        <v>0</v>
      </c>
      <c r="L23" s="819"/>
      <c r="M23" s="651"/>
      <c r="N23" s="651"/>
      <c r="O23" s="651"/>
      <c r="P23" s="819"/>
      <c r="Q23" s="651"/>
      <c r="R23" s="651"/>
      <c r="S23" s="651"/>
    </row>
    <row r="24" spans="1:19">
      <c r="A24" s="836">
        <f t="shared" si="4"/>
        <v>2.0799999999999983</v>
      </c>
      <c r="B24" s="651"/>
      <c r="C24" s="819">
        <f t="shared" si="0"/>
        <v>0</v>
      </c>
      <c r="D24" s="819">
        <f t="shared" si="1"/>
        <v>0</v>
      </c>
      <c r="E24" s="819"/>
      <c r="F24" s="819"/>
      <c r="G24" s="819">
        <f t="shared" si="2"/>
        <v>0</v>
      </c>
      <c r="H24" s="819"/>
      <c r="I24" s="819">
        <f t="shared" si="3"/>
        <v>0</v>
      </c>
      <c r="J24" s="819">
        <f t="shared" si="3"/>
        <v>0</v>
      </c>
      <c r="K24" s="819">
        <f t="shared" si="3"/>
        <v>0</v>
      </c>
      <c r="L24" s="819"/>
      <c r="M24" s="651"/>
      <c r="N24" s="651"/>
      <c r="O24" s="651"/>
      <c r="P24" s="819"/>
      <c r="Q24" s="651"/>
      <c r="R24" s="651"/>
      <c r="S24" s="651"/>
    </row>
    <row r="25" spans="1:19">
      <c r="A25" s="836">
        <f t="shared" si="4"/>
        <v>2.0899999999999981</v>
      </c>
      <c r="B25" s="651"/>
      <c r="C25" s="819">
        <f t="shared" si="0"/>
        <v>0</v>
      </c>
      <c r="D25" s="819">
        <f t="shared" si="1"/>
        <v>0</v>
      </c>
      <c r="E25" s="819"/>
      <c r="F25" s="819"/>
      <c r="G25" s="819">
        <f t="shared" si="2"/>
        <v>0</v>
      </c>
      <c r="H25" s="819"/>
      <c r="I25" s="819">
        <f t="shared" si="3"/>
        <v>0</v>
      </c>
      <c r="J25" s="819">
        <f t="shared" si="3"/>
        <v>0</v>
      </c>
      <c r="K25" s="819">
        <f t="shared" si="3"/>
        <v>0</v>
      </c>
      <c r="L25" s="819"/>
      <c r="M25" s="651"/>
      <c r="N25" s="651"/>
      <c r="O25" s="651"/>
      <c r="P25" s="819"/>
      <c r="Q25" s="651"/>
      <c r="R25" s="651"/>
      <c r="S25" s="651"/>
    </row>
    <row r="26" spans="1:19">
      <c r="A26" s="836">
        <f t="shared" si="4"/>
        <v>2.0999999999999979</v>
      </c>
      <c r="B26" s="651"/>
      <c r="C26" s="819">
        <f t="shared" si="0"/>
        <v>0</v>
      </c>
      <c r="D26" s="819">
        <f t="shared" si="1"/>
        <v>0</v>
      </c>
      <c r="E26" s="819"/>
      <c r="F26" s="819"/>
      <c r="G26" s="819">
        <f t="shared" si="2"/>
        <v>0</v>
      </c>
      <c r="H26" s="819"/>
      <c r="I26" s="819">
        <f t="shared" si="3"/>
        <v>0</v>
      </c>
      <c r="J26" s="819">
        <f t="shared" si="3"/>
        <v>0</v>
      </c>
      <c r="K26" s="819">
        <f t="shared" si="3"/>
        <v>0</v>
      </c>
      <c r="L26" s="819"/>
      <c r="M26" s="651"/>
      <c r="N26" s="651"/>
      <c r="O26" s="651"/>
      <c r="P26" s="819"/>
      <c r="Q26" s="651"/>
      <c r="R26" s="651"/>
      <c r="S26" s="651"/>
    </row>
    <row r="27" spans="1:19">
      <c r="A27" s="836">
        <f t="shared" si="4"/>
        <v>2.1099999999999977</v>
      </c>
      <c r="B27" s="651"/>
      <c r="C27" s="819">
        <f t="shared" si="0"/>
        <v>0</v>
      </c>
      <c r="D27" s="819">
        <f t="shared" si="1"/>
        <v>0</v>
      </c>
      <c r="E27" s="819"/>
      <c r="F27" s="819"/>
      <c r="G27" s="819">
        <f t="shared" si="2"/>
        <v>0</v>
      </c>
      <c r="H27" s="819"/>
      <c r="I27" s="819">
        <f t="shared" si="3"/>
        <v>0</v>
      </c>
      <c r="J27" s="819">
        <f t="shared" si="3"/>
        <v>0</v>
      </c>
      <c r="K27" s="819">
        <f t="shared" si="3"/>
        <v>0</v>
      </c>
      <c r="L27" s="819"/>
      <c r="M27" s="651"/>
      <c r="N27" s="651"/>
      <c r="O27" s="651"/>
      <c r="P27" s="819"/>
      <c r="Q27" s="651"/>
      <c r="R27" s="651"/>
      <c r="S27" s="651"/>
    </row>
    <row r="28" spans="1:19">
      <c r="A28" s="836">
        <f t="shared" si="4"/>
        <v>2.1199999999999974</v>
      </c>
      <c r="B28" s="651"/>
      <c r="C28" s="819">
        <f t="shared" si="0"/>
        <v>0</v>
      </c>
      <c r="D28" s="819">
        <f t="shared" si="1"/>
        <v>0</v>
      </c>
      <c r="E28" s="819"/>
      <c r="F28" s="819"/>
      <c r="G28" s="819">
        <f t="shared" si="2"/>
        <v>0</v>
      </c>
      <c r="H28" s="819"/>
      <c r="I28" s="819">
        <f t="shared" si="3"/>
        <v>0</v>
      </c>
      <c r="J28" s="819">
        <f t="shared" si="3"/>
        <v>0</v>
      </c>
      <c r="K28" s="819">
        <f t="shared" si="3"/>
        <v>0</v>
      </c>
      <c r="L28" s="819"/>
      <c r="M28" s="651"/>
      <c r="N28" s="651"/>
      <c r="O28" s="651"/>
      <c r="P28" s="819"/>
      <c r="Q28" s="651"/>
      <c r="R28" s="651"/>
      <c r="S28" s="651"/>
    </row>
    <row r="29" spans="1:19">
      <c r="A29" s="836">
        <f t="shared" si="4"/>
        <v>2.1299999999999972</v>
      </c>
      <c r="B29" s="651"/>
      <c r="C29" s="819">
        <f t="shared" si="0"/>
        <v>0</v>
      </c>
      <c r="D29" s="819">
        <f t="shared" si="1"/>
        <v>0</v>
      </c>
      <c r="E29" s="819"/>
      <c r="F29" s="819"/>
      <c r="G29" s="819">
        <f t="shared" si="2"/>
        <v>0</v>
      </c>
      <c r="H29" s="819"/>
      <c r="I29" s="819">
        <f t="shared" si="3"/>
        <v>0</v>
      </c>
      <c r="J29" s="819">
        <f t="shared" si="3"/>
        <v>0</v>
      </c>
      <c r="K29" s="819">
        <f t="shared" si="3"/>
        <v>0</v>
      </c>
      <c r="L29" s="819"/>
      <c r="M29" s="651"/>
      <c r="N29" s="651"/>
      <c r="O29" s="651"/>
      <c r="P29" s="819"/>
      <c r="Q29" s="651"/>
      <c r="R29" s="651"/>
      <c r="S29" s="651"/>
    </row>
    <row r="30" spans="1:19">
      <c r="A30" s="836">
        <f t="shared" si="4"/>
        <v>2.139999999999997</v>
      </c>
      <c r="B30" s="651"/>
      <c r="C30" s="819">
        <f t="shared" si="0"/>
        <v>0</v>
      </c>
      <c r="D30" s="819">
        <f t="shared" si="1"/>
        <v>0</v>
      </c>
      <c r="E30" s="819"/>
      <c r="F30" s="819"/>
      <c r="G30" s="819">
        <f t="shared" si="2"/>
        <v>0</v>
      </c>
      <c r="H30" s="819"/>
      <c r="I30" s="819">
        <f t="shared" si="3"/>
        <v>0</v>
      </c>
      <c r="J30" s="819">
        <f t="shared" si="3"/>
        <v>0</v>
      </c>
      <c r="K30" s="819">
        <f t="shared" si="3"/>
        <v>0</v>
      </c>
      <c r="L30" s="819"/>
      <c r="M30" s="651"/>
      <c r="N30" s="651"/>
      <c r="O30" s="651"/>
      <c r="P30" s="819"/>
      <c r="Q30" s="651"/>
      <c r="R30" s="651"/>
      <c r="S30" s="651"/>
    </row>
    <row r="31" spans="1:19">
      <c r="A31" s="836">
        <f t="shared" si="4"/>
        <v>2.1499999999999968</v>
      </c>
      <c r="B31" s="651"/>
      <c r="C31" s="819">
        <f t="shared" si="0"/>
        <v>0</v>
      </c>
      <c r="D31" s="819">
        <f t="shared" si="1"/>
        <v>0</v>
      </c>
      <c r="E31" s="819"/>
      <c r="F31" s="819"/>
      <c r="G31" s="819">
        <f t="shared" si="2"/>
        <v>0</v>
      </c>
      <c r="H31" s="819"/>
      <c r="I31" s="819">
        <f t="shared" si="3"/>
        <v>0</v>
      </c>
      <c r="J31" s="819">
        <f t="shared" si="3"/>
        <v>0</v>
      </c>
      <c r="K31" s="819">
        <f t="shared" si="3"/>
        <v>0</v>
      </c>
      <c r="L31" s="819"/>
      <c r="M31" s="651"/>
      <c r="N31" s="651"/>
      <c r="O31" s="651"/>
      <c r="P31" s="819"/>
      <c r="Q31" s="651"/>
      <c r="R31" s="651"/>
      <c r="S31" s="651"/>
    </row>
    <row r="32" spans="1:19">
      <c r="A32" s="836">
        <f t="shared" si="4"/>
        <v>2.1599999999999966</v>
      </c>
      <c r="B32" s="651"/>
      <c r="C32" s="819">
        <f t="shared" si="0"/>
        <v>0</v>
      </c>
      <c r="D32" s="819">
        <f t="shared" si="1"/>
        <v>0</v>
      </c>
      <c r="E32" s="819"/>
      <c r="F32" s="819"/>
      <c r="G32" s="819">
        <f t="shared" si="2"/>
        <v>0</v>
      </c>
      <c r="H32" s="819"/>
      <c r="I32" s="819">
        <f t="shared" si="3"/>
        <v>0</v>
      </c>
      <c r="J32" s="819">
        <f t="shared" si="3"/>
        <v>0</v>
      </c>
      <c r="K32" s="819">
        <f t="shared" si="3"/>
        <v>0</v>
      </c>
      <c r="L32" s="819"/>
      <c r="M32" s="651"/>
      <c r="N32" s="651"/>
      <c r="O32" s="651"/>
      <c r="P32" s="819"/>
      <c r="Q32" s="651"/>
      <c r="R32" s="651"/>
      <c r="S32" s="651"/>
    </row>
    <row r="33" spans="1:19">
      <c r="A33" s="836">
        <f t="shared" si="4"/>
        <v>2.1699999999999964</v>
      </c>
      <c r="B33" s="651"/>
      <c r="C33" s="819">
        <f t="shared" si="0"/>
        <v>0</v>
      </c>
      <c r="D33" s="819">
        <f t="shared" si="1"/>
        <v>0</v>
      </c>
      <c r="E33" s="819"/>
      <c r="F33" s="819"/>
      <c r="G33" s="819">
        <f t="shared" si="2"/>
        <v>0</v>
      </c>
      <c r="H33" s="819"/>
      <c r="I33" s="819">
        <f t="shared" si="3"/>
        <v>0</v>
      </c>
      <c r="J33" s="819">
        <f t="shared" si="3"/>
        <v>0</v>
      </c>
      <c r="K33" s="819">
        <f t="shared" si="3"/>
        <v>0</v>
      </c>
      <c r="L33" s="819"/>
      <c r="M33" s="651"/>
      <c r="N33" s="651"/>
      <c r="O33" s="651"/>
      <c r="P33" s="819"/>
      <c r="Q33" s="651"/>
      <c r="R33" s="651"/>
      <c r="S33" s="651"/>
    </row>
    <row r="34" spans="1:19">
      <c r="A34" s="836">
        <f t="shared" si="4"/>
        <v>2.1799999999999962</v>
      </c>
      <c r="B34" s="651"/>
      <c r="C34" s="819">
        <f t="shared" si="0"/>
        <v>0</v>
      </c>
      <c r="D34" s="819">
        <f t="shared" si="1"/>
        <v>0</v>
      </c>
      <c r="E34" s="819"/>
      <c r="F34" s="819"/>
      <c r="G34" s="819">
        <f t="shared" si="2"/>
        <v>0</v>
      </c>
      <c r="H34" s="819"/>
      <c r="I34" s="819">
        <f t="shared" si="3"/>
        <v>0</v>
      </c>
      <c r="J34" s="819">
        <f t="shared" si="3"/>
        <v>0</v>
      </c>
      <c r="K34" s="819">
        <f t="shared" si="3"/>
        <v>0</v>
      </c>
      <c r="L34" s="819"/>
      <c r="M34" s="651"/>
      <c r="N34" s="651"/>
      <c r="O34" s="651"/>
      <c r="P34" s="819"/>
      <c r="Q34" s="651"/>
      <c r="R34" s="651"/>
      <c r="S34" s="651"/>
    </row>
    <row r="35" spans="1:19">
      <c r="A35" s="836">
        <f t="shared" si="4"/>
        <v>2.1899999999999959</v>
      </c>
      <c r="B35" s="651"/>
      <c r="C35" s="819">
        <f t="shared" si="0"/>
        <v>0</v>
      </c>
      <c r="D35" s="819">
        <f t="shared" si="1"/>
        <v>0</v>
      </c>
      <c r="E35" s="819"/>
      <c r="F35" s="819"/>
      <c r="G35" s="819">
        <f t="shared" si="2"/>
        <v>0</v>
      </c>
      <c r="H35" s="819"/>
      <c r="I35" s="819">
        <f t="shared" si="3"/>
        <v>0</v>
      </c>
      <c r="J35" s="819">
        <f t="shared" si="3"/>
        <v>0</v>
      </c>
      <c r="K35" s="819">
        <f t="shared" si="3"/>
        <v>0</v>
      </c>
      <c r="L35" s="819"/>
      <c r="M35" s="651"/>
      <c r="N35" s="651"/>
      <c r="O35" s="651"/>
      <c r="P35" s="819"/>
      <c r="Q35" s="651"/>
      <c r="R35" s="651"/>
      <c r="S35" s="651"/>
    </row>
    <row r="36" spans="1:19">
      <c r="A36" s="836">
        <f t="shared" si="4"/>
        <v>2.1999999999999957</v>
      </c>
      <c r="B36" s="651"/>
      <c r="C36" s="819">
        <f t="shared" si="0"/>
        <v>0</v>
      </c>
      <c r="D36" s="819">
        <f t="shared" si="1"/>
        <v>0</v>
      </c>
      <c r="E36" s="819"/>
      <c r="F36" s="819"/>
      <c r="G36" s="819">
        <f t="shared" si="2"/>
        <v>0</v>
      </c>
      <c r="H36" s="819"/>
      <c r="I36" s="819">
        <f t="shared" si="3"/>
        <v>0</v>
      </c>
      <c r="J36" s="819">
        <f t="shared" si="3"/>
        <v>0</v>
      </c>
      <c r="K36" s="819">
        <f t="shared" si="3"/>
        <v>0</v>
      </c>
      <c r="L36" s="819"/>
      <c r="M36" s="651"/>
      <c r="N36" s="651"/>
      <c r="O36" s="651"/>
      <c r="P36" s="819"/>
      <c r="Q36" s="651"/>
      <c r="R36" s="651"/>
      <c r="S36" s="651"/>
    </row>
    <row r="37" spans="1:19">
      <c r="A37" s="836">
        <f t="shared" si="4"/>
        <v>2.2099999999999955</v>
      </c>
      <c r="B37" s="651"/>
      <c r="C37" s="819">
        <f t="shared" si="0"/>
        <v>0</v>
      </c>
      <c r="D37" s="819">
        <f t="shared" si="1"/>
        <v>0</v>
      </c>
      <c r="E37" s="819"/>
      <c r="F37" s="819"/>
      <c r="G37" s="819">
        <f t="shared" si="2"/>
        <v>0</v>
      </c>
      <c r="H37" s="819"/>
      <c r="I37" s="819">
        <f t="shared" si="3"/>
        <v>0</v>
      </c>
      <c r="J37" s="819">
        <f t="shared" si="3"/>
        <v>0</v>
      </c>
      <c r="K37" s="819">
        <f t="shared" si="3"/>
        <v>0</v>
      </c>
      <c r="L37" s="819"/>
      <c r="M37" s="651"/>
      <c r="N37" s="651"/>
      <c r="O37" s="651"/>
      <c r="P37" s="819"/>
      <c r="Q37" s="651"/>
      <c r="R37" s="651"/>
      <c r="S37" s="651"/>
    </row>
    <row r="38" spans="1:19">
      <c r="A38" s="836">
        <f t="shared" si="4"/>
        <v>2.2199999999999953</v>
      </c>
      <c r="B38" s="651"/>
      <c r="C38" s="819">
        <f t="shared" si="0"/>
        <v>0</v>
      </c>
      <c r="D38" s="819">
        <f t="shared" si="1"/>
        <v>0</v>
      </c>
      <c r="E38" s="819"/>
      <c r="F38" s="819"/>
      <c r="G38" s="819">
        <f t="shared" si="2"/>
        <v>0</v>
      </c>
      <c r="H38" s="819"/>
      <c r="I38" s="819">
        <f t="shared" si="3"/>
        <v>0</v>
      </c>
      <c r="J38" s="819">
        <f t="shared" si="3"/>
        <v>0</v>
      </c>
      <c r="K38" s="819">
        <f t="shared" si="3"/>
        <v>0</v>
      </c>
      <c r="L38" s="819"/>
      <c r="M38" s="651"/>
      <c r="N38" s="651"/>
      <c r="O38" s="651"/>
      <c r="P38" s="819"/>
      <c r="Q38" s="651"/>
      <c r="R38" s="651"/>
      <c r="S38" s="651"/>
    </row>
    <row r="39" spans="1:19">
      <c r="A39" s="836">
        <f t="shared" si="4"/>
        <v>2.2299999999999951</v>
      </c>
      <c r="B39" s="651"/>
      <c r="C39" s="819">
        <f t="shared" si="0"/>
        <v>0</v>
      </c>
      <c r="D39" s="819">
        <f t="shared" si="1"/>
        <v>0</v>
      </c>
      <c r="E39" s="819"/>
      <c r="F39" s="819"/>
      <c r="G39" s="819">
        <f t="shared" si="2"/>
        <v>0</v>
      </c>
      <c r="H39" s="819"/>
      <c r="I39" s="819">
        <f t="shared" si="3"/>
        <v>0</v>
      </c>
      <c r="J39" s="819">
        <f t="shared" si="3"/>
        <v>0</v>
      </c>
      <c r="K39" s="819">
        <f t="shared" si="3"/>
        <v>0</v>
      </c>
      <c r="L39" s="819"/>
      <c r="M39" s="651"/>
      <c r="N39" s="651"/>
      <c r="O39" s="651"/>
      <c r="P39" s="819"/>
      <c r="Q39" s="651"/>
      <c r="R39" s="651"/>
      <c r="S39" s="651"/>
    </row>
    <row r="40" spans="1:19">
      <c r="A40" s="836">
        <f t="shared" si="4"/>
        <v>2.2399999999999949</v>
      </c>
      <c r="B40" s="651"/>
      <c r="C40" s="819">
        <f t="shared" si="0"/>
        <v>0</v>
      </c>
      <c r="D40" s="819">
        <f t="shared" si="1"/>
        <v>0</v>
      </c>
      <c r="E40" s="819"/>
      <c r="F40" s="819"/>
      <c r="G40" s="819">
        <f t="shared" si="2"/>
        <v>0</v>
      </c>
      <c r="H40" s="819"/>
      <c r="I40" s="819">
        <f t="shared" si="3"/>
        <v>0</v>
      </c>
      <c r="J40" s="819">
        <f t="shared" si="3"/>
        <v>0</v>
      </c>
      <c r="K40" s="819">
        <f t="shared" si="3"/>
        <v>0</v>
      </c>
      <c r="L40" s="819"/>
      <c r="M40" s="651"/>
      <c r="N40" s="651"/>
      <c r="O40" s="651"/>
      <c r="P40" s="819"/>
      <c r="Q40" s="651"/>
      <c r="R40" s="651"/>
      <c r="S40" s="651"/>
    </row>
    <row r="41" spans="1:19">
      <c r="A41" s="836">
        <f t="shared" si="4"/>
        <v>2.2499999999999947</v>
      </c>
      <c r="B41" s="651"/>
      <c r="C41" s="819">
        <f t="shared" si="0"/>
        <v>0</v>
      </c>
      <c r="D41" s="819">
        <f t="shared" si="1"/>
        <v>0</v>
      </c>
      <c r="E41" s="819"/>
      <c r="F41" s="819"/>
      <c r="G41" s="819">
        <f t="shared" si="2"/>
        <v>0</v>
      </c>
      <c r="H41" s="819"/>
      <c r="I41" s="819">
        <f t="shared" si="3"/>
        <v>0</v>
      </c>
      <c r="J41" s="819">
        <f t="shared" si="3"/>
        <v>0</v>
      </c>
      <c r="K41" s="819">
        <f t="shared" si="3"/>
        <v>0</v>
      </c>
      <c r="L41" s="819"/>
      <c r="M41" s="651"/>
      <c r="N41" s="651"/>
      <c r="O41" s="651"/>
      <c r="P41" s="819"/>
      <c r="Q41" s="651"/>
      <c r="R41" s="651"/>
      <c r="S41" s="651"/>
    </row>
    <row r="42" spans="1:19">
      <c r="A42" s="836">
        <f t="shared" si="4"/>
        <v>2.2599999999999945</v>
      </c>
      <c r="B42" s="651"/>
      <c r="C42" s="819">
        <f t="shared" si="0"/>
        <v>0</v>
      </c>
      <c r="D42" s="819">
        <f t="shared" si="1"/>
        <v>0</v>
      </c>
      <c r="E42" s="819"/>
      <c r="F42" s="819"/>
      <c r="G42" s="819">
        <f t="shared" si="2"/>
        <v>0</v>
      </c>
      <c r="H42" s="819"/>
      <c r="I42" s="819">
        <f t="shared" si="3"/>
        <v>0</v>
      </c>
      <c r="J42" s="819">
        <f t="shared" si="3"/>
        <v>0</v>
      </c>
      <c r="K42" s="819">
        <f t="shared" si="3"/>
        <v>0</v>
      </c>
      <c r="L42" s="819"/>
      <c r="M42" s="651"/>
      <c r="N42" s="651"/>
      <c r="O42" s="651"/>
      <c r="P42" s="819"/>
      <c r="Q42" s="651"/>
      <c r="R42" s="651"/>
      <c r="S42" s="651"/>
    </row>
    <row r="43" spans="1:19">
      <c r="A43" s="836">
        <f t="shared" si="4"/>
        <v>2.2699999999999942</v>
      </c>
      <c r="B43" s="651"/>
      <c r="C43" s="819">
        <f t="shared" si="0"/>
        <v>0</v>
      </c>
      <c r="D43" s="819">
        <f t="shared" si="1"/>
        <v>0</v>
      </c>
      <c r="E43" s="819"/>
      <c r="F43" s="819"/>
      <c r="G43" s="819">
        <f t="shared" si="2"/>
        <v>0</v>
      </c>
      <c r="H43" s="819"/>
      <c r="I43" s="819">
        <f t="shared" si="3"/>
        <v>0</v>
      </c>
      <c r="J43" s="819">
        <f t="shared" si="3"/>
        <v>0</v>
      </c>
      <c r="K43" s="819">
        <f t="shared" si="3"/>
        <v>0</v>
      </c>
      <c r="L43" s="819"/>
      <c r="M43" s="651"/>
      <c r="N43" s="651"/>
      <c r="O43" s="651"/>
      <c r="P43" s="819"/>
      <c r="Q43" s="651"/>
      <c r="R43" s="651"/>
      <c r="S43" s="651"/>
    </row>
    <row r="44" spans="1:19">
      <c r="A44" s="836">
        <f t="shared" si="4"/>
        <v>2.279999999999994</v>
      </c>
      <c r="B44" s="651"/>
      <c r="C44" s="819">
        <f t="shared" si="0"/>
        <v>0</v>
      </c>
      <c r="D44" s="819">
        <f t="shared" si="1"/>
        <v>0</v>
      </c>
      <c r="E44" s="819"/>
      <c r="F44" s="819"/>
      <c r="G44" s="819">
        <f t="shared" si="2"/>
        <v>0</v>
      </c>
      <c r="H44" s="819"/>
      <c r="I44" s="819">
        <f t="shared" si="3"/>
        <v>0</v>
      </c>
      <c r="J44" s="819">
        <f t="shared" si="3"/>
        <v>0</v>
      </c>
      <c r="K44" s="819">
        <f t="shared" si="3"/>
        <v>0</v>
      </c>
      <c r="L44" s="819"/>
      <c r="M44" s="651"/>
      <c r="N44" s="651"/>
      <c r="O44" s="651"/>
      <c r="P44" s="819"/>
      <c r="Q44" s="651"/>
      <c r="R44" s="651"/>
      <c r="S44" s="651"/>
    </row>
    <row r="45" spans="1:19">
      <c r="A45" s="836">
        <f t="shared" si="4"/>
        <v>2.2899999999999938</v>
      </c>
      <c r="B45" s="651"/>
      <c r="C45" s="819">
        <f t="shared" si="0"/>
        <v>0</v>
      </c>
      <c r="D45" s="819">
        <f t="shared" si="1"/>
        <v>0</v>
      </c>
      <c r="E45" s="819"/>
      <c r="F45" s="819"/>
      <c r="G45" s="819">
        <f t="shared" si="2"/>
        <v>0</v>
      </c>
      <c r="H45" s="819"/>
      <c r="I45" s="819">
        <f t="shared" si="3"/>
        <v>0</v>
      </c>
      <c r="J45" s="819">
        <f t="shared" si="3"/>
        <v>0</v>
      </c>
      <c r="K45" s="819">
        <f t="shared" si="3"/>
        <v>0</v>
      </c>
      <c r="L45" s="819"/>
      <c r="M45" s="651"/>
      <c r="N45" s="651"/>
      <c r="O45" s="651"/>
      <c r="P45" s="819"/>
      <c r="Q45" s="651"/>
      <c r="R45" s="651"/>
      <c r="S45" s="651"/>
    </row>
    <row r="46" spans="1:19">
      <c r="A46" s="836">
        <f t="shared" si="4"/>
        <v>2.2999999999999936</v>
      </c>
      <c r="B46" s="651"/>
      <c r="C46" s="819">
        <f t="shared" si="0"/>
        <v>0</v>
      </c>
      <c r="D46" s="819">
        <f t="shared" si="1"/>
        <v>0</v>
      </c>
      <c r="E46" s="819"/>
      <c r="F46" s="819"/>
      <c r="G46" s="819">
        <f t="shared" si="2"/>
        <v>0</v>
      </c>
      <c r="H46" s="819"/>
      <c r="I46" s="819">
        <f t="shared" si="3"/>
        <v>0</v>
      </c>
      <c r="J46" s="819">
        <f t="shared" si="3"/>
        <v>0</v>
      </c>
      <c r="K46" s="819">
        <f t="shared" si="3"/>
        <v>0</v>
      </c>
      <c r="L46" s="819"/>
      <c r="M46" s="651"/>
      <c r="N46" s="651"/>
      <c r="O46" s="651"/>
      <c r="P46" s="819"/>
      <c r="Q46" s="651"/>
      <c r="R46" s="651"/>
      <c r="S46" s="651"/>
    </row>
    <row r="47" spans="1:19">
      <c r="A47" s="836">
        <f t="shared" si="4"/>
        <v>2.3099999999999934</v>
      </c>
      <c r="B47" s="651"/>
      <c r="C47" s="819">
        <f t="shared" si="0"/>
        <v>0</v>
      </c>
      <c r="D47" s="819">
        <f t="shared" si="1"/>
        <v>0</v>
      </c>
      <c r="E47" s="819"/>
      <c r="F47" s="819"/>
      <c r="G47" s="819">
        <f t="shared" si="2"/>
        <v>0</v>
      </c>
      <c r="H47" s="819"/>
      <c r="I47" s="819">
        <f t="shared" si="3"/>
        <v>0</v>
      </c>
      <c r="J47" s="819">
        <f t="shared" si="3"/>
        <v>0</v>
      </c>
      <c r="K47" s="819">
        <f t="shared" si="3"/>
        <v>0</v>
      </c>
      <c r="L47" s="819"/>
      <c r="M47" s="651"/>
      <c r="N47" s="651"/>
      <c r="O47" s="651"/>
      <c r="P47" s="819"/>
      <c r="Q47" s="651"/>
      <c r="R47" s="651"/>
      <c r="S47" s="651"/>
    </row>
    <row r="48" spans="1:19">
      <c r="A48" s="836">
        <f t="shared" si="4"/>
        <v>2.3199999999999932</v>
      </c>
      <c r="B48" s="651"/>
      <c r="C48" s="819">
        <f t="shared" si="0"/>
        <v>0</v>
      </c>
      <c r="D48" s="819">
        <f t="shared" si="1"/>
        <v>0</v>
      </c>
      <c r="E48" s="819"/>
      <c r="F48" s="819"/>
      <c r="G48" s="819">
        <f t="shared" si="2"/>
        <v>0</v>
      </c>
      <c r="H48" s="819"/>
      <c r="I48" s="819">
        <f t="shared" si="3"/>
        <v>0</v>
      </c>
      <c r="J48" s="819">
        <f t="shared" si="3"/>
        <v>0</v>
      </c>
      <c r="K48" s="819">
        <f t="shared" si="3"/>
        <v>0</v>
      </c>
      <c r="L48" s="819"/>
      <c r="M48" s="651"/>
      <c r="N48" s="651"/>
      <c r="O48" s="651"/>
      <c r="P48" s="819"/>
      <c r="Q48" s="651"/>
      <c r="R48" s="651"/>
      <c r="S48" s="651"/>
    </row>
    <row r="49" spans="1:19">
      <c r="A49" s="836">
        <f t="shared" si="4"/>
        <v>2.329999999999993</v>
      </c>
      <c r="B49" s="651"/>
      <c r="C49" s="819">
        <f t="shared" si="0"/>
        <v>0</v>
      </c>
      <c r="D49" s="819">
        <f t="shared" si="1"/>
        <v>0</v>
      </c>
      <c r="E49" s="819"/>
      <c r="F49" s="819"/>
      <c r="G49" s="819">
        <f t="shared" si="2"/>
        <v>0</v>
      </c>
      <c r="H49" s="819"/>
      <c r="I49" s="819">
        <f t="shared" ref="I49:K80" si="5">(M49+Q49)/2</f>
        <v>0</v>
      </c>
      <c r="J49" s="819">
        <f t="shared" si="5"/>
        <v>0</v>
      </c>
      <c r="K49" s="819">
        <f t="shared" si="5"/>
        <v>0</v>
      </c>
      <c r="L49" s="819"/>
      <c r="M49" s="651"/>
      <c r="N49" s="651"/>
      <c r="O49" s="651"/>
      <c r="P49" s="819"/>
      <c r="Q49" s="651"/>
      <c r="R49" s="651"/>
      <c r="S49" s="651"/>
    </row>
    <row r="50" spans="1:19">
      <c r="A50" s="836">
        <f t="shared" si="4"/>
        <v>2.3399999999999928</v>
      </c>
      <c r="B50" s="651"/>
      <c r="C50" s="819">
        <f t="shared" si="0"/>
        <v>0</v>
      </c>
      <c r="D50" s="819">
        <f t="shared" si="1"/>
        <v>0</v>
      </c>
      <c r="E50" s="819"/>
      <c r="F50" s="819"/>
      <c r="G50" s="819">
        <f t="shared" si="2"/>
        <v>0</v>
      </c>
      <c r="H50" s="819"/>
      <c r="I50" s="819">
        <f t="shared" si="5"/>
        <v>0</v>
      </c>
      <c r="J50" s="819">
        <f t="shared" si="5"/>
        <v>0</v>
      </c>
      <c r="K50" s="819">
        <f t="shared" si="5"/>
        <v>0</v>
      </c>
      <c r="L50" s="819"/>
      <c r="M50" s="651"/>
      <c r="N50" s="651"/>
      <c r="O50" s="651"/>
      <c r="P50" s="819"/>
      <c r="Q50" s="651"/>
      <c r="R50" s="651"/>
      <c r="S50" s="651"/>
    </row>
    <row r="51" spans="1:19">
      <c r="A51" s="836">
        <f t="shared" si="4"/>
        <v>2.3499999999999925</v>
      </c>
      <c r="B51" s="651"/>
      <c r="C51" s="819">
        <f t="shared" si="0"/>
        <v>0</v>
      </c>
      <c r="D51" s="819">
        <f t="shared" si="1"/>
        <v>0</v>
      </c>
      <c r="E51" s="819"/>
      <c r="F51" s="819"/>
      <c r="G51" s="819">
        <f t="shared" si="2"/>
        <v>0</v>
      </c>
      <c r="H51" s="819"/>
      <c r="I51" s="819">
        <f t="shared" si="5"/>
        <v>0</v>
      </c>
      <c r="J51" s="819">
        <f t="shared" si="5"/>
        <v>0</v>
      </c>
      <c r="K51" s="819">
        <f t="shared" si="5"/>
        <v>0</v>
      </c>
      <c r="L51" s="819"/>
      <c r="M51" s="651"/>
      <c r="N51" s="651"/>
      <c r="O51" s="651"/>
      <c r="P51" s="819"/>
      <c r="Q51" s="651"/>
      <c r="R51" s="651"/>
      <c r="S51" s="651"/>
    </row>
    <row r="52" spans="1:19">
      <c r="A52" s="836">
        <f t="shared" si="4"/>
        <v>2.3599999999999923</v>
      </c>
      <c r="B52" s="651"/>
      <c r="C52" s="819">
        <f t="shared" si="0"/>
        <v>0</v>
      </c>
      <c r="D52" s="819">
        <f t="shared" si="1"/>
        <v>0</v>
      </c>
      <c r="E52" s="819"/>
      <c r="F52" s="819"/>
      <c r="G52" s="819">
        <f t="shared" si="2"/>
        <v>0</v>
      </c>
      <c r="H52" s="819"/>
      <c r="I52" s="819">
        <f t="shared" si="5"/>
        <v>0</v>
      </c>
      <c r="J52" s="819">
        <f t="shared" si="5"/>
        <v>0</v>
      </c>
      <c r="K52" s="819">
        <f t="shared" si="5"/>
        <v>0</v>
      </c>
      <c r="L52" s="819"/>
      <c r="M52" s="651"/>
      <c r="N52" s="651"/>
      <c r="O52" s="651"/>
      <c r="P52" s="819"/>
      <c r="Q52" s="651"/>
      <c r="R52" s="651"/>
      <c r="S52" s="651"/>
    </row>
    <row r="53" spans="1:19">
      <c r="A53" s="836">
        <f t="shared" si="4"/>
        <v>2.3699999999999921</v>
      </c>
      <c r="B53" s="651"/>
      <c r="C53" s="819">
        <f t="shared" si="0"/>
        <v>0</v>
      </c>
      <c r="D53" s="819">
        <f t="shared" si="1"/>
        <v>0</v>
      </c>
      <c r="E53" s="819"/>
      <c r="F53" s="819"/>
      <c r="G53" s="819">
        <f t="shared" si="2"/>
        <v>0</v>
      </c>
      <c r="H53" s="819"/>
      <c r="I53" s="819">
        <f t="shared" si="5"/>
        <v>0</v>
      </c>
      <c r="J53" s="819">
        <f t="shared" si="5"/>
        <v>0</v>
      </c>
      <c r="K53" s="819">
        <f t="shared" si="5"/>
        <v>0</v>
      </c>
      <c r="L53" s="819"/>
      <c r="M53" s="651"/>
      <c r="N53" s="651"/>
      <c r="O53" s="651"/>
      <c r="P53" s="819"/>
      <c r="Q53" s="651"/>
      <c r="R53" s="651"/>
      <c r="S53" s="651"/>
    </row>
    <row r="54" spans="1:19">
      <c r="A54" s="836">
        <f t="shared" si="4"/>
        <v>2.3799999999999919</v>
      </c>
      <c r="B54" s="651"/>
      <c r="C54" s="819">
        <f t="shared" si="0"/>
        <v>0</v>
      </c>
      <c r="D54" s="819">
        <f t="shared" si="1"/>
        <v>0</v>
      </c>
      <c r="E54" s="819"/>
      <c r="F54" s="819"/>
      <c r="G54" s="819">
        <f t="shared" si="2"/>
        <v>0</v>
      </c>
      <c r="H54" s="819"/>
      <c r="I54" s="819">
        <f t="shared" si="5"/>
        <v>0</v>
      </c>
      <c r="J54" s="819">
        <f t="shared" si="5"/>
        <v>0</v>
      </c>
      <c r="K54" s="819">
        <f t="shared" si="5"/>
        <v>0</v>
      </c>
      <c r="L54" s="819"/>
      <c r="M54" s="651"/>
      <c r="N54" s="651"/>
      <c r="O54" s="651"/>
      <c r="P54" s="819"/>
      <c r="Q54" s="651"/>
      <c r="R54" s="651"/>
      <c r="S54" s="651"/>
    </row>
    <row r="55" spans="1:19">
      <c r="A55" s="836">
        <f t="shared" si="4"/>
        <v>2.3899999999999917</v>
      </c>
      <c r="B55" s="651"/>
      <c r="C55" s="819">
        <f t="shared" si="0"/>
        <v>0</v>
      </c>
      <c r="D55" s="819">
        <f t="shared" si="1"/>
        <v>0</v>
      </c>
      <c r="E55" s="819"/>
      <c r="F55" s="819"/>
      <c r="G55" s="819">
        <f t="shared" si="2"/>
        <v>0</v>
      </c>
      <c r="H55" s="819"/>
      <c r="I55" s="819">
        <f t="shared" si="5"/>
        <v>0</v>
      </c>
      <c r="J55" s="819">
        <f t="shared" si="5"/>
        <v>0</v>
      </c>
      <c r="K55" s="819">
        <f t="shared" si="5"/>
        <v>0</v>
      </c>
      <c r="L55" s="819"/>
      <c r="M55" s="651"/>
      <c r="N55" s="651"/>
      <c r="O55" s="651"/>
      <c r="P55" s="819"/>
      <c r="Q55" s="651"/>
      <c r="R55" s="651"/>
      <c r="S55" s="651"/>
    </row>
    <row r="56" spans="1:19">
      <c r="A56" s="836">
        <f t="shared" si="4"/>
        <v>2.3999999999999915</v>
      </c>
      <c r="B56" s="651"/>
      <c r="C56" s="819">
        <f t="shared" si="0"/>
        <v>0</v>
      </c>
      <c r="D56" s="819">
        <f t="shared" si="1"/>
        <v>0</v>
      </c>
      <c r="E56" s="819"/>
      <c r="F56" s="819"/>
      <c r="G56" s="819">
        <f t="shared" si="2"/>
        <v>0</v>
      </c>
      <c r="H56" s="819"/>
      <c r="I56" s="819">
        <f t="shared" si="5"/>
        <v>0</v>
      </c>
      <c r="J56" s="819">
        <f t="shared" si="5"/>
        <v>0</v>
      </c>
      <c r="K56" s="819">
        <f t="shared" si="5"/>
        <v>0</v>
      </c>
      <c r="L56" s="819"/>
      <c r="M56" s="651"/>
      <c r="N56" s="651"/>
      <c r="O56" s="651"/>
      <c r="P56" s="819"/>
      <c r="Q56" s="651"/>
      <c r="R56" s="651"/>
      <c r="S56" s="651"/>
    </row>
    <row r="57" spans="1:19">
      <c r="A57" s="836">
        <f t="shared" si="4"/>
        <v>2.4099999999999913</v>
      </c>
      <c r="B57" s="651"/>
      <c r="C57" s="819">
        <f t="shared" si="0"/>
        <v>0</v>
      </c>
      <c r="D57" s="819">
        <f t="shared" si="1"/>
        <v>0</v>
      </c>
      <c r="E57" s="819"/>
      <c r="F57" s="819"/>
      <c r="G57" s="819">
        <f t="shared" si="2"/>
        <v>0</v>
      </c>
      <c r="H57" s="819"/>
      <c r="I57" s="819">
        <f t="shared" si="5"/>
        <v>0</v>
      </c>
      <c r="J57" s="819">
        <f t="shared" si="5"/>
        <v>0</v>
      </c>
      <c r="K57" s="819">
        <f t="shared" si="5"/>
        <v>0</v>
      </c>
      <c r="L57" s="819"/>
      <c r="M57" s="651"/>
      <c r="N57" s="651"/>
      <c r="O57" s="651"/>
      <c r="P57" s="819"/>
      <c r="Q57" s="651"/>
      <c r="R57" s="651"/>
      <c r="S57" s="651"/>
    </row>
    <row r="58" spans="1:19">
      <c r="A58" s="836">
        <f t="shared" si="4"/>
        <v>2.419999999999991</v>
      </c>
      <c r="B58" s="651"/>
      <c r="C58" s="819">
        <f t="shared" si="0"/>
        <v>0</v>
      </c>
      <c r="D58" s="819">
        <f t="shared" si="1"/>
        <v>0</v>
      </c>
      <c r="E58" s="819"/>
      <c r="F58" s="819"/>
      <c r="G58" s="819">
        <f t="shared" si="2"/>
        <v>0</v>
      </c>
      <c r="H58" s="819"/>
      <c r="I58" s="819">
        <f t="shared" si="5"/>
        <v>0</v>
      </c>
      <c r="J58" s="819">
        <f t="shared" si="5"/>
        <v>0</v>
      </c>
      <c r="K58" s="819">
        <f t="shared" si="5"/>
        <v>0</v>
      </c>
      <c r="L58" s="819"/>
      <c r="M58" s="651"/>
      <c r="N58" s="651"/>
      <c r="O58" s="651"/>
      <c r="P58" s="819"/>
      <c r="Q58" s="651"/>
      <c r="R58" s="651"/>
      <c r="S58" s="651"/>
    </row>
    <row r="59" spans="1:19">
      <c r="A59" s="836">
        <f t="shared" si="4"/>
        <v>2.4299999999999908</v>
      </c>
      <c r="B59" s="651"/>
      <c r="C59" s="819">
        <f t="shared" si="0"/>
        <v>0</v>
      </c>
      <c r="D59" s="819">
        <f t="shared" si="1"/>
        <v>0</v>
      </c>
      <c r="E59" s="819"/>
      <c r="F59" s="819"/>
      <c r="G59" s="819">
        <f t="shared" si="2"/>
        <v>0</v>
      </c>
      <c r="H59" s="819"/>
      <c r="I59" s="819">
        <f t="shared" si="5"/>
        <v>0</v>
      </c>
      <c r="J59" s="819">
        <f t="shared" si="5"/>
        <v>0</v>
      </c>
      <c r="K59" s="819">
        <f t="shared" si="5"/>
        <v>0</v>
      </c>
      <c r="L59" s="819"/>
      <c r="M59" s="651"/>
      <c r="N59" s="651"/>
      <c r="O59" s="651"/>
      <c r="P59" s="819"/>
      <c r="Q59" s="651"/>
      <c r="R59" s="651"/>
      <c r="S59" s="651"/>
    </row>
    <row r="60" spans="1:19">
      <c r="A60" s="836">
        <f t="shared" si="4"/>
        <v>2.4399999999999906</v>
      </c>
      <c r="B60" s="651"/>
      <c r="C60" s="819">
        <f t="shared" si="0"/>
        <v>0</v>
      </c>
      <c r="D60" s="819">
        <f t="shared" si="1"/>
        <v>0</v>
      </c>
      <c r="E60" s="819"/>
      <c r="F60" s="819"/>
      <c r="G60" s="819">
        <f t="shared" si="2"/>
        <v>0</v>
      </c>
      <c r="H60" s="819"/>
      <c r="I60" s="819">
        <f t="shared" si="5"/>
        <v>0</v>
      </c>
      <c r="J60" s="819">
        <f t="shared" si="5"/>
        <v>0</v>
      </c>
      <c r="K60" s="819">
        <f t="shared" si="5"/>
        <v>0</v>
      </c>
      <c r="L60" s="819"/>
      <c r="M60" s="651"/>
      <c r="N60" s="651"/>
      <c r="O60" s="651"/>
      <c r="P60" s="819"/>
      <c r="Q60" s="651"/>
      <c r="R60" s="651"/>
      <c r="S60" s="651"/>
    </row>
    <row r="61" spans="1:19">
      <c r="A61" s="836">
        <f t="shared" si="4"/>
        <v>2.4499999999999904</v>
      </c>
      <c r="B61" s="651"/>
      <c r="C61" s="819">
        <f t="shared" si="0"/>
        <v>0</v>
      </c>
      <c r="D61" s="819">
        <f t="shared" si="1"/>
        <v>0</v>
      </c>
      <c r="E61" s="819"/>
      <c r="F61" s="819"/>
      <c r="G61" s="819">
        <f t="shared" si="2"/>
        <v>0</v>
      </c>
      <c r="H61" s="819"/>
      <c r="I61" s="819">
        <f t="shared" si="5"/>
        <v>0</v>
      </c>
      <c r="J61" s="819">
        <f t="shared" si="5"/>
        <v>0</v>
      </c>
      <c r="K61" s="819">
        <f t="shared" si="5"/>
        <v>0</v>
      </c>
      <c r="L61" s="819"/>
      <c r="M61" s="651"/>
      <c r="N61" s="651"/>
      <c r="O61" s="651"/>
      <c r="P61" s="819"/>
      <c r="Q61" s="651"/>
      <c r="R61" s="651"/>
      <c r="S61" s="651"/>
    </row>
    <row r="62" spans="1:19">
      <c r="A62" s="836">
        <f t="shared" si="4"/>
        <v>2.4599999999999902</v>
      </c>
      <c r="B62" s="651"/>
      <c r="C62" s="819">
        <f t="shared" si="0"/>
        <v>0</v>
      </c>
      <c r="D62" s="819">
        <f t="shared" si="1"/>
        <v>0</v>
      </c>
      <c r="E62" s="819"/>
      <c r="F62" s="819"/>
      <c r="G62" s="819">
        <f t="shared" si="2"/>
        <v>0</v>
      </c>
      <c r="H62" s="819"/>
      <c r="I62" s="819">
        <f t="shared" si="5"/>
        <v>0</v>
      </c>
      <c r="J62" s="819">
        <f t="shared" si="5"/>
        <v>0</v>
      </c>
      <c r="K62" s="819">
        <f t="shared" si="5"/>
        <v>0</v>
      </c>
      <c r="L62" s="819"/>
      <c r="M62" s="651"/>
      <c r="N62" s="651"/>
      <c r="O62" s="651"/>
      <c r="P62" s="819"/>
      <c r="Q62" s="651"/>
      <c r="R62" s="651"/>
      <c r="S62" s="651"/>
    </row>
    <row r="63" spans="1:19">
      <c r="A63" s="836">
        <f t="shared" si="4"/>
        <v>2.46999999999999</v>
      </c>
      <c r="B63" s="651"/>
      <c r="C63" s="819">
        <f t="shared" si="0"/>
        <v>0</v>
      </c>
      <c r="D63" s="819">
        <f t="shared" si="1"/>
        <v>0</v>
      </c>
      <c r="E63" s="819"/>
      <c r="F63" s="819"/>
      <c r="G63" s="819">
        <f t="shared" si="2"/>
        <v>0</v>
      </c>
      <c r="H63" s="819"/>
      <c r="I63" s="819">
        <f t="shared" si="5"/>
        <v>0</v>
      </c>
      <c r="J63" s="819">
        <f t="shared" si="5"/>
        <v>0</v>
      </c>
      <c r="K63" s="819">
        <f t="shared" si="5"/>
        <v>0</v>
      </c>
      <c r="L63" s="819"/>
      <c r="M63" s="651"/>
      <c r="N63" s="651"/>
      <c r="O63" s="651"/>
      <c r="P63" s="819"/>
      <c r="Q63" s="651"/>
      <c r="R63" s="651"/>
      <c r="S63" s="651"/>
    </row>
    <row r="64" spans="1:19">
      <c r="A64" s="836">
        <f t="shared" si="4"/>
        <v>2.4799999999999898</v>
      </c>
      <c r="B64" s="651"/>
      <c r="C64" s="819">
        <f t="shared" si="0"/>
        <v>0</v>
      </c>
      <c r="D64" s="819">
        <f t="shared" si="1"/>
        <v>0</v>
      </c>
      <c r="E64" s="819"/>
      <c r="F64" s="819"/>
      <c r="G64" s="819">
        <f t="shared" si="2"/>
        <v>0</v>
      </c>
      <c r="H64" s="819"/>
      <c r="I64" s="819">
        <f t="shared" si="5"/>
        <v>0</v>
      </c>
      <c r="J64" s="819">
        <f t="shared" si="5"/>
        <v>0</v>
      </c>
      <c r="K64" s="819">
        <f t="shared" si="5"/>
        <v>0</v>
      </c>
      <c r="L64" s="819"/>
      <c r="M64" s="651"/>
      <c r="N64" s="651"/>
      <c r="O64" s="651"/>
      <c r="P64" s="819"/>
      <c r="Q64" s="651"/>
      <c r="R64" s="651"/>
      <c r="S64" s="651"/>
    </row>
    <row r="65" spans="1:19">
      <c r="A65" s="836">
        <f t="shared" si="4"/>
        <v>2.4899999999999896</v>
      </c>
      <c r="B65" s="651"/>
      <c r="C65" s="819">
        <f t="shared" si="0"/>
        <v>0</v>
      </c>
      <c r="D65" s="819">
        <f t="shared" si="1"/>
        <v>0</v>
      </c>
      <c r="E65" s="819"/>
      <c r="F65" s="819"/>
      <c r="G65" s="819">
        <f t="shared" si="2"/>
        <v>0</v>
      </c>
      <c r="H65" s="819"/>
      <c r="I65" s="819">
        <f t="shared" si="5"/>
        <v>0</v>
      </c>
      <c r="J65" s="819">
        <f t="shared" si="5"/>
        <v>0</v>
      </c>
      <c r="K65" s="819">
        <f t="shared" si="5"/>
        <v>0</v>
      </c>
      <c r="L65" s="819"/>
      <c r="M65" s="651"/>
      <c r="N65" s="651"/>
      <c r="O65" s="651"/>
      <c r="P65" s="819"/>
      <c r="Q65" s="651"/>
      <c r="R65" s="651"/>
      <c r="S65" s="651"/>
    </row>
    <row r="66" spans="1:19">
      <c r="A66" s="836">
        <f t="shared" si="4"/>
        <v>2.4999999999999893</v>
      </c>
      <c r="B66" s="651"/>
      <c r="C66" s="819">
        <f t="shared" si="0"/>
        <v>0</v>
      </c>
      <c r="D66" s="819">
        <f t="shared" si="1"/>
        <v>0</v>
      </c>
      <c r="E66" s="819"/>
      <c r="F66" s="819"/>
      <c r="G66" s="819">
        <f t="shared" si="2"/>
        <v>0</v>
      </c>
      <c r="H66" s="819"/>
      <c r="I66" s="819">
        <f t="shared" si="5"/>
        <v>0</v>
      </c>
      <c r="J66" s="819">
        <f t="shared" si="5"/>
        <v>0</v>
      </c>
      <c r="K66" s="819">
        <f t="shared" si="5"/>
        <v>0</v>
      </c>
      <c r="L66" s="819"/>
      <c r="M66" s="651"/>
      <c r="N66" s="651"/>
      <c r="O66" s="651"/>
      <c r="P66" s="819"/>
      <c r="Q66" s="651"/>
      <c r="R66" s="651"/>
      <c r="S66" s="651"/>
    </row>
    <row r="67" spans="1:19">
      <c r="A67" s="836">
        <f t="shared" si="4"/>
        <v>2.5099999999999891</v>
      </c>
      <c r="B67" s="651"/>
      <c r="C67" s="819">
        <f t="shared" si="0"/>
        <v>0</v>
      </c>
      <c r="D67" s="819">
        <f t="shared" si="1"/>
        <v>0</v>
      </c>
      <c r="E67" s="819"/>
      <c r="F67" s="819"/>
      <c r="G67" s="819">
        <f t="shared" si="2"/>
        <v>0</v>
      </c>
      <c r="H67" s="819"/>
      <c r="I67" s="819">
        <f t="shared" si="5"/>
        <v>0</v>
      </c>
      <c r="J67" s="819">
        <f t="shared" si="5"/>
        <v>0</v>
      </c>
      <c r="K67" s="819">
        <f t="shared" si="5"/>
        <v>0</v>
      </c>
      <c r="L67" s="819"/>
      <c r="M67" s="651"/>
      <c r="N67" s="651"/>
      <c r="O67" s="651"/>
      <c r="P67" s="819"/>
      <c r="Q67" s="651"/>
      <c r="R67" s="651"/>
      <c r="S67" s="651"/>
    </row>
    <row r="68" spans="1:19">
      <c r="A68" s="836">
        <f t="shared" si="4"/>
        <v>2.5199999999999889</v>
      </c>
      <c r="B68" s="651"/>
      <c r="C68" s="819">
        <f t="shared" si="0"/>
        <v>0</v>
      </c>
      <c r="D68" s="819">
        <f t="shared" si="1"/>
        <v>0</v>
      </c>
      <c r="E68" s="819"/>
      <c r="F68" s="819"/>
      <c r="G68" s="819">
        <f t="shared" si="2"/>
        <v>0</v>
      </c>
      <c r="H68" s="819"/>
      <c r="I68" s="819">
        <f t="shared" si="5"/>
        <v>0</v>
      </c>
      <c r="J68" s="819">
        <f t="shared" si="5"/>
        <v>0</v>
      </c>
      <c r="K68" s="819">
        <f t="shared" si="5"/>
        <v>0</v>
      </c>
      <c r="L68" s="819"/>
      <c r="M68" s="651"/>
      <c r="N68" s="651"/>
      <c r="O68" s="651"/>
      <c r="P68" s="819"/>
      <c r="Q68" s="651"/>
      <c r="R68" s="651"/>
      <c r="S68" s="651"/>
    </row>
    <row r="69" spans="1:19">
      <c r="A69" s="836">
        <f t="shared" si="4"/>
        <v>2.5299999999999887</v>
      </c>
      <c r="B69" s="651"/>
      <c r="C69" s="819">
        <f t="shared" si="0"/>
        <v>0</v>
      </c>
      <c r="D69" s="819">
        <f t="shared" si="1"/>
        <v>0</v>
      </c>
      <c r="E69" s="819"/>
      <c r="F69" s="819"/>
      <c r="G69" s="819">
        <f t="shared" si="2"/>
        <v>0</v>
      </c>
      <c r="H69" s="819"/>
      <c r="I69" s="819">
        <f t="shared" si="5"/>
        <v>0</v>
      </c>
      <c r="J69" s="819">
        <f t="shared" si="5"/>
        <v>0</v>
      </c>
      <c r="K69" s="819">
        <f t="shared" si="5"/>
        <v>0</v>
      </c>
      <c r="L69" s="819"/>
      <c r="M69" s="651"/>
      <c r="N69" s="651"/>
      <c r="O69" s="651"/>
      <c r="P69" s="819"/>
      <c r="Q69" s="651"/>
      <c r="R69" s="651"/>
      <c r="S69" s="651"/>
    </row>
    <row r="70" spans="1:19">
      <c r="A70" s="836">
        <f t="shared" si="4"/>
        <v>2.5399999999999885</v>
      </c>
      <c r="B70" s="651"/>
      <c r="C70" s="819">
        <f t="shared" si="0"/>
        <v>0</v>
      </c>
      <c r="D70" s="819">
        <f t="shared" si="1"/>
        <v>0</v>
      </c>
      <c r="E70" s="819"/>
      <c r="F70" s="819"/>
      <c r="G70" s="819">
        <f t="shared" si="2"/>
        <v>0</v>
      </c>
      <c r="H70" s="819"/>
      <c r="I70" s="819">
        <f t="shared" si="5"/>
        <v>0</v>
      </c>
      <c r="J70" s="819">
        <f t="shared" si="5"/>
        <v>0</v>
      </c>
      <c r="K70" s="819">
        <f t="shared" si="5"/>
        <v>0</v>
      </c>
      <c r="L70" s="819"/>
      <c r="M70" s="651"/>
      <c r="N70" s="651"/>
      <c r="O70" s="651"/>
      <c r="P70" s="819"/>
      <c r="Q70" s="651"/>
      <c r="R70" s="651"/>
      <c r="S70" s="651"/>
    </row>
    <row r="71" spans="1:19">
      <c r="A71" s="836">
        <f t="shared" si="4"/>
        <v>2.5499999999999883</v>
      </c>
      <c r="B71" s="651"/>
      <c r="C71" s="819">
        <f t="shared" si="0"/>
        <v>0</v>
      </c>
      <c r="D71" s="819">
        <f t="shared" si="1"/>
        <v>0</v>
      </c>
      <c r="E71" s="819"/>
      <c r="F71" s="819"/>
      <c r="G71" s="819">
        <f t="shared" si="2"/>
        <v>0</v>
      </c>
      <c r="H71" s="819"/>
      <c r="I71" s="819">
        <f t="shared" si="5"/>
        <v>0</v>
      </c>
      <c r="J71" s="819">
        <f t="shared" si="5"/>
        <v>0</v>
      </c>
      <c r="K71" s="819">
        <f t="shared" si="5"/>
        <v>0</v>
      </c>
      <c r="L71" s="819"/>
      <c r="M71" s="651"/>
      <c r="N71" s="651"/>
      <c r="O71" s="651"/>
      <c r="P71" s="819"/>
      <c r="Q71" s="651"/>
      <c r="R71" s="651"/>
      <c r="S71" s="651"/>
    </row>
    <row r="72" spans="1:19">
      <c r="A72" s="836">
        <f t="shared" si="4"/>
        <v>2.5599999999999881</v>
      </c>
      <c r="B72" s="651"/>
      <c r="C72" s="819">
        <f t="shared" si="0"/>
        <v>0</v>
      </c>
      <c r="D72" s="819">
        <f t="shared" si="1"/>
        <v>0</v>
      </c>
      <c r="E72" s="819"/>
      <c r="F72" s="819"/>
      <c r="G72" s="819">
        <f t="shared" si="2"/>
        <v>0</v>
      </c>
      <c r="H72" s="819"/>
      <c r="I72" s="819">
        <f t="shared" si="5"/>
        <v>0</v>
      </c>
      <c r="J72" s="819">
        <f t="shared" si="5"/>
        <v>0</v>
      </c>
      <c r="K72" s="819">
        <f t="shared" si="5"/>
        <v>0</v>
      </c>
      <c r="L72" s="819"/>
      <c r="M72" s="651"/>
      <c r="N72" s="651"/>
      <c r="O72" s="651"/>
      <c r="P72" s="819"/>
      <c r="Q72" s="651"/>
      <c r="R72" s="651"/>
      <c r="S72" s="651"/>
    </row>
    <row r="73" spans="1:19">
      <c r="A73" s="836">
        <f t="shared" si="4"/>
        <v>2.5699999999999878</v>
      </c>
      <c r="B73" s="651"/>
      <c r="C73" s="819">
        <f t="shared" si="0"/>
        <v>0</v>
      </c>
      <c r="D73" s="819">
        <f t="shared" si="1"/>
        <v>0</v>
      </c>
      <c r="E73" s="819"/>
      <c r="F73" s="819"/>
      <c r="G73" s="819">
        <f t="shared" si="2"/>
        <v>0</v>
      </c>
      <c r="H73" s="819"/>
      <c r="I73" s="819">
        <f t="shared" si="5"/>
        <v>0</v>
      </c>
      <c r="J73" s="819">
        <f t="shared" si="5"/>
        <v>0</v>
      </c>
      <c r="K73" s="819">
        <f t="shared" si="5"/>
        <v>0</v>
      </c>
      <c r="L73" s="819"/>
      <c r="M73" s="651"/>
      <c r="N73" s="651"/>
      <c r="O73" s="651"/>
      <c r="P73" s="819"/>
      <c r="Q73" s="651"/>
      <c r="R73" s="651"/>
      <c r="S73" s="651"/>
    </row>
    <row r="74" spans="1:19">
      <c r="A74" s="836">
        <f t="shared" si="4"/>
        <v>2.5799999999999876</v>
      </c>
      <c r="B74" s="651"/>
      <c r="C74" s="819">
        <f t="shared" si="0"/>
        <v>0</v>
      </c>
      <c r="D74" s="819">
        <f t="shared" si="1"/>
        <v>0</v>
      </c>
      <c r="E74" s="819"/>
      <c r="F74" s="819"/>
      <c r="G74" s="819">
        <f t="shared" si="2"/>
        <v>0</v>
      </c>
      <c r="H74" s="819"/>
      <c r="I74" s="819">
        <f t="shared" si="5"/>
        <v>0</v>
      </c>
      <c r="J74" s="819">
        <f t="shared" si="5"/>
        <v>0</v>
      </c>
      <c r="K74" s="819">
        <f t="shared" si="5"/>
        <v>0</v>
      </c>
      <c r="L74" s="819"/>
      <c r="M74" s="651"/>
      <c r="N74" s="651"/>
      <c r="O74" s="651"/>
      <c r="P74" s="819"/>
      <c r="Q74" s="651"/>
      <c r="R74" s="651"/>
      <c r="S74" s="651"/>
    </row>
    <row r="75" spans="1:19">
      <c r="A75" s="836">
        <f t="shared" si="4"/>
        <v>2.5899999999999874</v>
      </c>
      <c r="B75" s="651"/>
      <c r="C75" s="819">
        <f t="shared" si="0"/>
        <v>0</v>
      </c>
      <c r="D75" s="819">
        <f t="shared" si="1"/>
        <v>0</v>
      </c>
      <c r="E75" s="819"/>
      <c r="F75" s="819"/>
      <c r="G75" s="819">
        <f t="shared" si="2"/>
        <v>0</v>
      </c>
      <c r="H75" s="819"/>
      <c r="I75" s="819">
        <f t="shared" si="5"/>
        <v>0</v>
      </c>
      <c r="J75" s="819">
        <f t="shared" si="5"/>
        <v>0</v>
      </c>
      <c r="K75" s="819">
        <f t="shared" si="5"/>
        <v>0</v>
      </c>
      <c r="L75" s="819"/>
      <c r="M75" s="651"/>
      <c r="N75" s="651"/>
      <c r="O75" s="651"/>
      <c r="P75" s="819"/>
      <c r="Q75" s="651"/>
      <c r="R75" s="651"/>
      <c r="S75" s="651"/>
    </row>
    <row r="76" spans="1:19">
      <c r="A76" s="836">
        <f t="shared" si="4"/>
        <v>2.5999999999999872</v>
      </c>
      <c r="B76" s="651"/>
      <c r="C76" s="819">
        <f t="shared" si="0"/>
        <v>0</v>
      </c>
      <c r="D76" s="819">
        <f t="shared" si="1"/>
        <v>0</v>
      </c>
      <c r="E76" s="819"/>
      <c r="F76" s="819"/>
      <c r="G76" s="819">
        <f t="shared" si="2"/>
        <v>0</v>
      </c>
      <c r="H76" s="819"/>
      <c r="I76" s="819">
        <f t="shared" si="5"/>
        <v>0</v>
      </c>
      <c r="J76" s="819">
        <f t="shared" si="5"/>
        <v>0</v>
      </c>
      <c r="K76" s="819">
        <f t="shared" si="5"/>
        <v>0</v>
      </c>
      <c r="L76" s="819"/>
      <c r="M76" s="651"/>
      <c r="N76" s="651"/>
      <c r="O76" s="651"/>
      <c r="P76" s="819"/>
      <c r="Q76" s="651"/>
      <c r="R76" s="651"/>
      <c r="S76" s="651"/>
    </row>
    <row r="77" spans="1:19">
      <c r="A77" s="836">
        <f t="shared" si="4"/>
        <v>2.609999999999987</v>
      </c>
      <c r="B77" s="651"/>
      <c r="C77" s="1268">
        <f t="shared" si="0"/>
        <v>0</v>
      </c>
      <c r="D77" s="1268">
        <f t="shared" si="1"/>
        <v>0</v>
      </c>
      <c r="E77" s="1268"/>
      <c r="F77" s="1268"/>
      <c r="G77" s="1268">
        <f t="shared" si="2"/>
        <v>0</v>
      </c>
      <c r="H77" s="1268"/>
      <c r="I77" s="1268">
        <f t="shared" si="5"/>
        <v>0</v>
      </c>
      <c r="J77" s="1268">
        <f t="shared" si="5"/>
        <v>0</v>
      </c>
      <c r="K77" s="1268">
        <f t="shared" si="5"/>
        <v>0</v>
      </c>
      <c r="L77" s="1268"/>
      <c r="M77" s="651"/>
      <c r="N77" s="651"/>
      <c r="O77" s="651"/>
      <c r="P77" s="1268"/>
      <c r="Q77" s="651"/>
      <c r="R77" s="651"/>
      <c r="S77" s="651"/>
    </row>
    <row r="78" spans="1:19">
      <c r="A78" s="836">
        <f t="shared" si="4"/>
        <v>2.6199999999999868</v>
      </c>
      <c r="B78" s="651"/>
      <c r="C78" s="1268">
        <f t="shared" si="0"/>
        <v>0</v>
      </c>
      <c r="D78" s="1268">
        <f t="shared" si="1"/>
        <v>0</v>
      </c>
      <c r="E78" s="1268"/>
      <c r="F78" s="1268"/>
      <c r="G78" s="1268">
        <f t="shared" si="2"/>
        <v>0</v>
      </c>
      <c r="H78" s="1268"/>
      <c r="I78" s="1268">
        <f t="shared" si="5"/>
        <v>0</v>
      </c>
      <c r="J78" s="1268">
        <f t="shared" si="5"/>
        <v>0</v>
      </c>
      <c r="K78" s="1268">
        <f t="shared" si="5"/>
        <v>0</v>
      </c>
      <c r="L78" s="1268"/>
      <c r="M78" s="651"/>
      <c r="N78" s="651"/>
      <c r="O78" s="651"/>
      <c r="P78" s="1268"/>
      <c r="Q78" s="651"/>
      <c r="R78" s="651"/>
      <c r="S78" s="651"/>
    </row>
    <row r="79" spans="1:19">
      <c r="A79" s="836">
        <f t="shared" si="4"/>
        <v>2.6299999999999866</v>
      </c>
      <c r="B79" s="651"/>
      <c r="C79" s="819">
        <f t="shared" si="0"/>
        <v>0</v>
      </c>
      <c r="D79" s="819">
        <f t="shared" si="1"/>
        <v>0</v>
      </c>
      <c r="E79" s="819"/>
      <c r="F79" s="819"/>
      <c r="G79" s="819">
        <f t="shared" si="2"/>
        <v>0</v>
      </c>
      <c r="H79" s="819"/>
      <c r="I79" s="819">
        <f t="shared" si="5"/>
        <v>0</v>
      </c>
      <c r="J79" s="819">
        <f t="shared" si="5"/>
        <v>0</v>
      </c>
      <c r="K79" s="819">
        <f t="shared" si="5"/>
        <v>0</v>
      </c>
      <c r="L79" s="819"/>
      <c r="M79" s="651"/>
      <c r="N79" s="651"/>
      <c r="O79" s="651"/>
      <c r="P79" s="819"/>
      <c r="Q79" s="651"/>
      <c r="R79" s="651"/>
      <c r="S79" s="651"/>
    </row>
    <row r="80" spans="1:19">
      <c r="A80" s="836">
        <f t="shared" si="4"/>
        <v>2.6399999999999864</v>
      </c>
      <c r="B80" s="651"/>
      <c r="C80" s="819">
        <f t="shared" si="0"/>
        <v>0</v>
      </c>
      <c r="D80" s="819">
        <f t="shared" si="1"/>
        <v>0</v>
      </c>
      <c r="E80" s="819"/>
      <c r="F80" s="819"/>
      <c r="G80" s="819">
        <f t="shared" si="2"/>
        <v>0</v>
      </c>
      <c r="H80" s="819"/>
      <c r="I80" s="819">
        <f t="shared" si="5"/>
        <v>0</v>
      </c>
      <c r="J80" s="819">
        <f t="shared" si="5"/>
        <v>0</v>
      </c>
      <c r="K80" s="819">
        <f t="shared" si="5"/>
        <v>0</v>
      </c>
      <c r="L80" s="819"/>
      <c r="M80" s="651"/>
      <c r="N80" s="651"/>
      <c r="O80" s="651"/>
      <c r="P80" s="819"/>
      <c r="Q80" s="651"/>
      <c r="R80" s="651"/>
      <c r="S80" s="651"/>
    </row>
    <row r="81" spans="1:19">
      <c r="A81" s="836">
        <f t="shared" si="4"/>
        <v>2.6499999999999861</v>
      </c>
      <c r="B81" s="651"/>
      <c r="C81" s="819">
        <f t="shared" ref="C81:C95" si="6">SUM(M81:O81)</f>
        <v>0</v>
      </c>
      <c r="D81" s="819">
        <f t="shared" ref="D81:D95" si="7">SUM(Q81:S81)</f>
        <v>0</v>
      </c>
      <c r="E81" s="819"/>
      <c r="F81" s="819"/>
      <c r="G81" s="819">
        <f t="shared" ref="G81:G107" si="8">ROUND(SUM(C81:F81)/2,0)</f>
        <v>0</v>
      </c>
      <c r="H81" s="819"/>
      <c r="I81" s="819">
        <f t="shared" ref="I81:K95" si="9">(M81+Q81)/2</f>
        <v>0</v>
      </c>
      <c r="J81" s="819">
        <f t="shared" si="9"/>
        <v>0</v>
      </c>
      <c r="K81" s="819">
        <f t="shared" si="9"/>
        <v>0</v>
      </c>
      <c r="L81" s="819"/>
      <c r="M81" s="651"/>
      <c r="N81" s="651"/>
      <c r="O81" s="651"/>
      <c r="P81" s="819"/>
      <c r="Q81" s="651"/>
      <c r="R81" s="651"/>
      <c r="S81" s="651"/>
    </row>
    <row r="82" spans="1:19">
      <c r="A82" s="836">
        <f t="shared" si="4"/>
        <v>2.6599999999999859</v>
      </c>
      <c r="B82" s="651"/>
      <c r="C82" s="819">
        <f t="shared" si="6"/>
        <v>0</v>
      </c>
      <c r="D82" s="819">
        <f t="shared" si="7"/>
        <v>0</v>
      </c>
      <c r="E82" s="819"/>
      <c r="F82" s="819"/>
      <c r="G82" s="819">
        <f t="shared" si="8"/>
        <v>0</v>
      </c>
      <c r="H82" s="819"/>
      <c r="I82" s="819">
        <f t="shared" si="9"/>
        <v>0</v>
      </c>
      <c r="J82" s="819">
        <f t="shared" si="9"/>
        <v>0</v>
      </c>
      <c r="K82" s="819">
        <f t="shared" si="9"/>
        <v>0</v>
      </c>
      <c r="L82" s="819"/>
      <c r="M82" s="651"/>
      <c r="N82" s="651"/>
      <c r="O82" s="651"/>
      <c r="P82" s="819"/>
      <c r="Q82" s="651"/>
      <c r="R82" s="651"/>
      <c r="S82" s="651"/>
    </row>
    <row r="83" spans="1:19">
      <c r="A83" s="836">
        <f t="shared" ref="A83:A107" si="10">A82+0.01</f>
        <v>2.6699999999999857</v>
      </c>
      <c r="B83" s="651"/>
      <c r="C83" s="819">
        <f t="shared" si="6"/>
        <v>0</v>
      </c>
      <c r="D83" s="819">
        <f t="shared" si="7"/>
        <v>0</v>
      </c>
      <c r="E83" s="819"/>
      <c r="F83" s="819"/>
      <c r="G83" s="819">
        <f t="shared" si="8"/>
        <v>0</v>
      </c>
      <c r="H83" s="819"/>
      <c r="I83" s="819">
        <f t="shared" si="9"/>
        <v>0</v>
      </c>
      <c r="J83" s="819">
        <f t="shared" si="9"/>
        <v>0</v>
      </c>
      <c r="K83" s="819">
        <f t="shared" si="9"/>
        <v>0</v>
      </c>
      <c r="L83" s="819"/>
      <c r="M83" s="651"/>
      <c r="N83" s="651"/>
      <c r="O83" s="651"/>
      <c r="P83" s="819"/>
      <c r="Q83" s="651"/>
      <c r="R83" s="651"/>
      <c r="S83" s="651"/>
    </row>
    <row r="84" spans="1:19">
      <c r="A84" s="836">
        <f t="shared" si="10"/>
        <v>2.6799999999999855</v>
      </c>
      <c r="B84" s="651"/>
      <c r="C84" s="819">
        <f t="shared" si="6"/>
        <v>0</v>
      </c>
      <c r="D84" s="819">
        <f t="shared" si="7"/>
        <v>0</v>
      </c>
      <c r="E84" s="819"/>
      <c r="F84" s="819"/>
      <c r="G84" s="819">
        <f t="shared" si="8"/>
        <v>0</v>
      </c>
      <c r="H84" s="819"/>
      <c r="I84" s="819">
        <f t="shared" si="9"/>
        <v>0</v>
      </c>
      <c r="J84" s="819">
        <f t="shared" si="9"/>
        <v>0</v>
      </c>
      <c r="K84" s="819">
        <f t="shared" si="9"/>
        <v>0</v>
      </c>
      <c r="L84" s="819"/>
      <c r="M84" s="651"/>
      <c r="N84" s="651"/>
      <c r="O84" s="651"/>
      <c r="P84" s="819"/>
      <c r="Q84" s="651"/>
      <c r="R84" s="651"/>
      <c r="S84" s="651"/>
    </row>
    <row r="85" spans="1:19">
      <c r="A85" s="836">
        <f t="shared" si="10"/>
        <v>2.6899999999999853</v>
      </c>
      <c r="B85" s="651"/>
      <c r="C85" s="819">
        <f t="shared" si="6"/>
        <v>0</v>
      </c>
      <c r="D85" s="819">
        <f t="shared" si="7"/>
        <v>0</v>
      </c>
      <c r="E85" s="819"/>
      <c r="F85" s="819"/>
      <c r="G85" s="819">
        <f t="shared" si="8"/>
        <v>0</v>
      </c>
      <c r="H85" s="819"/>
      <c r="I85" s="819">
        <f t="shared" si="9"/>
        <v>0</v>
      </c>
      <c r="J85" s="819">
        <f t="shared" si="9"/>
        <v>0</v>
      </c>
      <c r="K85" s="819">
        <f t="shared" si="9"/>
        <v>0</v>
      </c>
      <c r="L85" s="819"/>
      <c r="M85" s="651"/>
      <c r="N85" s="651"/>
      <c r="O85" s="651"/>
      <c r="P85" s="819"/>
      <c r="Q85" s="651"/>
      <c r="R85" s="651"/>
      <c r="S85" s="651"/>
    </row>
    <row r="86" spans="1:19">
      <c r="A86" s="836">
        <f t="shared" si="10"/>
        <v>2.6999999999999851</v>
      </c>
      <c r="B86" s="651"/>
      <c r="C86" s="819">
        <f t="shared" si="6"/>
        <v>0</v>
      </c>
      <c r="D86" s="819">
        <f t="shared" si="7"/>
        <v>0</v>
      </c>
      <c r="E86" s="819"/>
      <c r="F86" s="819"/>
      <c r="G86" s="819">
        <f t="shared" si="8"/>
        <v>0</v>
      </c>
      <c r="H86" s="819"/>
      <c r="I86" s="819">
        <f t="shared" si="9"/>
        <v>0</v>
      </c>
      <c r="J86" s="819">
        <f t="shared" si="9"/>
        <v>0</v>
      </c>
      <c r="K86" s="819">
        <f t="shared" si="9"/>
        <v>0</v>
      </c>
      <c r="L86" s="819"/>
      <c r="M86" s="651"/>
      <c r="N86" s="651"/>
      <c r="O86" s="651"/>
      <c r="P86" s="819"/>
      <c r="Q86" s="651"/>
      <c r="R86" s="651"/>
      <c r="S86" s="651"/>
    </row>
    <row r="87" spans="1:19">
      <c r="A87" s="836">
        <f t="shared" si="10"/>
        <v>2.7099999999999849</v>
      </c>
      <c r="B87" s="651"/>
      <c r="C87" s="819">
        <f t="shared" si="6"/>
        <v>0</v>
      </c>
      <c r="D87" s="819">
        <f t="shared" si="7"/>
        <v>0</v>
      </c>
      <c r="E87" s="819"/>
      <c r="F87" s="819"/>
      <c r="G87" s="819">
        <f t="shared" si="8"/>
        <v>0</v>
      </c>
      <c r="H87" s="819"/>
      <c r="I87" s="819">
        <f t="shared" si="9"/>
        <v>0</v>
      </c>
      <c r="J87" s="819">
        <f t="shared" si="9"/>
        <v>0</v>
      </c>
      <c r="K87" s="819">
        <f t="shared" si="9"/>
        <v>0</v>
      </c>
      <c r="L87" s="819"/>
      <c r="M87" s="651"/>
      <c r="N87" s="651"/>
      <c r="O87" s="651"/>
      <c r="P87" s="819"/>
      <c r="Q87" s="651"/>
      <c r="R87" s="651"/>
      <c r="S87" s="651"/>
    </row>
    <row r="88" spans="1:19">
      <c r="A88" s="836">
        <f t="shared" si="10"/>
        <v>2.7199999999999847</v>
      </c>
      <c r="B88" s="651"/>
      <c r="C88" s="819">
        <f t="shared" si="6"/>
        <v>0</v>
      </c>
      <c r="D88" s="819">
        <f t="shared" si="7"/>
        <v>0</v>
      </c>
      <c r="E88" s="819"/>
      <c r="F88" s="819"/>
      <c r="G88" s="819">
        <f t="shared" si="8"/>
        <v>0</v>
      </c>
      <c r="H88" s="819"/>
      <c r="I88" s="819">
        <f t="shared" si="9"/>
        <v>0</v>
      </c>
      <c r="J88" s="819">
        <f t="shared" si="9"/>
        <v>0</v>
      </c>
      <c r="K88" s="819">
        <f t="shared" si="9"/>
        <v>0</v>
      </c>
      <c r="L88" s="819"/>
      <c r="M88" s="651"/>
      <c r="N88" s="651"/>
      <c r="O88" s="651"/>
      <c r="P88" s="819"/>
      <c r="Q88" s="651"/>
      <c r="R88" s="651"/>
      <c r="S88" s="651"/>
    </row>
    <row r="89" spans="1:19">
      <c r="A89" s="836">
        <f t="shared" si="10"/>
        <v>2.7299999999999844</v>
      </c>
      <c r="B89" s="651"/>
      <c r="C89" s="819">
        <f t="shared" si="6"/>
        <v>0</v>
      </c>
      <c r="D89" s="819">
        <f t="shared" si="7"/>
        <v>0</v>
      </c>
      <c r="E89" s="819"/>
      <c r="F89" s="819"/>
      <c r="G89" s="819">
        <f t="shared" si="8"/>
        <v>0</v>
      </c>
      <c r="H89" s="819"/>
      <c r="I89" s="819">
        <f t="shared" si="9"/>
        <v>0</v>
      </c>
      <c r="J89" s="819">
        <f t="shared" si="9"/>
        <v>0</v>
      </c>
      <c r="K89" s="819">
        <f t="shared" si="9"/>
        <v>0</v>
      </c>
      <c r="L89" s="819"/>
      <c r="M89" s="651"/>
      <c r="N89" s="651"/>
      <c r="O89" s="651"/>
      <c r="P89" s="819"/>
      <c r="Q89" s="651"/>
      <c r="R89" s="651"/>
      <c r="S89" s="651"/>
    </row>
    <row r="90" spans="1:19">
      <c r="A90" s="836">
        <f t="shared" si="10"/>
        <v>2.7399999999999842</v>
      </c>
      <c r="B90" s="651"/>
      <c r="C90" s="819">
        <f t="shared" si="6"/>
        <v>0</v>
      </c>
      <c r="D90" s="819">
        <f t="shared" si="7"/>
        <v>0</v>
      </c>
      <c r="E90" s="819"/>
      <c r="F90" s="819"/>
      <c r="G90" s="819">
        <f t="shared" si="8"/>
        <v>0</v>
      </c>
      <c r="H90" s="819"/>
      <c r="I90" s="819">
        <f t="shared" si="9"/>
        <v>0</v>
      </c>
      <c r="J90" s="819">
        <f t="shared" si="9"/>
        <v>0</v>
      </c>
      <c r="K90" s="819">
        <f t="shared" si="9"/>
        <v>0</v>
      </c>
      <c r="L90" s="819"/>
      <c r="M90" s="651"/>
      <c r="N90" s="651"/>
      <c r="O90" s="651"/>
      <c r="P90" s="819"/>
      <c r="Q90" s="651"/>
      <c r="R90" s="651"/>
      <c r="S90" s="651"/>
    </row>
    <row r="91" spans="1:19">
      <c r="A91" s="836">
        <f t="shared" si="10"/>
        <v>2.749999999999984</v>
      </c>
      <c r="B91" s="651"/>
      <c r="C91" s="819">
        <f t="shared" si="6"/>
        <v>0</v>
      </c>
      <c r="D91" s="819">
        <f t="shared" si="7"/>
        <v>0</v>
      </c>
      <c r="E91" s="819"/>
      <c r="F91" s="819"/>
      <c r="G91" s="819">
        <f t="shared" si="8"/>
        <v>0</v>
      </c>
      <c r="H91" s="819"/>
      <c r="I91" s="819">
        <f t="shared" si="9"/>
        <v>0</v>
      </c>
      <c r="J91" s="819">
        <f t="shared" si="9"/>
        <v>0</v>
      </c>
      <c r="K91" s="819">
        <f t="shared" si="9"/>
        <v>0</v>
      </c>
      <c r="L91" s="819"/>
      <c r="M91" s="651"/>
      <c r="N91" s="651"/>
      <c r="O91" s="651"/>
      <c r="P91" s="819"/>
      <c r="Q91" s="651"/>
      <c r="R91" s="651"/>
      <c r="S91" s="651"/>
    </row>
    <row r="92" spans="1:19">
      <c r="A92" s="836">
        <f t="shared" si="10"/>
        <v>2.7599999999999838</v>
      </c>
      <c r="B92" s="651"/>
      <c r="C92" s="819">
        <f t="shared" si="6"/>
        <v>0</v>
      </c>
      <c r="D92" s="819">
        <f t="shared" si="7"/>
        <v>0</v>
      </c>
      <c r="E92" s="819"/>
      <c r="F92" s="819"/>
      <c r="G92" s="819">
        <f t="shared" si="8"/>
        <v>0</v>
      </c>
      <c r="H92" s="819"/>
      <c r="I92" s="819">
        <f t="shared" si="9"/>
        <v>0</v>
      </c>
      <c r="J92" s="819">
        <f t="shared" si="9"/>
        <v>0</v>
      </c>
      <c r="K92" s="819">
        <f t="shared" si="9"/>
        <v>0</v>
      </c>
      <c r="L92" s="819"/>
      <c r="M92" s="651"/>
      <c r="N92" s="651"/>
      <c r="O92" s="651"/>
      <c r="P92" s="819"/>
      <c r="Q92" s="651"/>
      <c r="R92" s="651"/>
      <c r="S92" s="651"/>
    </row>
    <row r="93" spans="1:19">
      <c r="A93" s="836">
        <f t="shared" si="10"/>
        <v>2.7699999999999836</v>
      </c>
      <c r="B93" s="651"/>
      <c r="C93" s="819">
        <f t="shared" si="6"/>
        <v>0</v>
      </c>
      <c r="D93" s="819">
        <f t="shared" si="7"/>
        <v>0</v>
      </c>
      <c r="E93" s="819"/>
      <c r="F93" s="819"/>
      <c r="G93" s="819">
        <f t="shared" si="8"/>
        <v>0</v>
      </c>
      <c r="H93" s="819"/>
      <c r="I93" s="819">
        <f t="shared" si="9"/>
        <v>0</v>
      </c>
      <c r="J93" s="819">
        <f t="shared" si="9"/>
        <v>0</v>
      </c>
      <c r="K93" s="819">
        <f t="shared" si="9"/>
        <v>0</v>
      </c>
      <c r="L93" s="819"/>
      <c r="M93" s="651"/>
      <c r="N93" s="651"/>
      <c r="O93" s="651"/>
      <c r="P93" s="819"/>
      <c r="Q93" s="651"/>
      <c r="R93" s="651"/>
      <c r="S93" s="651"/>
    </row>
    <row r="94" spans="1:19">
      <c r="A94" s="836">
        <f t="shared" si="10"/>
        <v>2.7799999999999834</v>
      </c>
      <c r="B94" s="651"/>
      <c r="C94" s="819">
        <f t="shared" si="6"/>
        <v>0</v>
      </c>
      <c r="D94" s="819">
        <f t="shared" si="7"/>
        <v>0</v>
      </c>
      <c r="E94" s="819"/>
      <c r="F94" s="819"/>
      <c r="G94" s="819">
        <f t="shared" si="8"/>
        <v>0</v>
      </c>
      <c r="H94" s="819"/>
      <c r="I94" s="819">
        <f t="shared" si="9"/>
        <v>0</v>
      </c>
      <c r="J94" s="819">
        <f t="shared" si="9"/>
        <v>0</v>
      </c>
      <c r="K94" s="819">
        <f t="shared" si="9"/>
        <v>0</v>
      </c>
      <c r="L94" s="819"/>
      <c r="M94" s="651"/>
      <c r="N94" s="651"/>
      <c r="O94" s="651"/>
      <c r="P94" s="819"/>
      <c r="Q94" s="651"/>
      <c r="R94" s="651"/>
      <c r="S94" s="651"/>
    </row>
    <row r="95" spans="1:19">
      <c r="A95" s="836">
        <f t="shared" si="10"/>
        <v>2.7899999999999832</v>
      </c>
      <c r="B95" s="651"/>
      <c r="C95" s="819">
        <f t="shared" si="6"/>
        <v>0</v>
      </c>
      <c r="D95" s="819">
        <f t="shared" si="7"/>
        <v>0</v>
      </c>
      <c r="E95" s="819"/>
      <c r="F95" s="819"/>
      <c r="G95" s="819">
        <f t="shared" si="8"/>
        <v>0</v>
      </c>
      <c r="H95" s="819"/>
      <c r="I95" s="819">
        <f t="shared" si="9"/>
        <v>0</v>
      </c>
      <c r="J95" s="819">
        <f t="shared" si="9"/>
        <v>0</v>
      </c>
      <c r="K95" s="819">
        <f t="shared" si="9"/>
        <v>0</v>
      </c>
      <c r="L95" s="819"/>
      <c r="M95" s="651"/>
      <c r="N95" s="651"/>
      <c r="O95" s="651"/>
      <c r="P95" s="819"/>
      <c r="Q95" s="651"/>
      <c r="R95" s="651"/>
      <c r="S95" s="651"/>
    </row>
    <row r="96" spans="1:19">
      <c r="A96" s="836">
        <f t="shared" si="10"/>
        <v>2.7999999999999829</v>
      </c>
      <c r="B96" s="651"/>
      <c r="C96" s="651"/>
      <c r="D96" s="651"/>
      <c r="E96" s="819">
        <f t="shared" ref="E96:F106" si="11">-C96</f>
        <v>0</v>
      </c>
      <c r="F96" s="819">
        <f t="shared" si="11"/>
        <v>0</v>
      </c>
      <c r="G96" s="819">
        <f t="shared" si="8"/>
        <v>0</v>
      </c>
      <c r="H96" s="819"/>
      <c r="I96" s="819"/>
      <c r="J96" s="819"/>
      <c r="K96" s="819"/>
      <c r="L96" s="819"/>
      <c r="M96" s="819"/>
      <c r="N96" s="819"/>
      <c r="O96" s="819"/>
      <c r="P96" s="819"/>
      <c r="Q96" s="819"/>
      <c r="R96" s="819"/>
      <c r="S96" s="819"/>
    </row>
    <row r="97" spans="1:256">
      <c r="A97" s="836">
        <f t="shared" si="10"/>
        <v>2.8099999999999827</v>
      </c>
      <c r="B97" s="651"/>
      <c r="C97" s="651"/>
      <c r="D97" s="651"/>
      <c r="E97" s="819">
        <f t="shared" si="11"/>
        <v>0</v>
      </c>
      <c r="F97" s="819">
        <f t="shared" si="11"/>
        <v>0</v>
      </c>
      <c r="G97" s="819">
        <f t="shared" si="8"/>
        <v>0</v>
      </c>
      <c r="H97" s="819"/>
      <c r="I97" s="819"/>
      <c r="J97" s="819"/>
      <c r="K97" s="819"/>
      <c r="L97" s="819"/>
      <c r="M97" s="819"/>
      <c r="N97" s="819"/>
      <c r="O97" s="819"/>
      <c r="P97" s="819"/>
      <c r="Q97" s="819"/>
      <c r="R97" s="819"/>
      <c r="S97" s="819"/>
    </row>
    <row r="98" spans="1:256">
      <c r="A98" s="836">
        <f t="shared" si="10"/>
        <v>2.8199999999999825</v>
      </c>
      <c r="B98" s="651"/>
      <c r="C98" s="651"/>
      <c r="D98" s="651"/>
      <c r="E98" s="819">
        <f t="shared" si="11"/>
        <v>0</v>
      </c>
      <c r="F98" s="819">
        <f t="shared" si="11"/>
        <v>0</v>
      </c>
      <c r="G98" s="819">
        <f t="shared" si="8"/>
        <v>0</v>
      </c>
      <c r="H98" s="819"/>
      <c r="I98" s="819"/>
      <c r="J98" s="819"/>
      <c r="K98" s="819"/>
      <c r="L98" s="819"/>
      <c r="M98" s="819"/>
      <c r="N98" s="819"/>
      <c r="O98" s="819"/>
      <c r="P98" s="819"/>
      <c r="Q98" s="819"/>
      <c r="R98" s="819"/>
      <c r="S98" s="819"/>
    </row>
    <row r="99" spans="1:256">
      <c r="A99" s="836">
        <f t="shared" si="10"/>
        <v>2.8299999999999823</v>
      </c>
      <c r="B99" s="651"/>
      <c r="C99" s="651"/>
      <c r="D99" s="651"/>
      <c r="E99" s="819">
        <f t="shared" si="11"/>
        <v>0</v>
      </c>
      <c r="F99" s="819">
        <f t="shared" si="11"/>
        <v>0</v>
      </c>
      <c r="G99" s="819">
        <f t="shared" si="8"/>
        <v>0</v>
      </c>
      <c r="H99" s="819"/>
      <c r="I99" s="819"/>
      <c r="J99" s="819"/>
      <c r="K99" s="819"/>
      <c r="L99" s="819"/>
      <c r="M99" s="819"/>
      <c r="N99" s="819"/>
      <c r="O99" s="819"/>
      <c r="P99" s="819"/>
      <c r="Q99" s="819"/>
      <c r="R99" s="819"/>
      <c r="S99" s="819"/>
    </row>
    <row r="100" spans="1:256">
      <c r="A100" s="836">
        <f t="shared" si="10"/>
        <v>2.8399999999999821</v>
      </c>
      <c r="B100" s="651"/>
      <c r="C100" s="651"/>
      <c r="D100" s="651"/>
      <c r="E100" s="819">
        <f t="shared" si="11"/>
        <v>0</v>
      </c>
      <c r="F100" s="819">
        <f t="shared" si="11"/>
        <v>0</v>
      </c>
      <c r="G100" s="819">
        <f t="shared" si="8"/>
        <v>0</v>
      </c>
      <c r="H100" s="819"/>
      <c r="I100" s="819"/>
      <c r="J100" s="819"/>
      <c r="K100" s="819"/>
      <c r="L100" s="819"/>
      <c r="M100" s="819"/>
      <c r="N100" s="819"/>
      <c r="O100" s="819"/>
      <c r="P100" s="819"/>
      <c r="Q100" s="819"/>
      <c r="R100" s="819"/>
      <c r="S100" s="819"/>
    </row>
    <row r="101" spans="1:256">
      <c r="A101" s="836">
        <f t="shared" si="10"/>
        <v>2.8499999999999819</v>
      </c>
      <c r="B101" s="651"/>
      <c r="C101" s="651"/>
      <c r="D101" s="651"/>
      <c r="E101" s="819">
        <f t="shared" si="11"/>
        <v>0</v>
      </c>
      <c r="F101" s="819">
        <f t="shared" si="11"/>
        <v>0</v>
      </c>
      <c r="G101" s="819">
        <f t="shared" si="8"/>
        <v>0</v>
      </c>
      <c r="H101" s="819"/>
      <c r="I101" s="819"/>
      <c r="J101" s="819"/>
      <c r="K101" s="819"/>
      <c r="L101" s="819"/>
      <c r="M101" s="819"/>
      <c r="N101" s="819"/>
      <c r="O101" s="819"/>
      <c r="P101" s="819"/>
      <c r="Q101" s="819"/>
      <c r="R101" s="819"/>
      <c r="S101" s="819"/>
    </row>
    <row r="102" spans="1:256">
      <c r="A102" s="836">
        <f t="shared" si="10"/>
        <v>2.8599999999999817</v>
      </c>
      <c r="B102" s="651"/>
      <c r="C102" s="651"/>
      <c r="D102" s="651"/>
      <c r="E102" s="819">
        <f t="shared" si="11"/>
        <v>0</v>
      </c>
      <c r="F102" s="819">
        <f t="shared" si="11"/>
        <v>0</v>
      </c>
      <c r="G102" s="819">
        <f t="shared" si="8"/>
        <v>0</v>
      </c>
      <c r="H102" s="819"/>
      <c r="I102" s="819"/>
      <c r="J102" s="819"/>
      <c r="K102" s="819"/>
      <c r="L102" s="819"/>
      <c r="M102" s="819"/>
      <c r="N102" s="819"/>
      <c r="O102" s="819"/>
      <c r="P102" s="819"/>
      <c r="Q102" s="819"/>
      <c r="R102" s="819"/>
      <c r="S102" s="819"/>
    </row>
    <row r="103" spans="1:256">
      <c r="A103" s="836">
        <f t="shared" si="10"/>
        <v>2.8699999999999815</v>
      </c>
      <c r="B103" s="651"/>
      <c r="C103" s="651"/>
      <c r="D103" s="651"/>
      <c r="E103" s="819">
        <f t="shared" si="11"/>
        <v>0</v>
      </c>
      <c r="F103" s="819">
        <f t="shared" si="11"/>
        <v>0</v>
      </c>
      <c r="G103" s="819">
        <f t="shared" si="8"/>
        <v>0</v>
      </c>
      <c r="H103" s="819"/>
      <c r="I103" s="819"/>
      <c r="J103" s="819"/>
      <c r="K103" s="819"/>
      <c r="L103" s="819"/>
      <c r="M103" s="819"/>
      <c r="N103" s="819"/>
      <c r="O103" s="819"/>
      <c r="P103" s="819"/>
      <c r="Q103" s="819"/>
      <c r="R103" s="819"/>
      <c r="S103" s="819"/>
    </row>
    <row r="104" spans="1:256">
      <c r="A104" s="836">
        <f t="shared" si="10"/>
        <v>2.8799999999999812</v>
      </c>
      <c r="B104" s="651"/>
      <c r="C104" s="651"/>
      <c r="D104" s="651"/>
      <c r="E104" s="819">
        <f t="shared" si="11"/>
        <v>0</v>
      </c>
      <c r="F104" s="819">
        <f t="shared" si="11"/>
        <v>0</v>
      </c>
      <c r="G104" s="819">
        <f t="shared" si="8"/>
        <v>0</v>
      </c>
      <c r="H104" s="819"/>
      <c r="I104" s="819"/>
      <c r="J104" s="819"/>
      <c r="K104" s="819"/>
      <c r="L104" s="819"/>
      <c r="M104" s="819"/>
      <c r="N104" s="819"/>
      <c r="O104" s="819"/>
      <c r="P104" s="819"/>
      <c r="Q104" s="819"/>
      <c r="R104" s="819"/>
      <c r="S104" s="819"/>
    </row>
    <row r="105" spans="1:256">
      <c r="A105" s="836">
        <f t="shared" si="10"/>
        <v>2.889999999999981</v>
      </c>
      <c r="B105" s="651"/>
      <c r="C105" s="651"/>
      <c r="D105" s="651"/>
      <c r="E105" s="819">
        <f t="shared" si="11"/>
        <v>0</v>
      </c>
      <c r="F105" s="819">
        <f t="shared" si="11"/>
        <v>0</v>
      </c>
      <c r="G105" s="819">
        <f t="shared" si="8"/>
        <v>0</v>
      </c>
      <c r="H105" s="819"/>
      <c r="I105" s="819"/>
      <c r="J105" s="819"/>
      <c r="K105" s="819"/>
      <c r="L105" s="819"/>
      <c r="M105" s="1268"/>
      <c r="N105" s="1268"/>
      <c r="O105" s="1268"/>
      <c r="P105" s="1268"/>
      <c r="Q105" s="1268"/>
      <c r="R105" s="1268"/>
      <c r="S105" s="1268"/>
    </row>
    <row r="106" spans="1:256">
      <c r="A106" s="836">
        <f t="shared" si="10"/>
        <v>2.8999999999999808</v>
      </c>
      <c r="B106" s="651"/>
      <c r="C106" s="651"/>
      <c r="D106" s="651"/>
      <c r="E106" s="819">
        <f t="shared" si="11"/>
        <v>0</v>
      </c>
      <c r="F106" s="819">
        <f t="shared" si="11"/>
        <v>0</v>
      </c>
      <c r="G106" s="819">
        <f t="shared" si="8"/>
        <v>0</v>
      </c>
      <c r="H106" s="819"/>
      <c r="I106" s="819">
        <f t="shared" ref="I106:K107" si="12">(M106+Q106)/2</f>
        <v>0</v>
      </c>
      <c r="J106" s="819">
        <f t="shared" si="12"/>
        <v>0</v>
      </c>
      <c r="K106" s="819">
        <f t="shared" si="12"/>
        <v>0</v>
      </c>
      <c r="L106" s="819"/>
      <c r="M106" s="1268"/>
      <c r="N106" s="1268"/>
      <c r="O106" s="1268"/>
      <c r="P106" s="1268"/>
      <c r="Q106" s="1268"/>
      <c r="R106" s="1268"/>
      <c r="S106" s="1268"/>
    </row>
    <row r="107" spans="1:256">
      <c r="A107" s="836">
        <f t="shared" si="10"/>
        <v>2.9099999999999806</v>
      </c>
      <c r="B107" s="651"/>
      <c r="C107" s="819">
        <f>SUM(M107:O107)</f>
        <v>0</v>
      </c>
      <c r="D107" s="819">
        <f>SUM(Q107:S107)</f>
        <v>0</v>
      </c>
      <c r="E107" s="819"/>
      <c r="F107" s="819"/>
      <c r="G107" s="819">
        <f t="shared" si="8"/>
        <v>0</v>
      </c>
      <c r="H107" s="819"/>
      <c r="I107" s="819">
        <f t="shared" si="12"/>
        <v>0</v>
      </c>
      <c r="J107" s="819">
        <f t="shared" si="12"/>
        <v>0</v>
      </c>
      <c r="K107" s="819">
        <f t="shared" si="12"/>
        <v>0</v>
      </c>
      <c r="L107" s="819"/>
      <c r="M107" s="1268"/>
      <c r="N107" s="1268"/>
      <c r="O107" s="1268"/>
      <c r="P107" s="1268"/>
      <c r="Q107" s="1268"/>
      <c r="R107" s="1268"/>
      <c r="S107" s="1268"/>
    </row>
    <row r="108" spans="1:256">
      <c r="A108" s="142"/>
      <c r="B108" s="819"/>
      <c r="C108" s="819"/>
      <c r="D108" s="819"/>
      <c r="E108" s="819"/>
      <c r="F108" s="819"/>
      <c r="G108" s="819"/>
      <c r="H108" s="819"/>
      <c r="I108" s="819"/>
      <c r="J108" s="819"/>
      <c r="K108" s="819"/>
      <c r="L108" s="819"/>
      <c r="M108" s="819"/>
      <c r="N108" s="819"/>
      <c r="O108" s="819"/>
      <c r="P108" s="819"/>
      <c r="Q108" s="819"/>
      <c r="R108" s="819"/>
      <c r="S108" s="819"/>
    </row>
    <row r="109" spans="1:256" ht="13" thickBot="1">
      <c r="A109" s="1">
        <v>3</v>
      </c>
      <c r="B109" s="819" t="s">
        <v>743</v>
      </c>
      <c r="C109" s="828">
        <f>SUM(C17:C108)</f>
        <v>0</v>
      </c>
      <c r="D109" s="828">
        <f>SUM(D17:D108)</f>
        <v>0</v>
      </c>
      <c r="E109" s="828">
        <f>SUM(E17:E108)</f>
        <v>0</v>
      </c>
      <c r="F109" s="828">
        <f>SUM(F17:F108)</f>
        <v>0</v>
      </c>
      <c r="G109" s="828">
        <f>SUM(G17:G108)</f>
        <v>0</v>
      </c>
      <c r="H109" s="819"/>
      <c r="I109" s="828">
        <f>SUM(I17:I108)</f>
        <v>0</v>
      </c>
      <c r="J109" s="828">
        <f>SUM(J17:J108)</f>
        <v>0</v>
      </c>
      <c r="K109" s="828">
        <f>SUM(K17:K108)</f>
        <v>0</v>
      </c>
      <c r="L109" s="819"/>
      <c r="M109" s="828">
        <f>SUM(M17:M108)</f>
        <v>0</v>
      </c>
      <c r="N109" s="828">
        <f>SUM(N17:N108)</f>
        <v>0</v>
      </c>
      <c r="O109" s="828">
        <f>SUM(O17:O108)</f>
        <v>0</v>
      </c>
      <c r="P109" s="819"/>
      <c r="Q109" s="828">
        <f>SUM(Q17:Q108)</f>
        <v>0</v>
      </c>
      <c r="R109" s="828">
        <f>SUM(R17:R108)</f>
        <v>0</v>
      </c>
      <c r="S109" s="828">
        <f>SUM(S17:S108)</f>
        <v>0</v>
      </c>
    </row>
    <row r="110" spans="1:256" ht="13" thickTop="1">
      <c r="A110" s="1">
        <v>4</v>
      </c>
      <c r="B110" s="20" t="s">
        <v>746</v>
      </c>
      <c r="C110" s="823">
        <f>C77+C78</f>
        <v>0</v>
      </c>
      <c r="D110" s="823">
        <f>D77+D78</f>
        <v>0</v>
      </c>
      <c r="E110" s="823">
        <f>E77+E78</f>
        <v>0</v>
      </c>
      <c r="F110" s="823">
        <f>F77+F78</f>
        <v>0</v>
      </c>
      <c r="G110" s="823">
        <f>G77+G78</f>
        <v>0</v>
      </c>
      <c r="H110" s="4"/>
      <c r="I110" s="823">
        <f>I77+I78</f>
        <v>0</v>
      </c>
      <c r="J110" s="823">
        <f>J77+J78</f>
        <v>0</v>
      </c>
      <c r="K110" s="823">
        <f>K77+K78</f>
        <v>0</v>
      </c>
      <c r="L110" s="4"/>
      <c r="M110" s="823">
        <f>M77+M78</f>
        <v>0</v>
      </c>
      <c r="N110" s="823">
        <v>0</v>
      </c>
      <c r="O110" s="823">
        <f>O77+O78</f>
        <v>0</v>
      </c>
      <c r="P110" s="4"/>
      <c r="Q110" s="823">
        <f>Q77+Q78</f>
        <v>0</v>
      </c>
      <c r="R110" s="823">
        <v>0</v>
      </c>
      <c r="S110" s="823">
        <f>S77+S78</f>
        <v>0</v>
      </c>
      <c r="T110" s="4"/>
      <c r="IV110" s="819"/>
    </row>
    <row r="111" spans="1:256">
      <c r="I111" s="819"/>
    </row>
    <row r="142" spans="7:7">
      <c r="G142" t="s">
        <v>116</v>
      </c>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5"/>
  <sheetViews>
    <sheetView workbookViewId="0">
      <selection activeCell="P10" sqref="P10"/>
    </sheetView>
  </sheetViews>
  <sheetFormatPr defaultColWidth="10" defaultRowHeight="11.5"/>
  <cols>
    <col min="1" max="1" width="9.453125" style="1063" customWidth="1"/>
    <col min="2" max="2" width="20.81640625" style="1078" customWidth="1"/>
    <col min="3" max="3" width="35.54296875" style="1063" customWidth="1"/>
    <col min="4" max="4" width="12.81640625" style="1063" customWidth="1"/>
    <col min="5" max="5" width="10.453125" style="1063" customWidth="1"/>
    <col min="6" max="6" width="16.453125" style="1063" customWidth="1"/>
    <col min="7" max="7" width="12" style="1063" customWidth="1"/>
    <col min="8" max="8" width="14.26953125" style="1063" bestFit="1" customWidth="1"/>
    <col min="9" max="9" width="18.81640625" style="1063" customWidth="1"/>
    <col min="10" max="10" width="15.54296875" style="1063" customWidth="1"/>
    <col min="11" max="11" width="16.1796875" style="1063" customWidth="1"/>
    <col min="12" max="13" width="15" style="1063" customWidth="1"/>
    <col min="14" max="14" width="13.54296875" style="1063" customWidth="1"/>
    <col min="15" max="15" width="15" style="1063" customWidth="1"/>
    <col min="16" max="17" width="17.54296875" style="1063" customWidth="1"/>
    <col min="18" max="18" width="33" style="1063" customWidth="1"/>
    <col min="19" max="19" width="15" style="1063" customWidth="1"/>
    <col min="20" max="21" width="14.54296875" style="1063" bestFit="1" customWidth="1"/>
    <col min="22" max="22" width="10.54296875" style="1063" bestFit="1" customWidth="1"/>
    <col min="23" max="16384" width="10" style="1063"/>
  </cols>
  <sheetData>
    <row r="1" spans="1:23" ht="15.5">
      <c r="A1" s="1004" t="s">
        <v>940</v>
      </c>
      <c r="B1" s="1005"/>
      <c r="C1" s="1005"/>
      <c r="D1" s="1005"/>
      <c r="E1" s="1005"/>
      <c r="F1" s="1005"/>
      <c r="G1" s="1005"/>
      <c r="H1" s="1005"/>
      <c r="I1" s="1005"/>
      <c r="J1" s="1005"/>
      <c r="K1" s="1005"/>
      <c r="L1" s="1005"/>
      <c r="M1" s="1005"/>
      <c r="N1" s="1005"/>
      <c r="O1" s="1005"/>
      <c r="P1" s="1005"/>
      <c r="Q1" s="1005"/>
      <c r="R1" s="1006"/>
      <c r="S1" s="1005"/>
      <c r="T1" s="1005"/>
      <c r="U1" s="1005"/>
      <c r="V1" s="1005"/>
      <c r="W1" s="1005"/>
    </row>
    <row r="2" spans="1:23" ht="15.5">
      <c r="A2" s="1004" t="s">
        <v>941</v>
      </c>
      <c r="B2" s="1005"/>
      <c r="C2" s="1005"/>
      <c r="D2" s="1005"/>
      <c r="E2" s="1005"/>
      <c r="F2" s="1005"/>
      <c r="G2" s="1005"/>
      <c r="H2" s="1005"/>
      <c r="I2" s="1005"/>
      <c r="J2" s="1005"/>
      <c r="K2" s="1005"/>
      <c r="L2" s="1005"/>
      <c r="M2" s="1005"/>
      <c r="N2" s="1005"/>
      <c r="O2" s="1005"/>
      <c r="P2" s="1005"/>
      <c r="Q2" s="1005"/>
      <c r="R2" s="1006"/>
      <c r="S2" s="1005"/>
      <c r="T2" s="1005"/>
      <c r="U2" s="1005"/>
      <c r="V2" s="1007"/>
      <c r="W2" s="1005"/>
    </row>
    <row r="3" spans="1:23" ht="15.5">
      <c r="A3" s="1004" t="s">
        <v>942</v>
      </c>
      <c r="B3" s="1005"/>
      <c r="C3" s="1005"/>
      <c r="D3" s="1005"/>
      <c r="E3" s="1005"/>
      <c r="F3" s="1005"/>
      <c r="G3" s="1005"/>
      <c r="H3" s="1005"/>
      <c r="I3" s="1005"/>
      <c r="J3" s="1005"/>
      <c r="K3" s="1005"/>
      <c r="L3" s="1005"/>
      <c r="M3" s="1005"/>
      <c r="N3" s="1005"/>
      <c r="O3" s="1005"/>
      <c r="P3" s="1005"/>
      <c r="Q3" s="1005"/>
      <c r="R3" s="1006"/>
      <c r="S3" s="1005"/>
      <c r="T3" s="1005"/>
      <c r="U3" s="1005"/>
      <c r="V3" s="1008"/>
      <c r="W3" s="1005"/>
    </row>
    <row r="4" spans="1:23" ht="15.5">
      <c r="A4" s="1004" t="s">
        <v>1068</v>
      </c>
      <c r="B4" s="1005"/>
      <c r="C4" s="1005"/>
      <c r="D4" s="1005"/>
      <c r="E4" s="1005"/>
      <c r="F4" s="1005"/>
      <c r="G4" s="1009"/>
      <c r="H4" s="1005"/>
      <c r="I4" s="1005"/>
      <c r="J4" s="1005"/>
      <c r="K4" s="1005"/>
      <c r="L4" s="1005"/>
      <c r="M4" s="1005"/>
      <c r="N4" s="1005"/>
      <c r="O4" s="1005"/>
      <c r="P4" s="1005"/>
      <c r="Q4" s="1005"/>
      <c r="R4" s="1005"/>
      <c r="S4" s="1005"/>
      <c r="T4" s="1005"/>
      <c r="U4" s="1005"/>
      <c r="V4" s="1005"/>
      <c r="W4" s="1005"/>
    </row>
    <row r="5" spans="1:23" ht="15.5">
      <c r="A5" s="1004" t="s">
        <v>943</v>
      </c>
      <c r="B5" s="1005"/>
      <c r="C5" s="1005"/>
      <c r="D5" s="1005"/>
      <c r="E5" s="1005"/>
      <c r="F5" s="1005"/>
      <c r="G5" s="1005"/>
      <c r="H5" s="1005"/>
      <c r="I5" s="1010"/>
      <c r="J5" s="1010"/>
      <c r="K5" s="1005"/>
      <c r="L5" s="1005"/>
      <c r="M5" s="1005"/>
      <c r="N5" s="1005"/>
      <c r="O5" s="1005"/>
      <c r="P5" s="1010"/>
      <c r="Q5" s="1010"/>
      <c r="R5" s="1005"/>
      <c r="S5" s="1005"/>
      <c r="T5" s="1005"/>
      <c r="U5" s="1005"/>
      <c r="V5" s="1005"/>
      <c r="W5" s="1005"/>
    </row>
    <row r="6" spans="1:23" ht="15.5">
      <c r="A6" s="1005"/>
      <c r="B6" s="1005"/>
      <c r="C6" s="1005"/>
      <c r="D6" s="1005"/>
      <c r="E6" s="1005"/>
      <c r="F6" s="1005"/>
      <c r="G6" s="1005"/>
      <c r="H6" s="1005"/>
      <c r="I6" s="1005"/>
      <c r="J6" s="1010"/>
      <c r="K6" s="1011"/>
      <c r="L6" s="1012"/>
      <c r="M6" s="1012"/>
      <c r="N6" s="1012"/>
      <c r="O6" s="1012"/>
      <c r="P6" s="1012"/>
      <c r="Q6" s="1012"/>
      <c r="R6" s="1005"/>
      <c r="S6" s="1005"/>
      <c r="T6" s="1005"/>
      <c r="U6" s="1005"/>
      <c r="V6" s="1005"/>
      <c r="W6" s="1005"/>
    </row>
    <row r="7" spans="1:23" ht="15.5">
      <c r="A7" s="1005"/>
      <c r="B7" s="1013"/>
      <c r="C7" s="1013"/>
      <c r="D7" s="1013"/>
      <c r="E7" s="1013"/>
      <c r="F7" s="1013"/>
      <c r="G7" s="1013"/>
      <c r="H7" s="1013"/>
      <c r="I7" s="1013"/>
      <c r="J7" s="1013"/>
      <c r="K7" s="1013"/>
      <c r="L7" s="1013"/>
      <c r="M7" s="1013"/>
      <c r="N7" s="1013"/>
      <c r="O7" s="1013"/>
      <c r="P7" s="1013"/>
      <c r="Q7" s="1012"/>
      <c r="R7" s="1005"/>
      <c r="S7" s="1005"/>
      <c r="T7" s="1005"/>
      <c r="U7" s="1005"/>
      <c r="V7" s="1005"/>
      <c r="W7" s="1005"/>
    </row>
    <row r="8" spans="1:23" ht="15.5">
      <c r="A8" s="1012" t="s">
        <v>150</v>
      </c>
      <c r="B8" s="1012" t="s">
        <v>151</v>
      </c>
      <c r="C8" s="1012" t="s">
        <v>152</v>
      </c>
      <c r="D8" s="1012" t="s">
        <v>153</v>
      </c>
      <c r="E8" s="1012" t="s">
        <v>154</v>
      </c>
      <c r="F8" s="1012" t="s">
        <v>155</v>
      </c>
      <c r="G8" s="1012" t="s">
        <v>156</v>
      </c>
      <c r="H8" s="1012" t="s">
        <v>157</v>
      </c>
      <c r="I8" s="1012" t="s">
        <v>944</v>
      </c>
      <c r="J8" s="1012" t="s">
        <v>945</v>
      </c>
      <c r="K8" s="1012" t="s">
        <v>160</v>
      </c>
      <c r="L8" s="1012" t="s">
        <v>161</v>
      </c>
      <c r="M8" s="1012" t="s">
        <v>162</v>
      </c>
      <c r="N8" s="1012" t="s">
        <v>247</v>
      </c>
      <c r="O8" s="1012" t="s">
        <v>306</v>
      </c>
      <c r="P8" s="1012" t="s">
        <v>352</v>
      </c>
      <c r="Q8" s="1012" t="s">
        <v>353</v>
      </c>
      <c r="R8" s="1012" t="s">
        <v>354</v>
      </c>
      <c r="S8" s="1005"/>
      <c r="T8" s="1005"/>
      <c r="U8" s="1005"/>
      <c r="V8" s="1005"/>
      <c r="W8" s="1005"/>
    </row>
    <row r="9" spans="1:23" ht="14.5" customHeight="1">
      <c r="A9" s="1004" t="s">
        <v>946</v>
      </c>
      <c r="B9" s="1005"/>
      <c r="C9" s="1005"/>
      <c r="D9" s="1005"/>
      <c r="E9" s="1005"/>
      <c r="F9" s="1005"/>
      <c r="G9" s="1005"/>
      <c r="H9" s="1005"/>
      <c r="I9" s="1194" t="s">
        <v>1069</v>
      </c>
      <c r="J9" s="1194"/>
      <c r="K9" s="1195" t="s">
        <v>947</v>
      </c>
      <c r="L9" s="1195"/>
      <c r="M9" s="1195"/>
      <c r="N9" s="1196" t="s">
        <v>948</v>
      </c>
      <c r="O9" s="1196"/>
      <c r="P9" s="1194" t="s">
        <v>1070</v>
      </c>
      <c r="Q9" s="1194"/>
      <c r="R9" s="1005"/>
      <c r="S9" s="1005"/>
      <c r="T9" s="1005"/>
      <c r="U9" s="1005"/>
      <c r="V9" s="1005"/>
      <c r="W9" s="1005"/>
    </row>
    <row r="10" spans="1:23" ht="35.5">
      <c r="A10" s="1014" t="s">
        <v>949</v>
      </c>
      <c r="B10" s="1015" t="s">
        <v>950</v>
      </c>
      <c r="C10" s="1015" t="s">
        <v>951</v>
      </c>
      <c r="D10" s="1016" t="s">
        <v>952</v>
      </c>
      <c r="E10" s="1016" t="s">
        <v>953</v>
      </c>
      <c r="F10" s="1016" t="s">
        <v>954</v>
      </c>
      <c r="G10" s="1016" t="s">
        <v>955</v>
      </c>
      <c r="H10" s="1016" t="s">
        <v>956</v>
      </c>
      <c r="I10" s="1064" t="s">
        <v>957</v>
      </c>
      <c r="J10" s="1064" t="s">
        <v>958</v>
      </c>
      <c r="K10" s="1016" t="s">
        <v>959</v>
      </c>
      <c r="L10" s="1016">
        <v>182.3</v>
      </c>
      <c r="M10" s="1016">
        <v>254</v>
      </c>
      <c r="N10" s="1016" t="s">
        <v>960</v>
      </c>
      <c r="O10" s="1016" t="s">
        <v>961</v>
      </c>
      <c r="P10" s="1064" t="s">
        <v>957</v>
      </c>
      <c r="Q10" s="1064" t="s">
        <v>958</v>
      </c>
      <c r="R10" s="1017" t="s">
        <v>962</v>
      </c>
      <c r="S10" s="1004"/>
      <c r="T10" s="1005"/>
      <c r="U10" s="1005"/>
      <c r="V10" s="1005"/>
      <c r="W10" s="1005"/>
    </row>
    <row r="11" spans="1:23" ht="15.5">
      <c r="A11" s="1005"/>
      <c r="B11" s="1004"/>
      <c r="C11" s="1005"/>
      <c r="D11" s="1018"/>
      <c r="E11" s="1018"/>
      <c r="F11" s="1018"/>
      <c r="G11" s="1018"/>
      <c r="H11" s="1018"/>
      <c r="I11" s="1018"/>
      <c r="J11" s="1018"/>
      <c r="K11" s="1018"/>
      <c r="L11" s="1018"/>
      <c r="M11" s="1018"/>
      <c r="N11" s="1018"/>
      <c r="O11" s="1018"/>
      <c r="P11" s="1197" t="s">
        <v>963</v>
      </c>
      <c r="Q11" s="1197"/>
      <c r="R11" s="1019"/>
      <c r="S11" s="1004"/>
      <c r="T11" s="1005"/>
      <c r="U11" s="1005"/>
      <c r="V11" s="1005"/>
      <c r="W11" s="1005"/>
    </row>
    <row r="12" spans="1:23" ht="15.5">
      <c r="A12" s="1005"/>
      <c r="B12" s="1020" t="s">
        <v>964</v>
      </c>
      <c r="C12" s="1021"/>
      <c r="D12" s="1021"/>
      <c r="E12" s="1021"/>
      <c r="F12" s="1021"/>
      <c r="G12" s="1021"/>
      <c r="H12" s="1021"/>
      <c r="I12" s="1021"/>
      <c r="J12" s="1021"/>
      <c r="K12" s="1021"/>
      <c r="L12" s="1021"/>
      <c r="M12" s="1021"/>
      <c r="N12" s="1021"/>
      <c r="O12" s="1021"/>
      <c r="P12" s="1021"/>
      <c r="Q12" s="1021"/>
      <c r="R12" s="1008"/>
      <c r="S12" s="1008"/>
      <c r="T12" s="1008"/>
      <c r="U12" s="1008"/>
      <c r="V12" s="1008"/>
      <c r="W12" s="1008"/>
    </row>
    <row r="13" spans="1:23">
      <c r="A13" s="1004" t="s">
        <v>965</v>
      </c>
      <c r="B13" s="1022" t="s">
        <v>1050</v>
      </c>
      <c r="C13" s="1004" t="s">
        <v>966</v>
      </c>
      <c r="D13" s="1004" t="s">
        <v>967</v>
      </c>
      <c r="E13" s="1004" t="s">
        <v>968</v>
      </c>
      <c r="F13" s="1012"/>
      <c r="G13" s="1004"/>
      <c r="H13" s="1004"/>
      <c r="I13" s="1065"/>
      <c r="J13" s="1066"/>
      <c r="K13" s="1065"/>
      <c r="L13" s="1065"/>
      <c r="M13" s="1065"/>
      <c r="N13" s="1065"/>
      <c r="O13" s="1065"/>
      <c r="P13" s="1067">
        <f>SUM(I13:O13)</f>
        <v>0</v>
      </c>
      <c r="Q13" s="1068" t="s">
        <v>116</v>
      </c>
      <c r="R13" s="1023" t="s">
        <v>1051</v>
      </c>
      <c r="S13" s="1008"/>
      <c r="T13" s="1008"/>
      <c r="U13" s="1008"/>
      <c r="V13" s="1008"/>
      <c r="W13" s="1008"/>
    </row>
    <row r="14" spans="1:23">
      <c r="A14" s="1004" t="s">
        <v>969</v>
      </c>
      <c r="B14" s="1022" t="s">
        <v>1052</v>
      </c>
      <c r="C14" s="1013" t="s">
        <v>970</v>
      </c>
      <c r="D14" s="1013" t="s">
        <v>971</v>
      </c>
      <c r="E14" s="1004" t="s">
        <v>968</v>
      </c>
      <c r="F14" s="1024">
        <v>-22201492</v>
      </c>
      <c r="G14" s="1004"/>
      <c r="H14" s="1004"/>
      <c r="I14" s="1025"/>
      <c r="J14" s="1023"/>
      <c r="K14" s="1069"/>
      <c r="L14" s="1069"/>
      <c r="M14" s="1069"/>
      <c r="N14" s="1069"/>
      <c r="O14" s="1069"/>
      <c r="P14" s="1070"/>
      <c r="Q14" s="1067">
        <f>SUM(I14:O14)</f>
        <v>0</v>
      </c>
      <c r="R14" s="1023" t="s">
        <v>640</v>
      </c>
      <c r="S14" s="1008"/>
      <c r="T14" s="1008"/>
      <c r="U14" s="1008"/>
      <c r="V14" s="1008"/>
      <c r="W14" s="1008"/>
    </row>
    <row r="15" spans="1:23">
      <c r="A15" s="1004" t="s">
        <v>972</v>
      </c>
      <c r="B15" s="1022" t="s">
        <v>1053</v>
      </c>
      <c r="C15" s="1013" t="s">
        <v>973</v>
      </c>
      <c r="D15" s="1013" t="s">
        <v>971</v>
      </c>
      <c r="E15" s="1004" t="s">
        <v>968</v>
      </c>
      <c r="F15" s="1012"/>
      <c r="G15" s="1004"/>
      <c r="H15" s="1004"/>
      <c r="I15" s="1023"/>
      <c r="J15" s="1025"/>
      <c r="K15" s="1069"/>
      <c r="L15" s="1069"/>
      <c r="M15" s="1069"/>
      <c r="N15" s="1069"/>
      <c r="O15" s="1069"/>
      <c r="P15" s="1067">
        <f>SUM(I15:O15)</f>
        <v>0</v>
      </c>
      <c r="Q15" s="1070"/>
      <c r="R15" s="1023" t="s">
        <v>974</v>
      </c>
      <c r="S15" s="1008"/>
      <c r="T15" s="1008"/>
      <c r="U15" s="1008"/>
      <c r="V15" s="1008"/>
      <c r="W15" s="1008"/>
    </row>
    <row r="16" spans="1:23">
      <c r="A16" s="1004" t="s">
        <v>975</v>
      </c>
      <c r="B16" s="1022" t="s">
        <v>1054</v>
      </c>
      <c r="C16" s="1004" t="s">
        <v>976</v>
      </c>
      <c r="D16" s="1004" t="s">
        <v>971</v>
      </c>
      <c r="E16" s="1004" t="s">
        <v>968</v>
      </c>
      <c r="F16" s="1024">
        <v>-92216055</v>
      </c>
      <c r="G16" s="1026" t="s">
        <v>977</v>
      </c>
      <c r="H16" s="1026" t="s">
        <v>978</v>
      </c>
      <c r="I16" s="1025"/>
      <c r="J16" s="1027"/>
      <c r="K16" s="1027"/>
      <c r="L16" s="1027"/>
      <c r="M16" s="1027"/>
      <c r="N16" s="1027"/>
      <c r="O16" s="1027"/>
      <c r="P16" s="1028" t="s">
        <v>116</v>
      </c>
      <c r="Q16" s="1067">
        <f>SUM(I16:O16)</f>
        <v>0</v>
      </c>
      <c r="R16" s="1192" t="s">
        <v>1055</v>
      </c>
      <c r="S16" s="1008"/>
      <c r="T16" s="1008"/>
      <c r="U16" s="1008"/>
      <c r="V16" s="1008"/>
      <c r="W16" s="1008"/>
    </row>
    <row r="17" spans="1:23">
      <c r="A17" s="1004" t="s">
        <v>979</v>
      </c>
      <c r="B17" s="1022" t="s">
        <v>1054</v>
      </c>
      <c r="C17" s="1004" t="s">
        <v>976</v>
      </c>
      <c r="D17" s="1004" t="s">
        <v>980</v>
      </c>
      <c r="E17" s="1004" t="s">
        <v>968</v>
      </c>
      <c r="F17" s="1029">
        <v>-58572784</v>
      </c>
      <c r="G17" s="1026" t="s">
        <v>981</v>
      </c>
      <c r="H17" s="1026" t="s">
        <v>982</v>
      </c>
      <c r="I17" s="1025"/>
      <c r="J17" s="1069"/>
      <c r="K17" s="1069"/>
      <c r="L17" s="1069"/>
      <c r="M17" s="1069"/>
      <c r="N17" s="1069"/>
      <c r="O17" s="1069"/>
      <c r="P17" s="1071"/>
      <c r="Q17" s="1067">
        <f>SUM(I17:O17)</f>
        <v>0</v>
      </c>
      <c r="R17" s="1192"/>
      <c r="S17" s="1008"/>
      <c r="T17" s="1008"/>
      <c r="U17" s="1008"/>
      <c r="V17" s="1008"/>
      <c r="W17" s="1008"/>
    </row>
    <row r="18" spans="1:23">
      <c r="A18" s="1004" t="s">
        <v>983</v>
      </c>
      <c r="B18" s="1022" t="s">
        <v>1056</v>
      </c>
      <c r="C18" s="1004" t="s">
        <v>984</v>
      </c>
      <c r="D18" s="1004" t="s">
        <v>971</v>
      </c>
      <c r="E18" s="1004" t="s">
        <v>968</v>
      </c>
      <c r="F18" s="1029"/>
      <c r="G18" s="1026"/>
      <c r="H18" s="1026"/>
      <c r="I18" s="1069"/>
      <c r="J18" s="1025"/>
      <c r="K18" s="1069"/>
      <c r="L18" s="1069"/>
      <c r="M18" s="1069"/>
      <c r="N18" s="1069"/>
      <c r="O18" s="1069"/>
      <c r="P18" s="1067">
        <f>SUM(I18:O18)</f>
        <v>0</v>
      </c>
      <c r="Q18" s="1072"/>
      <c r="R18" s="1198" t="s">
        <v>1057</v>
      </c>
      <c r="S18" s="1008"/>
      <c r="T18" s="1008"/>
      <c r="U18" s="1008"/>
      <c r="V18" s="1008"/>
      <c r="W18" s="1008"/>
    </row>
    <row r="19" spans="1:23">
      <c r="A19" s="1004" t="s">
        <v>985</v>
      </c>
      <c r="B19" s="1022" t="s">
        <v>1056</v>
      </c>
      <c r="C19" s="1004" t="s">
        <v>984</v>
      </c>
      <c r="D19" s="1004" t="s">
        <v>980</v>
      </c>
      <c r="E19" s="1004" t="s">
        <v>968</v>
      </c>
      <c r="F19" s="1029"/>
      <c r="G19" s="1026"/>
      <c r="H19" s="1026"/>
      <c r="I19" s="1069"/>
      <c r="J19" s="1025"/>
      <c r="K19" s="1069"/>
      <c r="L19" s="1069"/>
      <c r="M19" s="1069"/>
      <c r="N19" s="1069"/>
      <c r="O19" s="1069"/>
      <c r="P19" s="1067">
        <f>SUM(I19:O19)</f>
        <v>0</v>
      </c>
      <c r="Q19" s="1072"/>
      <c r="R19" s="1198"/>
      <c r="S19" s="1008"/>
      <c r="T19" s="1008"/>
      <c r="U19" s="1008"/>
      <c r="V19" s="1008"/>
      <c r="W19" s="1008"/>
    </row>
    <row r="20" spans="1:23">
      <c r="A20" s="1004" t="s">
        <v>986</v>
      </c>
      <c r="B20" s="1022" t="s">
        <v>1058</v>
      </c>
      <c r="C20" s="1004" t="s">
        <v>987</v>
      </c>
      <c r="D20" s="1004" t="s">
        <v>980</v>
      </c>
      <c r="E20" s="1004" t="s">
        <v>968</v>
      </c>
      <c r="F20" s="1029">
        <v>-39072283</v>
      </c>
      <c r="G20" s="1026" t="s">
        <v>981</v>
      </c>
      <c r="H20" s="1026" t="s">
        <v>982</v>
      </c>
      <c r="I20" s="1025"/>
      <c r="J20" s="1069"/>
      <c r="K20" s="1069"/>
      <c r="L20" s="1069"/>
      <c r="M20" s="1069"/>
      <c r="N20" s="1069"/>
      <c r="O20" s="1069"/>
      <c r="P20" s="1071" t="s">
        <v>116</v>
      </c>
      <c r="Q20" s="1067">
        <f>SUM(I20:O20)</f>
        <v>0</v>
      </c>
      <c r="R20" s="1023" t="s">
        <v>1059</v>
      </c>
      <c r="S20" s="1008"/>
      <c r="T20" s="1008"/>
      <c r="U20" s="1008"/>
      <c r="V20" s="1008"/>
      <c r="W20" s="1008"/>
    </row>
    <row r="21" spans="1:23">
      <c r="A21" s="1004" t="s">
        <v>988</v>
      </c>
      <c r="B21" s="1022" t="s">
        <v>1060</v>
      </c>
      <c r="C21" s="1004" t="s">
        <v>989</v>
      </c>
      <c r="D21" s="1004" t="s">
        <v>980</v>
      </c>
      <c r="E21" s="1004" t="s">
        <v>968</v>
      </c>
      <c r="F21" s="1024"/>
      <c r="G21" s="1026"/>
      <c r="H21" s="1026"/>
      <c r="I21" s="1069"/>
      <c r="J21" s="1072"/>
      <c r="K21" s="1069"/>
      <c r="L21" s="1069"/>
      <c r="M21" s="1069"/>
      <c r="N21" s="1069"/>
      <c r="O21" s="1069"/>
      <c r="P21" s="1067">
        <f>SUM(I21:O21)</f>
        <v>0</v>
      </c>
      <c r="Q21" s="1071"/>
      <c r="R21" s="1030" t="s">
        <v>1061</v>
      </c>
      <c r="S21" s="1008"/>
      <c r="T21" s="1008"/>
      <c r="U21" s="1008"/>
      <c r="V21" s="1008"/>
      <c r="W21" s="1008"/>
    </row>
    <row r="22" spans="1:23" ht="15.5">
      <c r="A22" s="1004" t="s">
        <v>990</v>
      </c>
      <c r="B22" s="1026" t="s">
        <v>991</v>
      </c>
      <c r="C22" s="1005"/>
      <c r="D22" s="1004"/>
      <c r="E22" s="1004"/>
      <c r="F22" s="1024"/>
      <c r="G22" s="1026"/>
      <c r="H22" s="1026"/>
      <c r="I22" s="1069"/>
      <c r="J22" s="1069"/>
      <c r="K22" s="1069"/>
      <c r="L22" s="1069"/>
      <c r="M22" s="1069"/>
      <c r="N22" s="1069"/>
      <c r="O22" s="1069"/>
      <c r="P22" s="1070"/>
      <c r="Q22" s="1073"/>
      <c r="R22" s="1030"/>
      <c r="S22" s="1008"/>
      <c r="T22" s="1008"/>
      <c r="U22" s="1008"/>
      <c r="V22" s="1008"/>
      <c r="W22" s="1008"/>
    </row>
    <row r="23" spans="1:23" ht="15.5">
      <c r="A23" s="1005"/>
      <c r="B23" s="1005"/>
      <c r="C23" s="1005"/>
      <c r="D23" s="1005"/>
      <c r="E23" s="1005"/>
      <c r="F23" s="1005"/>
      <c r="G23" s="1005"/>
      <c r="H23" s="1005"/>
      <c r="I23" s="1005"/>
      <c r="J23" s="1005"/>
      <c r="K23" s="1005"/>
      <c r="L23" s="1005"/>
      <c r="M23" s="1005"/>
      <c r="N23" s="1005"/>
      <c r="O23" s="1005"/>
      <c r="P23" s="1031"/>
      <c r="Q23" s="1005"/>
      <c r="R23" s="1005"/>
      <c r="S23" s="1008"/>
      <c r="T23" s="1008"/>
      <c r="U23" s="1008"/>
      <c r="V23" s="1008"/>
      <c r="W23" s="1008"/>
    </row>
    <row r="24" spans="1:23" s="1008" customFormat="1">
      <c r="A24" s="1004"/>
      <c r="B24" s="1020" t="s">
        <v>992</v>
      </c>
      <c r="R24" s="1032"/>
    </row>
    <row r="25" spans="1:23" ht="11.5" customHeight="1">
      <c r="A25" s="1004" t="s">
        <v>993</v>
      </c>
      <c r="B25" s="1012">
        <v>182.3</v>
      </c>
      <c r="C25" s="1033" t="s">
        <v>994</v>
      </c>
      <c r="D25" s="1025" t="s">
        <v>116</v>
      </c>
      <c r="E25" s="1004" t="s">
        <v>968</v>
      </c>
      <c r="F25" s="1025"/>
      <c r="G25" s="1025" t="s">
        <v>116</v>
      </c>
      <c r="H25" s="1025"/>
      <c r="I25" s="1074"/>
      <c r="J25" s="1025"/>
      <c r="K25" s="1069"/>
      <c r="L25" s="1069"/>
      <c r="M25" s="1069"/>
      <c r="N25" s="1025"/>
      <c r="O25" s="1025"/>
      <c r="P25" s="1067">
        <f>SUM(I25:O25)</f>
        <v>0</v>
      </c>
      <c r="Q25" s="1034"/>
      <c r="R25" s="1023" t="s">
        <v>995</v>
      </c>
      <c r="S25" s="1008"/>
      <c r="T25" s="1008"/>
      <c r="U25" s="1008"/>
      <c r="V25" s="1008"/>
      <c r="W25" s="1008"/>
    </row>
    <row r="26" spans="1:23" ht="11.5" customHeight="1">
      <c r="A26" s="1004" t="s">
        <v>996</v>
      </c>
      <c r="B26" s="1012">
        <v>254</v>
      </c>
      <c r="C26" s="1033" t="s">
        <v>997</v>
      </c>
      <c r="D26" s="1025" t="s">
        <v>116</v>
      </c>
      <c r="E26" s="1004" t="s">
        <v>968</v>
      </c>
      <c r="F26" s="1025"/>
      <c r="G26" s="1025" t="s">
        <v>116</v>
      </c>
      <c r="H26" s="1025"/>
      <c r="I26" s="1074"/>
      <c r="J26" s="1025"/>
      <c r="K26" s="1069"/>
      <c r="L26" s="1069"/>
      <c r="M26" s="1069"/>
      <c r="N26" s="1025"/>
      <c r="O26" s="1025"/>
      <c r="P26" s="1067">
        <f>SUM(I26:O26)</f>
        <v>0</v>
      </c>
      <c r="Q26" s="1034"/>
      <c r="R26" s="1023" t="s">
        <v>998</v>
      </c>
      <c r="S26" s="1008"/>
      <c r="T26" s="1008"/>
      <c r="U26" s="1008"/>
      <c r="V26" s="1008"/>
      <c r="W26" s="1008"/>
    </row>
    <row r="27" spans="1:23" ht="11.5" customHeight="1">
      <c r="A27" s="1004" t="s">
        <v>999</v>
      </c>
      <c r="B27" s="1026" t="s">
        <v>991</v>
      </c>
      <c r="C27" s="1033"/>
      <c r="D27" s="1025"/>
      <c r="E27" s="1004"/>
      <c r="F27" s="1025"/>
      <c r="G27" s="1025"/>
      <c r="H27" s="1025"/>
      <c r="I27" s="1069"/>
      <c r="J27" s="1025"/>
      <c r="K27" s="1069"/>
      <c r="L27" s="1069"/>
      <c r="M27" s="1069"/>
      <c r="N27" s="1025"/>
      <c r="O27" s="1025"/>
      <c r="P27" s="1034"/>
      <c r="Q27" s="1034"/>
      <c r="R27" s="1023"/>
      <c r="S27" s="1008"/>
      <c r="T27" s="1008"/>
      <c r="U27" s="1008"/>
      <c r="V27" s="1008"/>
      <c r="W27" s="1008"/>
    </row>
    <row r="28" spans="1:23" ht="15.5">
      <c r="A28" s="1005"/>
      <c r="B28" s="1012"/>
      <c r="C28" s="1033"/>
      <c r="D28" s="1013"/>
      <c r="E28" s="1013"/>
      <c r="F28" s="1013"/>
      <c r="G28" s="1013"/>
      <c r="H28" s="1013"/>
      <c r="I28" s="1013"/>
      <c r="J28" s="1013"/>
      <c r="K28" s="1013"/>
      <c r="L28" s="1013"/>
      <c r="M28" s="1013"/>
      <c r="N28" s="1013"/>
      <c r="O28" s="1013"/>
      <c r="P28" s="1013"/>
      <c r="Q28" s="1013"/>
      <c r="R28" s="1035"/>
      <c r="S28" s="1008"/>
      <c r="T28" s="1008"/>
      <c r="U28" s="1008"/>
      <c r="V28" s="1008"/>
      <c r="W28" s="1008"/>
    </row>
    <row r="29" spans="1:23" ht="12.75" customHeight="1" thickBot="1">
      <c r="A29" s="1036">
        <v>3</v>
      </c>
      <c r="B29" s="1193" t="s">
        <v>1000</v>
      </c>
      <c r="C29" s="1193"/>
      <c r="D29" s="1025"/>
      <c r="E29" s="1025"/>
      <c r="F29" s="1025"/>
      <c r="G29" s="1025"/>
      <c r="H29" s="1025"/>
      <c r="I29" s="1075">
        <f>SUM(I13:I27)</f>
        <v>0</v>
      </c>
      <c r="J29" s="1075">
        <f t="shared" ref="J29:Q29" si="0">SUM(J13:J27)</f>
        <v>0</v>
      </c>
      <c r="K29" s="1075">
        <f t="shared" si="0"/>
        <v>0</v>
      </c>
      <c r="L29" s="1075">
        <f t="shared" si="0"/>
        <v>0</v>
      </c>
      <c r="M29" s="1075">
        <f t="shared" si="0"/>
        <v>0</v>
      </c>
      <c r="N29" s="1075">
        <f>-SUM(N13:N27)</f>
        <v>0</v>
      </c>
      <c r="O29" s="1075">
        <f>-SUM(O13:O27)</f>
        <v>0</v>
      </c>
      <c r="P29" s="1075">
        <f t="shared" si="0"/>
        <v>0</v>
      </c>
      <c r="Q29" s="1075">
        <f t="shared" si="0"/>
        <v>0</v>
      </c>
      <c r="R29" s="1037"/>
      <c r="S29" s="1008"/>
      <c r="T29" s="1008"/>
      <c r="U29" s="1008"/>
      <c r="V29" s="1008"/>
      <c r="W29" s="1008"/>
    </row>
    <row r="30" spans="1:23" ht="16" thickTop="1">
      <c r="A30" s="1005"/>
      <c r="B30" s="1012"/>
      <c r="C30" s="1033"/>
      <c r="D30" s="1013"/>
      <c r="E30" s="1013"/>
      <c r="F30" s="1013"/>
      <c r="G30" s="1013"/>
      <c r="H30" s="1013"/>
      <c r="I30" s="1038"/>
      <c r="J30" s="1029"/>
      <c r="K30" s="1039"/>
      <c r="L30" s="1039"/>
      <c r="M30" s="1039"/>
      <c r="N30" s="1040" t="s">
        <v>1001</v>
      </c>
      <c r="O30" s="1040"/>
      <c r="P30" s="1039"/>
      <c r="Q30" s="1041"/>
      <c r="R30" s="1037"/>
      <c r="S30" s="1008"/>
      <c r="T30" s="1008"/>
      <c r="U30" s="1008"/>
      <c r="V30" s="1008"/>
      <c r="W30" s="1008"/>
    </row>
    <row r="31" spans="1:23">
      <c r="A31" s="1026" t="s">
        <v>1002</v>
      </c>
      <c r="B31" s="1012"/>
      <c r="C31" s="1033"/>
      <c r="D31" s="1013"/>
      <c r="E31" s="1013"/>
      <c r="F31" s="1013"/>
      <c r="G31" s="1013"/>
      <c r="H31" s="1013"/>
      <c r="I31" s="1038"/>
      <c r="J31" s="1029"/>
      <c r="K31" s="1039"/>
      <c r="L31" s="1039"/>
      <c r="M31" s="1039"/>
      <c r="N31" s="1029"/>
      <c r="O31" s="1029"/>
      <c r="P31" s="1039"/>
      <c r="Q31" s="1041"/>
      <c r="R31" s="1037"/>
      <c r="S31" s="1008"/>
      <c r="T31" s="1008"/>
      <c r="U31" s="1008"/>
      <c r="V31" s="1008"/>
      <c r="W31" s="1008"/>
    </row>
    <row r="32" spans="1:23" ht="15.5">
      <c r="A32" s="1005"/>
      <c r="B32" s="1004"/>
      <c r="C32" s="1005"/>
      <c r="D32" s="1018"/>
      <c r="E32" s="1018"/>
      <c r="F32" s="1018"/>
      <c r="G32" s="1018"/>
      <c r="H32" s="1018"/>
      <c r="I32" s="1018"/>
      <c r="J32" s="1018"/>
      <c r="K32" s="1018"/>
      <c r="L32" s="1018"/>
      <c r="M32" s="1018"/>
      <c r="N32" s="1018"/>
      <c r="O32" s="1018"/>
      <c r="P32" s="1197" t="s">
        <v>963</v>
      </c>
      <c r="Q32" s="1197"/>
      <c r="R32" s="1017"/>
      <c r="S32" s="1008"/>
      <c r="T32" s="1008"/>
      <c r="U32" s="1008"/>
      <c r="V32" s="1008"/>
      <c r="W32" s="1008"/>
    </row>
    <row r="33" spans="1:23" ht="15.5">
      <c r="A33" s="1005"/>
      <c r="B33" s="1020" t="s">
        <v>964</v>
      </c>
      <c r="C33" s="1021"/>
      <c r="D33" s="1021"/>
      <c r="E33" s="1021"/>
      <c r="F33" s="1021"/>
      <c r="G33" s="1021"/>
      <c r="H33" s="1021"/>
      <c r="I33" s="1021"/>
      <c r="J33" s="1021"/>
      <c r="K33" s="1021"/>
      <c r="L33" s="1021"/>
      <c r="M33" s="1021"/>
      <c r="N33" s="1021"/>
      <c r="O33" s="1021"/>
      <c r="P33" s="1021"/>
      <c r="Q33" s="1021"/>
      <c r="R33" s="1008"/>
      <c r="S33" s="1008"/>
      <c r="T33" s="1008"/>
      <c r="U33" s="1008"/>
      <c r="V33" s="1008"/>
      <c r="W33" s="1008"/>
    </row>
    <row r="34" spans="1:23">
      <c r="A34" s="1004" t="s">
        <v>1003</v>
      </c>
      <c r="B34" s="1022" t="s">
        <v>1050</v>
      </c>
      <c r="C34" s="1004" t="s">
        <v>966</v>
      </c>
      <c r="D34" s="1004" t="s">
        <v>967</v>
      </c>
      <c r="E34" s="1004" t="s">
        <v>968</v>
      </c>
      <c r="F34" s="1012"/>
      <c r="G34" s="1004"/>
      <c r="H34" s="1004"/>
      <c r="I34" s="1069"/>
      <c r="J34" s="1072"/>
      <c r="K34" s="1069"/>
      <c r="L34" s="1069"/>
      <c r="M34" s="1069"/>
      <c r="N34" s="1069"/>
      <c r="O34" s="1069"/>
      <c r="P34" s="1067">
        <f>SUM(I34:O34)</f>
        <v>0</v>
      </c>
      <c r="Q34" s="1025"/>
      <c r="R34" s="1023" t="s">
        <v>640</v>
      </c>
      <c r="S34" s="1008"/>
      <c r="T34" s="1008"/>
      <c r="U34" s="1008"/>
      <c r="V34" s="1008"/>
      <c r="W34" s="1008"/>
    </row>
    <row r="35" spans="1:23">
      <c r="A35" s="1004" t="s">
        <v>1004</v>
      </c>
      <c r="B35" s="1022" t="s">
        <v>1054</v>
      </c>
      <c r="C35" s="1004" t="s">
        <v>976</v>
      </c>
      <c r="D35" s="1004" t="s">
        <v>971</v>
      </c>
      <c r="E35" s="1004" t="s">
        <v>968</v>
      </c>
      <c r="F35" s="1024">
        <v>-35312263</v>
      </c>
      <c r="G35" s="1026" t="s">
        <v>977</v>
      </c>
      <c r="H35" s="1026" t="s">
        <v>978</v>
      </c>
      <c r="I35" s="1025"/>
      <c r="J35" s="1069"/>
      <c r="K35" s="1069"/>
      <c r="L35" s="1069"/>
      <c r="M35" s="1069"/>
      <c r="N35" s="1069"/>
      <c r="O35" s="1069"/>
      <c r="P35" s="1025"/>
      <c r="Q35" s="1067">
        <f>SUM(I35:O35)</f>
        <v>0</v>
      </c>
      <c r="R35" s="1198" t="s">
        <v>1062</v>
      </c>
      <c r="S35" s="1008"/>
      <c r="T35" s="1008"/>
      <c r="U35" s="1008"/>
      <c r="V35" s="1008"/>
      <c r="W35" s="1008"/>
    </row>
    <row r="36" spans="1:23">
      <c r="A36" s="1004" t="s">
        <v>1005</v>
      </c>
      <c r="B36" s="1022" t="s">
        <v>1054</v>
      </c>
      <c r="C36" s="1004" t="s">
        <v>976</v>
      </c>
      <c r="D36" s="1004" t="s">
        <v>980</v>
      </c>
      <c r="E36" s="1004" t="s">
        <v>968</v>
      </c>
      <c r="F36" s="1029">
        <v>-434774</v>
      </c>
      <c r="G36" s="1026" t="s">
        <v>981</v>
      </c>
      <c r="H36" s="1026" t="s">
        <v>982</v>
      </c>
      <c r="I36" s="1025"/>
      <c r="J36" s="1069"/>
      <c r="K36" s="1069"/>
      <c r="L36" s="1069"/>
      <c r="M36" s="1069"/>
      <c r="N36" s="1069"/>
      <c r="O36" s="1069"/>
      <c r="P36" s="1025"/>
      <c r="Q36" s="1067">
        <f>SUM(I36:O36)</f>
        <v>0</v>
      </c>
      <c r="R36" s="1198"/>
      <c r="S36" s="1008"/>
      <c r="T36" s="1008"/>
      <c r="U36" s="1008"/>
      <c r="V36" s="1008"/>
      <c r="W36" s="1008"/>
    </row>
    <row r="37" spans="1:23">
      <c r="A37" s="1004" t="s">
        <v>1006</v>
      </c>
      <c r="B37" s="1022" t="s">
        <v>1056</v>
      </c>
      <c r="C37" s="1004" t="s">
        <v>984</v>
      </c>
      <c r="D37" s="1004" t="s">
        <v>971</v>
      </c>
      <c r="E37" s="1004" t="s">
        <v>968</v>
      </c>
      <c r="F37" s="1029"/>
      <c r="G37" s="1026"/>
      <c r="H37" s="1026"/>
      <c r="I37" s="1069"/>
      <c r="J37" s="1025"/>
      <c r="K37" s="1069"/>
      <c r="L37" s="1069"/>
      <c r="M37" s="1069"/>
      <c r="N37" s="1069"/>
      <c r="O37" s="1069"/>
      <c r="P37" s="1067">
        <f>SUM(I37:O37)</f>
        <v>0</v>
      </c>
      <c r="Q37" s="1025"/>
      <c r="R37" s="1198" t="s">
        <v>640</v>
      </c>
      <c r="S37" s="1008"/>
      <c r="T37" s="1008"/>
      <c r="U37" s="1008"/>
      <c r="V37" s="1008"/>
      <c r="W37" s="1008"/>
    </row>
    <row r="38" spans="1:23">
      <c r="A38" s="1004" t="s">
        <v>1007</v>
      </c>
      <c r="B38" s="1022" t="s">
        <v>1056</v>
      </c>
      <c r="C38" s="1004" t="s">
        <v>984</v>
      </c>
      <c r="D38" s="1004" t="s">
        <v>980</v>
      </c>
      <c r="E38" s="1004" t="s">
        <v>968</v>
      </c>
      <c r="F38" s="1029"/>
      <c r="G38" s="1026"/>
      <c r="H38" s="1026"/>
      <c r="I38" s="1069"/>
      <c r="J38" s="1025"/>
      <c r="K38" s="1069"/>
      <c r="L38" s="1069"/>
      <c r="M38" s="1069"/>
      <c r="N38" s="1069"/>
      <c r="O38" s="1069"/>
      <c r="P38" s="1067">
        <f>SUM(I38:O38)</f>
        <v>0</v>
      </c>
      <c r="Q38" s="1025"/>
      <c r="R38" s="1198"/>
      <c r="S38" s="1008"/>
      <c r="T38" s="1008"/>
      <c r="U38" s="1008"/>
      <c r="V38" s="1008"/>
      <c r="W38" s="1008"/>
    </row>
    <row r="39" spans="1:23">
      <c r="A39" s="1004" t="s">
        <v>1008</v>
      </c>
      <c r="B39" s="1022" t="s">
        <v>1058</v>
      </c>
      <c r="C39" s="1004" t="s">
        <v>987</v>
      </c>
      <c r="D39" s="1004" t="s">
        <v>980</v>
      </c>
      <c r="E39" s="1004" t="s">
        <v>968</v>
      </c>
      <c r="F39" s="1029">
        <v>1632023</v>
      </c>
      <c r="G39" s="1026" t="s">
        <v>981</v>
      </c>
      <c r="H39" s="1026" t="s">
        <v>982</v>
      </c>
      <c r="I39" s="1025"/>
      <c r="J39" s="1069"/>
      <c r="K39" s="1069"/>
      <c r="L39" s="1069"/>
      <c r="M39" s="1069"/>
      <c r="N39" s="1069"/>
      <c r="O39" s="1069"/>
      <c r="P39" s="1071" t="s">
        <v>116</v>
      </c>
      <c r="Q39" s="1067">
        <f>SUM(I39:O39)</f>
        <v>0</v>
      </c>
      <c r="R39" s="1055" t="s">
        <v>1063</v>
      </c>
      <c r="S39" s="1008"/>
      <c r="T39" s="1008"/>
      <c r="U39" s="1008"/>
      <c r="V39" s="1008"/>
      <c r="W39" s="1008"/>
    </row>
    <row r="40" spans="1:23">
      <c r="A40" s="1004" t="s">
        <v>1009</v>
      </c>
      <c r="B40" s="1022" t="s">
        <v>1060</v>
      </c>
      <c r="C40" s="1004" t="s">
        <v>989</v>
      </c>
      <c r="D40" s="1004" t="s">
        <v>980</v>
      </c>
      <c r="E40" s="1004" t="s">
        <v>968</v>
      </c>
      <c r="F40" s="1024"/>
      <c r="G40" s="1026"/>
      <c r="H40" s="1026"/>
      <c r="I40" s="1069"/>
      <c r="J40" s="1072"/>
      <c r="K40" s="1069"/>
      <c r="L40" s="1069"/>
      <c r="M40" s="1069"/>
      <c r="N40" s="1069"/>
      <c r="O40" s="1069"/>
      <c r="P40" s="1067">
        <f>SUM(I40:O40)</f>
        <v>0</v>
      </c>
      <c r="Q40" s="1071"/>
      <c r="R40" s="1030" t="s">
        <v>640</v>
      </c>
      <c r="S40" s="1008"/>
      <c r="T40" s="1008"/>
      <c r="U40" s="1008"/>
      <c r="V40" s="1008"/>
      <c r="W40" s="1008"/>
    </row>
    <row r="41" spans="1:23" ht="15.5">
      <c r="A41" s="1004" t="s">
        <v>1010</v>
      </c>
      <c r="B41" s="1026" t="s">
        <v>991</v>
      </c>
      <c r="C41" s="1005"/>
      <c r="D41" s="1004"/>
      <c r="E41" s="1004"/>
      <c r="F41" s="1024"/>
      <c r="G41" s="1026"/>
      <c r="H41" s="1026"/>
      <c r="I41" s="1069"/>
      <c r="J41" s="1069"/>
      <c r="K41" s="1069"/>
      <c r="L41" s="1069"/>
      <c r="M41" s="1069"/>
      <c r="N41" s="1069"/>
      <c r="O41" s="1069"/>
      <c r="P41" s="1070"/>
      <c r="Q41" s="1073"/>
      <c r="R41" s="1030"/>
      <c r="S41" s="1008"/>
      <c r="T41" s="1008"/>
      <c r="U41" s="1008"/>
      <c r="V41" s="1008"/>
      <c r="W41" s="1008"/>
    </row>
    <row r="42" spans="1:23" ht="15.5">
      <c r="A42" s="1005"/>
      <c r="B42" s="1005"/>
      <c r="C42" s="1005"/>
      <c r="D42" s="1005"/>
      <c r="E42" s="1005"/>
      <c r="F42" s="1005"/>
      <c r="G42" s="1005"/>
      <c r="H42" s="1005"/>
      <c r="I42" s="1005"/>
      <c r="J42" s="1005"/>
      <c r="K42" s="1005"/>
      <c r="L42" s="1005"/>
      <c r="M42" s="1005"/>
      <c r="N42" s="1005"/>
      <c r="O42" s="1005"/>
      <c r="P42" s="1005"/>
      <c r="Q42" s="1005"/>
      <c r="R42" s="1005"/>
      <c r="S42" s="1008"/>
      <c r="T42" s="1008"/>
      <c r="U42" s="1008"/>
      <c r="V42" s="1008"/>
      <c r="W42" s="1008"/>
    </row>
    <row r="43" spans="1:23" ht="15.5">
      <c r="A43" s="1005"/>
      <c r="B43" s="1020" t="s">
        <v>992</v>
      </c>
      <c r="C43" s="1008"/>
      <c r="D43" s="1008"/>
      <c r="E43" s="1008"/>
      <c r="F43" s="1008"/>
      <c r="G43" s="1008"/>
      <c r="H43" s="1008"/>
      <c r="I43" s="1008"/>
      <c r="J43" s="1008"/>
      <c r="K43" s="1008"/>
      <c r="L43" s="1008"/>
      <c r="M43" s="1008"/>
      <c r="N43" s="1008"/>
      <c r="O43" s="1008"/>
      <c r="P43" s="1008"/>
      <c r="Q43" s="1008"/>
      <c r="R43" s="1008"/>
      <c r="S43" s="1008"/>
      <c r="T43" s="1008"/>
      <c r="U43" s="1008"/>
      <c r="V43" s="1008"/>
      <c r="W43" s="1008"/>
    </row>
    <row r="44" spans="1:23">
      <c r="A44" s="1004" t="s">
        <v>623</v>
      </c>
      <c r="B44" s="1012">
        <v>182.3</v>
      </c>
      <c r="C44" s="1033" t="s">
        <v>994</v>
      </c>
      <c r="D44" s="1025" t="s">
        <v>116</v>
      </c>
      <c r="E44" s="1004" t="s">
        <v>968</v>
      </c>
      <c r="F44" s="1025"/>
      <c r="G44" s="1025" t="s">
        <v>116</v>
      </c>
      <c r="H44" s="1025"/>
      <c r="I44" s="1074"/>
      <c r="J44" s="1025"/>
      <c r="K44" s="1069"/>
      <c r="L44" s="1069"/>
      <c r="M44" s="1069"/>
      <c r="N44" s="1025"/>
      <c r="O44" s="1025"/>
      <c r="P44" s="1067">
        <f>SUM(I44:O44)</f>
        <v>0</v>
      </c>
      <c r="Q44" s="1034"/>
      <c r="R44" s="1023" t="s">
        <v>995</v>
      </c>
      <c r="S44" s="1008"/>
      <c r="T44" s="1008"/>
      <c r="U44" s="1008"/>
      <c r="V44" s="1008"/>
      <c r="W44" s="1008"/>
    </row>
    <row r="45" spans="1:23">
      <c r="A45" s="1004" t="s">
        <v>624</v>
      </c>
      <c r="B45" s="1012">
        <v>254</v>
      </c>
      <c r="C45" s="1033" t="s">
        <v>997</v>
      </c>
      <c r="D45" s="1025" t="s">
        <v>116</v>
      </c>
      <c r="E45" s="1004" t="s">
        <v>968</v>
      </c>
      <c r="F45" s="1025"/>
      <c r="G45" s="1025" t="s">
        <v>116</v>
      </c>
      <c r="H45" s="1025"/>
      <c r="I45" s="1074"/>
      <c r="J45" s="1025"/>
      <c r="K45" s="1069"/>
      <c r="L45" s="1069"/>
      <c r="M45" s="1069"/>
      <c r="N45" s="1025"/>
      <c r="O45" s="1025"/>
      <c r="P45" s="1067">
        <f>SUM(I45:O45)</f>
        <v>0</v>
      </c>
      <c r="Q45" s="1034"/>
      <c r="R45" s="1023" t="s">
        <v>995</v>
      </c>
      <c r="S45" s="1008"/>
      <c r="T45" s="1008"/>
      <c r="U45" s="1008"/>
      <c r="V45" s="1008"/>
      <c r="W45" s="1008"/>
    </row>
    <row r="46" spans="1:23">
      <c r="A46" s="1004" t="s">
        <v>1011</v>
      </c>
      <c r="B46" s="1026" t="s">
        <v>991</v>
      </c>
      <c r="C46" s="1033"/>
      <c r="D46" s="1025"/>
      <c r="E46" s="1004"/>
      <c r="F46" s="1025"/>
      <c r="G46" s="1025"/>
      <c r="H46" s="1025"/>
      <c r="I46" s="1069"/>
      <c r="J46" s="1025"/>
      <c r="K46" s="1069"/>
      <c r="L46" s="1069"/>
      <c r="M46" s="1069"/>
      <c r="N46" s="1025"/>
      <c r="O46" s="1025"/>
      <c r="P46" s="1034"/>
      <c r="Q46" s="1034"/>
      <c r="R46" s="1023"/>
      <c r="S46" s="1008"/>
      <c r="T46" s="1008"/>
      <c r="U46" s="1008"/>
      <c r="V46" s="1008"/>
      <c r="W46" s="1008"/>
    </row>
    <row r="47" spans="1:23" ht="15.5">
      <c r="A47" s="1005"/>
      <c r="B47" s="1012"/>
      <c r="C47" s="1033"/>
      <c r="D47" s="1013"/>
      <c r="E47" s="1013"/>
      <c r="F47" s="1013"/>
      <c r="G47" s="1013"/>
      <c r="H47" s="1013"/>
      <c r="I47" s="1013"/>
      <c r="J47" s="1013"/>
      <c r="K47" s="1013"/>
      <c r="L47" s="1013"/>
      <c r="M47" s="1013"/>
      <c r="N47" s="1013"/>
      <c r="O47" s="1013"/>
      <c r="P47" s="1013"/>
      <c r="Q47" s="1013"/>
      <c r="R47" s="1035"/>
      <c r="S47" s="1008"/>
      <c r="T47" s="1008"/>
      <c r="U47" s="1008"/>
      <c r="V47" s="1008"/>
      <c r="W47" s="1008"/>
    </row>
    <row r="48" spans="1:23" ht="12.75" customHeight="1" thickBot="1">
      <c r="A48" s="1036">
        <v>6</v>
      </c>
      <c r="B48" s="1193" t="s">
        <v>1012</v>
      </c>
      <c r="C48" s="1193"/>
      <c r="D48" s="1025"/>
      <c r="E48" s="1025"/>
      <c r="F48" s="1025"/>
      <c r="G48" s="1025"/>
      <c r="H48" s="1025"/>
      <c r="I48" s="1075">
        <f>SUM(I34:I46)</f>
        <v>0</v>
      </c>
      <c r="J48" s="1075">
        <f t="shared" ref="J48:Q48" si="1">SUM(J34:J46)</f>
        <v>0</v>
      </c>
      <c r="K48" s="1075">
        <f t="shared" si="1"/>
        <v>0</v>
      </c>
      <c r="L48" s="1075">
        <f t="shared" si="1"/>
        <v>0</v>
      </c>
      <c r="M48" s="1075">
        <f t="shared" si="1"/>
        <v>0</v>
      </c>
      <c r="N48" s="1075">
        <f>-SUM(N34:N46)</f>
        <v>0</v>
      </c>
      <c r="O48" s="1075">
        <f>-SUM(O34:O46)</f>
        <v>0</v>
      </c>
      <c r="P48" s="1075">
        <f t="shared" si="1"/>
        <v>0</v>
      </c>
      <c r="Q48" s="1075">
        <f t="shared" si="1"/>
        <v>0</v>
      </c>
      <c r="R48" s="1037"/>
      <c r="S48" s="1008"/>
      <c r="T48" s="1008"/>
      <c r="U48" s="1008"/>
      <c r="V48" s="1008"/>
      <c r="W48" s="1008"/>
    </row>
    <row r="49" spans="1:23" ht="16" thickTop="1">
      <c r="A49" s="1005"/>
      <c r="B49" s="1012"/>
      <c r="C49" s="1033"/>
      <c r="D49" s="1013"/>
      <c r="E49" s="1013"/>
      <c r="F49" s="1013"/>
      <c r="G49" s="1013"/>
      <c r="H49" s="1013"/>
      <c r="I49" s="1038"/>
      <c r="J49" s="1029"/>
      <c r="K49" s="1039"/>
      <c r="L49" s="1039"/>
      <c r="M49" s="1039"/>
      <c r="N49" s="1040" t="s">
        <v>1001</v>
      </c>
      <c r="O49" s="1029"/>
      <c r="P49" s="1039"/>
      <c r="Q49" s="1041"/>
      <c r="R49" s="1037"/>
      <c r="S49" s="1008"/>
      <c r="T49" s="1008"/>
      <c r="U49" s="1008"/>
      <c r="V49" s="1008"/>
      <c r="W49" s="1008"/>
    </row>
    <row r="50" spans="1:23" ht="15.5">
      <c r="A50" s="1005"/>
      <c r="B50" s="1012"/>
      <c r="C50" s="1033"/>
      <c r="D50" s="1013"/>
      <c r="E50" s="1013"/>
      <c r="F50" s="1013"/>
      <c r="G50" s="1013"/>
      <c r="H50" s="1013"/>
      <c r="I50" s="1038"/>
      <c r="J50" s="1029"/>
      <c r="K50" s="1039"/>
      <c r="L50" s="1039"/>
      <c r="M50" s="1039"/>
      <c r="N50" s="1029"/>
      <c r="O50" s="1029"/>
      <c r="P50" s="1039"/>
      <c r="Q50" s="1041"/>
      <c r="R50" s="1037"/>
      <c r="S50" s="1008"/>
      <c r="T50" s="1008"/>
      <c r="U50" s="1008"/>
      <c r="V50" s="1008"/>
      <c r="W50" s="1008"/>
    </row>
    <row r="51" spans="1:23" ht="18.649999999999999" customHeight="1">
      <c r="A51" s="1190" t="s">
        <v>1013</v>
      </c>
      <c r="B51" s="1190"/>
      <c r="C51" s="1190"/>
      <c r="D51" s="1190"/>
      <c r="E51" s="1190"/>
      <c r="F51" s="1190"/>
      <c r="G51" s="1190"/>
      <c r="H51" s="1190"/>
      <c r="I51" s="1190"/>
      <c r="J51" s="1190"/>
      <c r="K51" s="1039"/>
      <c r="L51" s="1039"/>
      <c r="M51" s="1039"/>
      <c r="N51" s="1029"/>
      <c r="O51" s="1029"/>
      <c r="P51" s="1039"/>
      <c r="Q51" s="1041"/>
      <c r="R51" s="1037"/>
      <c r="S51" s="1008"/>
      <c r="T51" s="1008"/>
      <c r="U51" s="1008"/>
      <c r="V51" s="1008"/>
      <c r="W51" s="1008"/>
    </row>
    <row r="52" spans="1:23" ht="23.15" customHeight="1">
      <c r="A52" s="1190"/>
      <c r="B52" s="1190"/>
      <c r="C52" s="1190"/>
      <c r="D52" s="1190"/>
      <c r="E52" s="1190"/>
      <c r="F52" s="1190"/>
      <c r="G52" s="1190"/>
      <c r="H52" s="1190"/>
      <c r="I52" s="1190"/>
      <c r="J52" s="1190"/>
      <c r="K52" s="1039"/>
      <c r="L52" s="1039"/>
      <c r="M52" s="1039"/>
      <c r="N52" s="1029"/>
      <c r="O52" s="1029"/>
      <c r="P52" s="1039"/>
      <c r="Q52" s="1041"/>
      <c r="R52" s="1037"/>
      <c r="S52" s="1008"/>
      <c r="T52" s="1008"/>
      <c r="U52" s="1008"/>
      <c r="V52" s="1008"/>
      <c r="W52" s="1008"/>
    </row>
    <row r="53" spans="1:23" ht="15" customHeight="1">
      <c r="A53" s="1005"/>
      <c r="B53" s="1012"/>
      <c r="C53" s="1033"/>
      <c r="D53" s="1013"/>
      <c r="E53" s="1013"/>
      <c r="F53" s="1013"/>
      <c r="G53" s="1013"/>
      <c r="H53" s="1013"/>
      <c r="I53" s="1038"/>
      <c r="J53" s="1029"/>
      <c r="K53" s="1039"/>
      <c r="L53" s="1039"/>
      <c r="M53" s="1039"/>
      <c r="N53" s="1029"/>
      <c r="O53" s="1029"/>
      <c r="P53" s="1039"/>
      <c r="Q53" s="1041"/>
      <c r="R53" s="1037"/>
      <c r="S53" s="1008"/>
      <c r="T53" s="1008"/>
      <c r="U53" s="1008"/>
      <c r="V53" s="1008"/>
      <c r="W53" s="1008"/>
    </row>
    <row r="54" spans="1:23" ht="15.5">
      <c r="A54" s="1005"/>
      <c r="B54" s="1004"/>
      <c r="C54" s="1033"/>
      <c r="D54" s="1013"/>
      <c r="E54" s="1013"/>
      <c r="F54" s="1013"/>
      <c r="G54" s="1013"/>
      <c r="H54" s="1013"/>
      <c r="I54" s="1038"/>
      <c r="J54" s="1041"/>
      <c r="K54" s="1039"/>
      <c r="L54" s="1039"/>
      <c r="M54" s="1039"/>
      <c r="N54" s="1041"/>
      <c r="O54" s="1041"/>
      <c r="P54" s="1039"/>
      <c r="Q54" s="1041"/>
      <c r="R54" s="1037"/>
      <c r="S54" s="1008"/>
      <c r="T54" s="1008"/>
      <c r="U54" s="1008"/>
      <c r="V54" s="1008"/>
      <c r="W54" s="1008"/>
    </row>
    <row r="55" spans="1:23" ht="15" customHeight="1">
      <c r="A55" s="1042" t="s">
        <v>1014</v>
      </c>
      <c r="B55" s="1191" t="s">
        <v>1015</v>
      </c>
      <c r="C55" s="1191"/>
      <c r="D55" s="1191"/>
      <c r="E55" s="1191"/>
      <c r="F55" s="1191"/>
      <c r="G55" s="1191"/>
      <c r="H55" s="1191"/>
      <c r="I55" s="1191"/>
      <c r="J55" s="1191"/>
      <c r="K55" s="1043"/>
      <c r="L55" s="1004"/>
      <c r="M55" s="1005"/>
      <c r="N55" s="1005"/>
      <c r="O55" s="1044"/>
      <c r="P55" s="1044"/>
      <c r="Q55" s="1044"/>
      <c r="R55" s="1008"/>
      <c r="S55" s="1005"/>
      <c r="T55" s="1005"/>
      <c r="U55" s="1005"/>
      <c r="V55" s="1005"/>
      <c r="W55" s="1005"/>
    </row>
    <row r="56" spans="1:23" ht="15.5">
      <c r="A56" s="1005"/>
      <c r="B56" s="1191"/>
      <c r="C56" s="1191"/>
      <c r="D56" s="1191"/>
      <c r="E56" s="1191"/>
      <c r="F56" s="1191"/>
      <c r="G56" s="1191"/>
      <c r="H56" s="1191"/>
      <c r="I56" s="1191"/>
      <c r="J56" s="1191"/>
      <c r="K56" s="1043"/>
      <c r="L56" s="1004"/>
      <c r="M56" s="1005"/>
      <c r="N56" s="1005"/>
      <c r="O56" s="1044"/>
      <c r="P56" s="1005"/>
      <c r="Q56" s="1005"/>
      <c r="R56" s="1008"/>
      <c r="S56" s="1005"/>
      <c r="T56" s="1005"/>
      <c r="U56" s="1005"/>
      <c r="V56" s="1005"/>
      <c r="W56" s="1005"/>
    </row>
    <row r="57" spans="1:23" ht="15.5">
      <c r="A57" s="1005"/>
      <c r="B57" s="1191"/>
      <c r="C57" s="1191"/>
      <c r="D57" s="1191"/>
      <c r="E57" s="1191"/>
      <c r="F57" s="1191"/>
      <c r="G57" s="1191"/>
      <c r="H57" s="1191"/>
      <c r="I57" s="1191"/>
      <c r="J57" s="1191"/>
      <c r="K57" s="1043"/>
      <c r="L57" s="1004"/>
      <c r="M57" s="1005"/>
      <c r="N57" s="1005"/>
      <c r="O57" s="1005"/>
      <c r="P57" s="1005"/>
      <c r="Q57" s="1005"/>
      <c r="R57" s="1008"/>
      <c r="S57" s="1005"/>
      <c r="T57" s="1005"/>
      <c r="U57" s="1005"/>
      <c r="V57" s="1005"/>
      <c r="W57" s="1005"/>
    </row>
    <row r="58" spans="1:23" ht="15.5">
      <c r="A58" s="1005"/>
      <c r="B58" s="1191"/>
      <c r="C58" s="1191"/>
      <c r="D58" s="1191"/>
      <c r="E58" s="1191"/>
      <c r="F58" s="1191"/>
      <c r="G58" s="1191"/>
      <c r="H58" s="1191"/>
      <c r="I58" s="1191"/>
      <c r="J58" s="1191"/>
      <c r="K58" s="1043"/>
      <c r="L58" s="1004"/>
      <c r="M58" s="1005"/>
      <c r="N58" s="1005"/>
      <c r="O58" s="1005"/>
      <c r="P58" s="1044"/>
      <c r="Q58" s="1044"/>
      <c r="R58" s="1008"/>
      <c r="S58" s="1005"/>
      <c r="T58" s="1005"/>
      <c r="U58" s="1005"/>
      <c r="V58" s="1005"/>
      <c r="W58" s="1005"/>
    </row>
    <row r="59" spans="1:23" ht="15.5">
      <c r="A59" s="1005"/>
      <c r="B59" s="1191"/>
      <c r="C59" s="1191"/>
      <c r="D59" s="1191"/>
      <c r="E59" s="1191"/>
      <c r="F59" s="1191"/>
      <c r="G59" s="1191"/>
      <c r="H59" s="1191"/>
      <c r="I59" s="1191"/>
      <c r="J59" s="1191"/>
      <c r="K59" s="1043"/>
      <c r="L59" s="1005"/>
      <c r="M59" s="1005"/>
      <c r="N59" s="1005"/>
      <c r="O59" s="1005"/>
      <c r="P59" s="1005"/>
      <c r="Q59" s="1005"/>
      <c r="R59" s="1008"/>
      <c r="S59" s="1005"/>
      <c r="T59" s="1005"/>
      <c r="U59" s="1005"/>
      <c r="V59" s="1005"/>
      <c r="W59" s="1005"/>
    </row>
    <row r="60" spans="1:23" ht="15.5">
      <c r="A60" s="1005"/>
      <c r="B60" s="1191"/>
      <c r="C60" s="1191"/>
      <c r="D60" s="1191"/>
      <c r="E60" s="1191"/>
      <c r="F60" s="1191"/>
      <c r="G60" s="1191"/>
      <c r="H60" s="1191"/>
      <c r="I60" s="1191"/>
      <c r="J60" s="1191"/>
      <c r="K60" s="1043"/>
      <c r="L60" s="1005"/>
      <c r="M60" s="1005"/>
      <c r="N60" s="1005"/>
      <c r="O60" s="1005"/>
      <c r="P60" s="1005"/>
      <c r="Q60" s="1005"/>
      <c r="R60" s="1008"/>
      <c r="S60" s="1005"/>
      <c r="T60" s="1005"/>
      <c r="U60" s="1005"/>
      <c r="V60" s="1005"/>
      <c r="W60" s="1005"/>
    </row>
    <row r="61" spans="1:23" ht="5.15" customHeight="1">
      <c r="A61" s="1005"/>
      <c r="B61" s="1043"/>
      <c r="C61" s="1043"/>
      <c r="D61" s="1043"/>
      <c r="E61" s="1043"/>
      <c r="F61" s="1043"/>
      <c r="G61" s="1043"/>
      <c r="H61" s="1043"/>
      <c r="I61" s="1043"/>
      <c r="J61" s="1043"/>
      <c r="K61" s="1043"/>
      <c r="L61" s="1005"/>
      <c r="M61" s="1005"/>
      <c r="N61" s="1005"/>
      <c r="O61" s="1005"/>
      <c r="P61" s="1005"/>
      <c r="Q61" s="1005"/>
      <c r="R61" s="1008"/>
      <c r="S61" s="1005"/>
      <c r="T61" s="1005"/>
      <c r="U61" s="1005"/>
      <c r="V61" s="1005"/>
      <c r="W61" s="1005"/>
    </row>
    <row r="62" spans="1:23" ht="12.65" customHeight="1">
      <c r="A62" s="1004" t="s">
        <v>1016</v>
      </c>
      <c r="B62" s="1045" t="s">
        <v>1017</v>
      </c>
      <c r="C62" s="1045"/>
      <c r="D62" s="1045"/>
      <c r="E62" s="1045"/>
      <c r="F62" s="1045"/>
      <c r="G62" s="1045"/>
      <c r="H62" s="1045"/>
      <c r="I62" s="1045"/>
      <c r="J62" s="1045"/>
      <c r="K62" s="1043"/>
      <c r="L62" s="1005"/>
      <c r="M62" s="1005"/>
      <c r="N62" s="1005"/>
      <c r="O62" s="1005"/>
      <c r="P62" s="1005"/>
      <c r="Q62" s="1005"/>
      <c r="R62" s="1008"/>
      <c r="S62" s="1005"/>
      <c r="T62" s="1005"/>
      <c r="U62" s="1005"/>
      <c r="V62" s="1005"/>
      <c r="W62" s="1005"/>
    </row>
    <row r="63" spans="1:23" ht="5.15" customHeight="1">
      <c r="A63" s="1005"/>
      <c r="B63" s="1045"/>
      <c r="C63" s="1045"/>
      <c r="D63" s="1045"/>
      <c r="E63" s="1045"/>
      <c r="F63" s="1045"/>
      <c r="G63" s="1045"/>
      <c r="H63" s="1045"/>
      <c r="I63" s="1045"/>
      <c r="J63" s="1045"/>
      <c r="K63" s="1043"/>
      <c r="L63" s="1005"/>
      <c r="M63" s="1005"/>
      <c r="N63" s="1005"/>
      <c r="O63" s="1005"/>
      <c r="P63" s="1005"/>
      <c r="Q63" s="1005"/>
      <c r="R63" s="1008"/>
      <c r="S63" s="1005"/>
      <c r="T63" s="1005"/>
      <c r="U63" s="1005"/>
      <c r="V63" s="1005"/>
      <c r="W63" s="1005"/>
    </row>
    <row r="64" spans="1:23" ht="12.65" customHeight="1">
      <c r="A64" s="1004" t="s">
        <v>1018</v>
      </c>
      <c r="B64" s="1045" t="s">
        <v>1019</v>
      </c>
      <c r="C64" s="1045"/>
      <c r="D64" s="1045"/>
      <c r="E64" s="1045"/>
      <c r="F64" s="1045"/>
      <c r="G64" s="1045"/>
      <c r="H64" s="1045"/>
      <c r="I64" s="1045"/>
      <c r="J64" s="1045"/>
      <c r="K64" s="1043"/>
      <c r="L64" s="1005"/>
      <c r="M64" s="1005"/>
      <c r="N64" s="1005"/>
      <c r="O64" s="1005"/>
      <c r="P64" s="1005"/>
      <c r="Q64" s="1005"/>
      <c r="R64" s="1008"/>
      <c r="S64" s="1005"/>
      <c r="T64" s="1005"/>
      <c r="U64" s="1005"/>
      <c r="V64" s="1005"/>
      <c r="W64" s="1005"/>
    </row>
    <row r="65" spans="1:18" ht="12.65" customHeight="1">
      <c r="A65" s="1005"/>
      <c r="B65" s="1043"/>
      <c r="C65" s="1043"/>
      <c r="D65" s="1043"/>
      <c r="E65" s="1043"/>
      <c r="F65" s="1043"/>
      <c r="G65" s="1043"/>
      <c r="H65" s="1043"/>
      <c r="I65" s="1043"/>
      <c r="J65" s="1043"/>
      <c r="K65" s="1043"/>
      <c r="L65" s="1005"/>
      <c r="M65" s="1005"/>
      <c r="N65" s="1005"/>
      <c r="O65" s="1005"/>
      <c r="P65" s="1005"/>
      <c r="Q65" s="1005"/>
      <c r="R65" s="1008"/>
    </row>
    <row r="66" spans="1:18" ht="5.15" customHeight="1">
      <c r="A66" s="1004" t="s">
        <v>1020</v>
      </c>
      <c r="B66" s="1191" t="s">
        <v>1021</v>
      </c>
      <c r="C66" s="1191"/>
      <c r="D66" s="1191"/>
      <c r="E66" s="1191"/>
      <c r="F66" s="1191"/>
      <c r="G66" s="1191"/>
      <c r="H66" s="1191"/>
      <c r="I66" s="1191"/>
      <c r="J66" s="1191"/>
      <c r="K66" s="1043"/>
      <c r="L66" s="1004"/>
      <c r="M66" s="1004"/>
      <c r="N66" s="1004"/>
      <c r="O66" s="1004"/>
      <c r="P66" s="1004"/>
      <c r="Q66" s="1004"/>
      <c r="R66" s="1008"/>
    </row>
    <row r="67" spans="1:18" ht="12" customHeight="1">
      <c r="A67" s="1004"/>
      <c r="B67" s="1191"/>
      <c r="C67" s="1191"/>
      <c r="D67" s="1191"/>
      <c r="E67" s="1191"/>
      <c r="F67" s="1191"/>
      <c r="G67" s="1191"/>
      <c r="H67" s="1191"/>
      <c r="I67" s="1191"/>
      <c r="J67" s="1191"/>
      <c r="K67" s="1043"/>
      <c r="L67" s="1004"/>
      <c r="M67" s="1004"/>
      <c r="N67" s="1004"/>
      <c r="O67" s="1004"/>
      <c r="P67" s="1004"/>
      <c r="Q67" s="1004"/>
      <c r="R67" s="1008"/>
    </row>
    <row r="68" spans="1:18" ht="15.5">
      <c r="A68" s="1005"/>
      <c r="B68" s="1043"/>
      <c r="C68" s="1043"/>
      <c r="D68" s="1043"/>
      <c r="E68" s="1043"/>
      <c r="F68" s="1043"/>
      <c r="G68" s="1043"/>
      <c r="H68" s="1043"/>
      <c r="I68" s="1043"/>
      <c r="J68" s="1043"/>
      <c r="K68" s="1043"/>
      <c r="L68" s="1005"/>
      <c r="M68" s="1005"/>
      <c r="N68" s="1005"/>
      <c r="O68" s="1005"/>
      <c r="P68" s="1005"/>
      <c r="Q68" s="1005"/>
      <c r="R68" s="1008"/>
    </row>
    <row r="69" spans="1:18" ht="4.5" customHeight="1">
      <c r="A69" s="1004" t="s">
        <v>1022</v>
      </c>
      <c r="B69" s="1190" t="s">
        <v>1023</v>
      </c>
      <c r="C69" s="1190"/>
      <c r="D69" s="1190"/>
      <c r="E69" s="1190"/>
      <c r="F69" s="1190"/>
      <c r="G69" s="1190"/>
      <c r="H69" s="1190"/>
      <c r="I69" s="1190"/>
      <c r="J69" s="1190"/>
      <c r="K69" s="1043"/>
      <c r="L69" s="1005"/>
      <c r="M69" s="1005"/>
      <c r="N69" s="1005"/>
      <c r="O69" s="1005"/>
      <c r="P69" s="1005"/>
      <c r="Q69" s="1005"/>
      <c r="R69" s="1008"/>
    </row>
    <row r="70" spans="1:18" ht="11.5" customHeight="1">
      <c r="A70" s="1005"/>
      <c r="B70" s="1190"/>
      <c r="C70" s="1190"/>
      <c r="D70" s="1190"/>
      <c r="E70" s="1190"/>
      <c r="F70" s="1190"/>
      <c r="G70" s="1190"/>
      <c r="H70" s="1190"/>
      <c r="I70" s="1190"/>
      <c r="J70" s="1190"/>
      <c r="K70" s="1043"/>
      <c r="L70" s="1005"/>
      <c r="M70" s="1005"/>
      <c r="N70" s="1005"/>
      <c r="O70" s="1005"/>
      <c r="P70" s="1005"/>
      <c r="Q70" s="1005"/>
      <c r="R70" s="1008"/>
    </row>
    <row r="71" spans="1:18" ht="11.5" customHeight="1">
      <c r="A71" s="1005"/>
      <c r="B71" s="1036"/>
      <c r="C71" s="1043"/>
      <c r="D71" s="1043"/>
      <c r="E71" s="1043"/>
      <c r="F71" s="1043"/>
      <c r="G71" s="1043"/>
      <c r="H71" s="1043"/>
      <c r="I71" s="1043"/>
      <c r="J71" s="1043"/>
      <c r="K71" s="1043"/>
      <c r="L71" s="1005"/>
      <c r="M71" s="1005"/>
      <c r="N71" s="1005"/>
      <c r="O71" s="1005"/>
      <c r="P71" s="1005"/>
      <c r="Q71" s="1005"/>
      <c r="R71" s="1008"/>
    </row>
    <row r="72" spans="1:18" ht="15" customHeight="1">
      <c r="A72" s="1036" t="s">
        <v>1024</v>
      </c>
      <c r="B72" s="1191" t="s">
        <v>1025</v>
      </c>
      <c r="C72" s="1191"/>
      <c r="D72" s="1191"/>
      <c r="E72" s="1191"/>
      <c r="F72" s="1191"/>
      <c r="G72" s="1191"/>
      <c r="H72" s="1191"/>
      <c r="I72" s="1191"/>
      <c r="J72" s="1043"/>
      <c r="K72" s="1004"/>
      <c r="L72" s="1005"/>
      <c r="M72" s="1005"/>
      <c r="N72" s="1005"/>
      <c r="O72" s="1005"/>
      <c r="P72" s="1005"/>
      <c r="Q72" s="1005"/>
      <c r="R72" s="1008"/>
    </row>
    <row r="73" spans="1:18" ht="15.5">
      <c r="A73" s="1005"/>
      <c r="B73" s="1191"/>
      <c r="C73" s="1191"/>
      <c r="D73" s="1191"/>
      <c r="E73" s="1191"/>
      <c r="F73" s="1191"/>
      <c r="G73" s="1191"/>
      <c r="H73" s="1191"/>
      <c r="I73" s="1191"/>
      <c r="J73" s="1043"/>
      <c r="K73" s="1005"/>
      <c r="L73" s="1005"/>
      <c r="M73" s="1005"/>
      <c r="N73" s="1005"/>
      <c r="O73" s="1005"/>
      <c r="P73" s="1005"/>
      <c r="Q73" s="1005"/>
      <c r="R73" s="1008"/>
    </row>
    <row r="74" spans="1:18" ht="15.5">
      <c r="A74" s="1005"/>
      <c r="B74" s="1191"/>
      <c r="C74" s="1191"/>
      <c r="D74" s="1191"/>
      <c r="E74" s="1191"/>
      <c r="F74" s="1191"/>
      <c r="G74" s="1191"/>
      <c r="H74" s="1191"/>
      <c r="I74" s="1191"/>
      <c r="J74" s="1005"/>
      <c r="K74" s="1005"/>
      <c r="L74" s="1005"/>
      <c r="M74" s="1005"/>
      <c r="N74" s="1005"/>
      <c r="O74" s="1005"/>
      <c r="P74" s="1005"/>
      <c r="Q74" s="1005"/>
      <c r="R74" s="1008"/>
    </row>
    <row r="75" spans="1:18" ht="15.5">
      <c r="A75" s="1005"/>
      <c r="B75" s="1005"/>
      <c r="C75" s="1005"/>
      <c r="D75" s="1005"/>
      <c r="E75" s="1005"/>
      <c r="F75" s="1005"/>
      <c r="G75" s="1005"/>
      <c r="H75" s="1005"/>
      <c r="I75" s="1005"/>
      <c r="J75" s="1005"/>
      <c r="K75" s="1005"/>
      <c r="L75" s="1005"/>
      <c r="M75" s="1005"/>
      <c r="N75" s="1005"/>
      <c r="O75" s="1005"/>
      <c r="P75" s="1005"/>
      <c r="Q75" s="1005"/>
      <c r="R75" s="1008"/>
    </row>
    <row r="76" spans="1:18" ht="15.5">
      <c r="A76" s="1005"/>
      <c r="B76" s="1005"/>
      <c r="C76" s="1005"/>
      <c r="D76" s="1005"/>
      <c r="E76" s="1005"/>
      <c r="F76" s="1005"/>
      <c r="G76" s="1005"/>
      <c r="H76" s="1005"/>
      <c r="I76" s="1005"/>
      <c r="J76" s="1005"/>
      <c r="K76" s="1005"/>
      <c r="L76" s="1005"/>
      <c r="M76" s="1005"/>
      <c r="N76" s="1005"/>
      <c r="O76" s="1005"/>
      <c r="P76" s="1005"/>
      <c r="Q76" s="1005"/>
      <c r="R76" s="1008"/>
    </row>
    <row r="79" spans="1:18">
      <c r="A79" s="1076"/>
      <c r="B79" s="1076"/>
      <c r="C79" s="1076"/>
      <c r="D79" s="1076"/>
      <c r="E79" s="1076"/>
      <c r="F79" s="1076"/>
      <c r="G79" s="1076"/>
      <c r="H79" s="1076"/>
      <c r="I79" s="1076"/>
      <c r="J79" s="1076"/>
      <c r="K79" s="1076"/>
    </row>
    <row r="80" spans="1:18">
      <c r="A80" s="1076"/>
      <c r="B80" s="1076"/>
      <c r="C80" s="1076"/>
      <c r="D80" s="1076"/>
      <c r="E80" s="1076"/>
      <c r="F80" s="1076"/>
      <c r="G80" s="1076"/>
      <c r="H80" s="1076"/>
      <c r="I80" s="1076"/>
      <c r="J80" s="1076"/>
      <c r="K80" s="1076"/>
    </row>
    <row r="81" spans="1:11">
      <c r="A81" s="1042"/>
      <c r="B81" s="1042"/>
      <c r="C81" s="1042"/>
      <c r="D81" s="1042"/>
      <c r="E81" s="1042"/>
      <c r="F81" s="1042"/>
      <c r="G81" s="1042"/>
      <c r="H81" s="1042"/>
      <c r="I81" s="1042"/>
      <c r="J81" s="1042"/>
      <c r="K81" s="1042"/>
    </row>
    <row r="82" spans="1:11">
      <c r="A82" s="1042"/>
      <c r="B82" s="1042"/>
      <c r="C82" s="1042"/>
      <c r="D82" s="1042"/>
      <c r="E82" s="1042"/>
      <c r="F82" s="1042"/>
      <c r="G82" s="1042"/>
      <c r="H82" s="1042"/>
      <c r="I82" s="1042"/>
      <c r="J82" s="1042"/>
      <c r="K82" s="1042"/>
    </row>
    <row r="83" spans="1:11" ht="15.5">
      <c r="A83" s="1005"/>
      <c r="B83" s="1005"/>
      <c r="C83" s="1005"/>
      <c r="D83" s="1042"/>
      <c r="E83" s="1042"/>
      <c r="F83" s="1042"/>
      <c r="G83" s="1042"/>
      <c r="H83" s="1042"/>
      <c r="I83" s="1042"/>
      <c r="J83" s="1042"/>
      <c r="K83" s="1042"/>
    </row>
    <row r="84" spans="1:11">
      <c r="A84" s="1042"/>
      <c r="B84" s="1042"/>
      <c r="C84" s="1042"/>
      <c r="D84" s="1042"/>
      <c r="E84" s="1042"/>
      <c r="F84" s="1042"/>
      <c r="G84" s="1042"/>
      <c r="H84" s="1042"/>
      <c r="I84" s="1042"/>
      <c r="J84" s="1042"/>
      <c r="K84" s="1042"/>
    </row>
    <row r="85" spans="1:11">
      <c r="A85" s="1042"/>
      <c r="B85" s="1042"/>
      <c r="C85" s="1042"/>
      <c r="D85" s="1042"/>
      <c r="E85" s="1042"/>
      <c r="F85" s="1042"/>
      <c r="G85" s="1042"/>
      <c r="H85" s="1042"/>
      <c r="I85" s="1042"/>
      <c r="J85" s="1042"/>
      <c r="K85" s="1042"/>
    </row>
    <row r="86" spans="1:11">
      <c r="A86" s="1042"/>
      <c r="B86" s="1042"/>
      <c r="C86" s="1042"/>
      <c r="D86" s="1042"/>
      <c r="E86" s="1042"/>
      <c r="F86" s="1042"/>
      <c r="G86" s="1042"/>
      <c r="H86" s="1042"/>
      <c r="I86" s="1042"/>
      <c r="J86" s="1042"/>
      <c r="K86" s="1042"/>
    </row>
    <row r="87" spans="1:11">
      <c r="A87" s="1042"/>
      <c r="B87" s="1042"/>
      <c r="C87" s="1042"/>
      <c r="D87" s="1042"/>
      <c r="E87" s="1042"/>
      <c r="F87" s="1042"/>
      <c r="G87" s="1042"/>
      <c r="H87" s="1042"/>
      <c r="I87" s="1042"/>
      <c r="J87" s="1042"/>
      <c r="K87" s="1042"/>
    </row>
    <row r="88" spans="1:11">
      <c r="A88" s="1042"/>
      <c r="B88" s="1042"/>
      <c r="C88" s="1042"/>
      <c r="D88" s="1042"/>
      <c r="E88" s="1042"/>
      <c r="F88" s="1042"/>
      <c r="G88" s="1042"/>
      <c r="H88" s="1042"/>
      <c r="I88" s="1042"/>
      <c r="J88" s="1042"/>
      <c r="K88" s="1042"/>
    </row>
    <row r="89" spans="1:11">
      <c r="A89" s="1042"/>
      <c r="B89" s="1042"/>
      <c r="C89" s="1042"/>
      <c r="D89" s="1042"/>
      <c r="E89" s="1042"/>
      <c r="F89" s="1042"/>
      <c r="G89" s="1042"/>
      <c r="H89" s="1042"/>
      <c r="I89" s="1042"/>
      <c r="J89" s="1042"/>
      <c r="K89" s="1042"/>
    </row>
    <row r="90" spans="1:11">
      <c r="A90" s="1042"/>
      <c r="B90" s="1042"/>
      <c r="C90" s="1042"/>
      <c r="D90" s="1042"/>
      <c r="E90" s="1042"/>
      <c r="F90" s="1042"/>
      <c r="G90" s="1042"/>
      <c r="H90" s="1042"/>
      <c r="I90" s="1042"/>
      <c r="J90" s="1042"/>
      <c r="K90" s="1042"/>
    </row>
    <row r="91" spans="1:11">
      <c r="A91" s="1042"/>
      <c r="B91" s="1042"/>
      <c r="C91" s="1042"/>
      <c r="D91" s="1042"/>
      <c r="E91" s="1042"/>
      <c r="F91" s="1042"/>
      <c r="G91" s="1042"/>
      <c r="H91" s="1042"/>
      <c r="I91" s="1042"/>
      <c r="J91" s="1042"/>
      <c r="K91" s="1042"/>
    </row>
    <row r="96" spans="1:11">
      <c r="B96" s="1077"/>
    </row>
    <row r="97" spans="1:11">
      <c r="B97" s="1063"/>
    </row>
    <row r="98" spans="1:11" ht="15.5">
      <c r="A98" s="1005"/>
      <c r="B98" s="1036"/>
      <c r="C98" s="1005"/>
      <c r="D98" s="1005"/>
      <c r="E98" s="1005"/>
      <c r="F98" s="1005"/>
      <c r="G98" s="1005"/>
      <c r="H98" s="1005"/>
      <c r="I98" s="1005"/>
      <c r="J98" s="1005"/>
      <c r="K98" s="1005"/>
    </row>
    <row r="99" spans="1:11" ht="15.5">
      <c r="A99" s="1005"/>
      <c r="B99" s="1004"/>
      <c r="C99" s="1005"/>
      <c r="D99" s="1005"/>
      <c r="E99" s="1005"/>
      <c r="F99" s="1005"/>
      <c r="G99" s="1005"/>
      <c r="H99" s="1005"/>
      <c r="I99" s="1005"/>
      <c r="J99" s="1005"/>
      <c r="K99" s="1005"/>
    </row>
    <row r="100" spans="1:11" ht="15.5">
      <c r="A100" s="1005"/>
      <c r="B100" s="1004"/>
      <c r="C100" s="1005"/>
      <c r="D100" s="1005"/>
      <c r="E100" s="1005"/>
      <c r="F100" s="1005"/>
      <c r="G100" s="1005"/>
      <c r="H100" s="1005"/>
      <c r="I100" s="1005"/>
      <c r="J100" s="1005"/>
      <c r="K100" s="1005"/>
    </row>
    <row r="101" spans="1:11" ht="15.5">
      <c r="A101" s="1005"/>
      <c r="B101" s="1004"/>
      <c r="C101" s="1005"/>
      <c r="D101" s="1005"/>
      <c r="E101" s="1005"/>
      <c r="F101" s="1005"/>
      <c r="G101" s="1005"/>
      <c r="H101" s="1005"/>
      <c r="I101" s="1005"/>
      <c r="J101" s="1005"/>
      <c r="K101" s="1005"/>
    </row>
    <row r="102" spans="1:11" ht="15.5">
      <c r="A102" s="1005"/>
      <c r="B102" s="1004"/>
      <c r="C102" s="1005"/>
      <c r="D102" s="1004"/>
      <c r="E102" s="1004"/>
      <c r="F102" s="1004"/>
      <c r="G102" s="1005"/>
      <c r="H102" s="1005"/>
      <c r="I102" s="1005"/>
      <c r="J102" s="1005"/>
      <c r="K102" s="1005"/>
    </row>
    <row r="103" spans="1:11">
      <c r="A103" s="1046"/>
      <c r="B103" s="1042"/>
      <c r="C103" s="1042"/>
      <c r="D103" s="1042"/>
      <c r="E103" s="1042"/>
      <c r="F103" s="1042"/>
      <c r="G103" s="1042"/>
      <c r="H103" s="1042"/>
      <c r="I103" s="1042"/>
      <c r="J103" s="1042"/>
      <c r="K103" s="1042"/>
    </row>
    <row r="104" spans="1:11">
      <c r="A104" s="1042"/>
      <c r="B104" s="1042"/>
      <c r="C104" s="1042"/>
      <c r="D104" s="1042"/>
      <c r="E104" s="1042"/>
      <c r="F104" s="1042"/>
      <c r="G104" s="1042"/>
      <c r="H104" s="1042"/>
      <c r="I104" s="1042"/>
      <c r="J104" s="1042"/>
      <c r="K104" s="1042"/>
    </row>
    <row r="105" spans="1:11">
      <c r="A105" s="1042"/>
      <c r="B105" s="1042"/>
      <c r="C105" s="1042"/>
      <c r="D105" s="1042"/>
      <c r="E105" s="1042"/>
      <c r="F105" s="1042"/>
      <c r="G105" s="1042"/>
      <c r="H105" s="1042"/>
      <c r="I105" s="1042"/>
      <c r="J105" s="1042"/>
      <c r="K105" s="1042"/>
    </row>
    <row r="106" spans="1:11">
      <c r="A106" s="1042"/>
      <c r="B106" s="1042"/>
      <c r="C106" s="1042"/>
      <c r="D106" s="1042"/>
      <c r="E106" s="1042"/>
      <c r="F106" s="1042"/>
      <c r="G106" s="1042"/>
      <c r="H106" s="1042"/>
      <c r="I106" s="1042"/>
      <c r="J106" s="1042"/>
      <c r="K106" s="1042"/>
    </row>
    <row r="107" spans="1:11">
      <c r="A107" s="1042"/>
      <c r="B107" s="1042"/>
      <c r="C107" s="1042"/>
      <c r="D107" s="1047"/>
      <c r="E107" s="1047"/>
      <c r="F107" s="1047"/>
      <c r="G107" s="1042"/>
      <c r="H107" s="1042"/>
      <c r="I107" s="1042"/>
      <c r="J107" s="1042"/>
      <c r="K107" s="1042"/>
    </row>
    <row r="108" spans="1:11">
      <c r="A108" s="1042"/>
      <c r="B108" s="1042"/>
      <c r="C108" s="1042"/>
      <c r="D108" s="1044"/>
      <c r="E108" s="1044"/>
      <c r="F108" s="1044"/>
      <c r="G108" s="1042"/>
      <c r="H108" s="1042"/>
      <c r="I108" s="1042"/>
      <c r="J108" s="1042"/>
      <c r="K108" s="1042"/>
    </row>
    <row r="109" spans="1:11">
      <c r="A109" s="1042"/>
      <c r="B109" s="1042"/>
      <c r="C109" s="1042"/>
      <c r="D109" s="1047"/>
      <c r="E109" s="1047"/>
      <c r="F109" s="1047"/>
      <c r="G109" s="1042"/>
      <c r="H109" s="1042"/>
      <c r="I109" s="1042"/>
      <c r="J109" s="1042"/>
      <c r="K109" s="1042"/>
    </row>
    <row r="110" spans="1:11">
      <c r="A110" s="1042"/>
      <c r="B110" s="1042"/>
      <c r="C110" s="1042"/>
      <c r="D110" s="1042"/>
      <c r="E110" s="1042"/>
      <c r="F110" s="1042"/>
      <c r="G110" s="1042"/>
      <c r="H110" s="1042"/>
      <c r="I110" s="1042"/>
      <c r="J110" s="1042"/>
      <c r="K110" s="1042"/>
    </row>
    <row r="111" spans="1:11">
      <c r="A111" s="1042"/>
      <c r="B111" s="1042"/>
      <c r="C111" s="1042"/>
      <c r="D111" s="1042"/>
      <c r="E111" s="1042"/>
      <c r="F111" s="1042"/>
      <c r="G111" s="1042"/>
      <c r="H111" s="1042"/>
      <c r="I111" s="1042"/>
      <c r="J111" s="1042"/>
      <c r="K111" s="1042"/>
    </row>
    <row r="112" spans="1:11">
      <c r="A112" s="1042"/>
      <c r="B112" s="1042"/>
      <c r="C112" s="1042"/>
      <c r="D112" s="1042"/>
      <c r="E112" s="1042"/>
      <c r="F112" s="1042"/>
      <c r="G112" s="1042"/>
      <c r="H112" s="1042"/>
      <c r="I112" s="1042"/>
      <c r="J112" s="1042"/>
      <c r="K112" s="1042"/>
    </row>
    <row r="113" spans="1:11" ht="15.5">
      <c r="A113" s="1042"/>
      <c r="B113" s="1005"/>
      <c r="C113" s="1042"/>
      <c r="D113" s="1042"/>
      <c r="E113" s="1042"/>
      <c r="F113" s="1042"/>
      <c r="G113" s="1042"/>
      <c r="H113" s="1042"/>
      <c r="I113" s="1042"/>
      <c r="J113" s="1042"/>
      <c r="K113" s="1042"/>
    </row>
    <row r="114" spans="1:11">
      <c r="A114" s="1042"/>
      <c r="B114" s="1042"/>
      <c r="C114" s="1042"/>
      <c r="D114" s="1042"/>
      <c r="E114" s="1042"/>
      <c r="F114" s="1042"/>
      <c r="G114" s="1042"/>
      <c r="H114" s="1042"/>
      <c r="I114" s="1042"/>
      <c r="J114" s="1042"/>
      <c r="K114" s="1042"/>
    </row>
    <row r="115" spans="1:11">
      <c r="A115" s="1042"/>
      <c r="B115" s="1042"/>
      <c r="C115" s="1042"/>
      <c r="D115" s="1042"/>
      <c r="E115" s="1042"/>
      <c r="F115" s="1042"/>
      <c r="G115" s="1042"/>
      <c r="H115" s="1042"/>
      <c r="I115" s="1042"/>
      <c r="J115" s="1042"/>
      <c r="K115" s="1042"/>
    </row>
  </sheetData>
  <mergeCells count="17">
    <mergeCell ref="R16:R17"/>
    <mergeCell ref="B48:C48"/>
    <mergeCell ref="I9:J9"/>
    <mergeCell ref="K9:M9"/>
    <mergeCell ref="N9:O9"/>
    <mergeCell ref="P9:Q9"/>
    <mergeCell ref="P11:Q11"/>
    <mergeCell ref="R18:R19"/>
    <mergeCell ref="B29:C29"/>
    <mergeCell ref="P32:Q32"/>
    <mergeCell ref="R35:R36"/>
    <mergeCell ref="R37:R38"/>
    <mergeCell ref="A51:J52"/>
    <mergeCell ref="B55:J60"/>
    <mergeCell ref="B66:J67"/>
    <mergeCell ref="B69:J70"/>
    <mergeCell ref="B72:I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DA1C-468D-4DE7-8E19-FE4157B2529B}">
  <sheetPr>
    <pageSetUpPr fitToPage="1"/>
  </sheetPr>
  <dimension ref="A1:Q78"/>
  <sheetViews>
    <sheetView workbookViewId="0">
      <selection activeCell="F35" sqref="F35"/>
    </sheetView>
  </sheetViews>
  <sheetFormatPr defaultColWidth="11.81640625" defaultRowHeight="12.5"/>
  <cols>
    <col min="1" max="1" width="9" style="1093" customWidth="1"/>
    <col min="2" max="2" width="15" style="1094" bestFit="1" customWidth="1"/>
    <col min="3" max="3" width="4.1796875" style="1094" customWidth="1"/>
    <col min="4" max="4" width="21" style="1094" bestFit="1" customWidth="1"/>
    <col min="5" max="5" width="29.7265625" style="1094" bestFit="1" customWidth="1"/>
    <col min="6" max="6" width="21.453125" style="1094" customWidth="1"/>
    <col min="7" max="7" width="4.26953125" style="1094" customWidth="1"/>
    <col min="8" max="8" width="19" style="1094" customWidth="1"/>
    <col min="9" max="9" width="5" style="1094" customWidth="1"/>
    <col min="10" max="10" width="19.81640625" style="1094" customWidth="1"/>
    <col min="11" max="11" width="3.54296875" style="1094" customWidth="1"/>
    <col min="12" max="12" width="19.7265625" style="1094" customWidth="1"/>
    <col min="13" max="13" width="16" style="1094" customWidth="1"/>
    <col min="14" max="14" width="19.1796875" style="1094" bestFit="1" customWidth="1"/>
    <col min="15" max="15" width="16.54296875" style="1097" bestFit="1" customWidth="1"/>
    <col min="16" max="16" width="15.26953125" style="1094" bestFit="1" customWidth="1"/>
    <col min="17" max="16384" width="11.81640625" style="1094"/>
  </cols>
  <sheetData>
    <row r="1" spans="1:17" ht="15.5">
      <c r="A1" s="1093" t="s">
        <v>1094</v>
      </c>
      <c r="L1" s="1095"/>
      <c r="N1" s="1096" t="s">
        <v>1095</v>
      </c>
    </row>
    <row r="2" spans="1:17">
      <c r="A2" s="1093" t="s">
        <v>1096</v>
      </c>
      <c r="L2" s="1098"/>
      <c r="N2" s="1099" t="s">
        <v>1097</v>
      </c>
    </row>
    <row r="3" spans="1:17">
      <c r="A3" s="1093" t="s">
        <v>1098</v>
      </c>
      <c r="N3" s="1099" t="s">
        <v>1099</v>
      </c>
    </row>
    <row r="4" spans="1:17">
      <c r="A4" s="1093" t="s">
        <v>1100</v>
      </c>
      <c r="N4" s="1096" t="s">
        <v>1101</v>
      </c>
    </row>
    <row r="5" spans="1:17">
      <c r="A5" s="1093" t="s">
        <v>1102</v>
      </c>
    </row>
    <row r="6" spans="1:17">
      <c r="A6" s="1093" t="s">
        <v>943</v>
      </c>
    </row>
    <row r="7" spans="1:17" ht="13">
      <c r="A7" s="1201" t="s">
        <v>1103</v>
      </c>
      <c r="B7" s="1201"/>
      <c r="C7" s="1201"/>
      <c r="D7" s="1201"/>
      <c r="E7" s="1201"/>
      <c r="F7" s="1201"/>
      <c r="G7" s="1201"/>
      <c r="H7" s="1201"/>
      <c r="I7" s="1201"/>
      <c r="J7" s="1201"/>
      <c r="K7" s="1201"/>
      <c r="L7" s="1201"/>
      <c r="M7" s="1201"/>
      <c r="N7" s="1201"/>
    </row>
    <row r="9" spans="1:17">
      <c r="A9" s="1100" t="s">
        <v>150</v>
      </c>
      <c r="B9" s="1101" t="s">
        <v>151</v>
      </c>
      <c r="C9" s="1101"/>
      <c r="D9" s="1101" t="s">
        <v>152</v>
      </c>
      <c r="E9" s="1101" t="s">
        <v>153</v>
      </c>
      <c r="F9" s="1101" t="s">
        <v>154</v>
      </c>
      <c r="G9" s="1101"/>
      <c r="H9" s="1101" t="s">
        <v>1104</v>
      </c>
      <c r="I9" s="1101"/>
      <c r="J9" s="1101" t="s">
        <v>156</v>
      </c>
      <c r="K9" s="1101"/>
      <c r="L9" s="1101" t="s">
        <v>1105</v>
      </c>
      <c r="M9" s="1101" t="s">
        <v>158</v>
      </c>
      <c r="N9" s="1101" t="s">
        <v>1106</v>
      </c>
      <c r="Q9" s="1202"/>
    </row>
    <row r="10" spans="1:17">
      <c r="F10" s="1102"/>
      <c r="G10" s="1102"/>
      <c r="H10" s="1102"/>
      <c r="Q10" s="1202"/>
    </row>
    <row r="11" spans="1:17" ht="38.5">
      <c r="A11" s="1093" t="s">
        <v>1107</v>
      </c>
      <c r="B11" s="1094" t="s">
        <v>1108</v>
      </c>
      <c r="D11" s="1103" t="s">
        <v>1109</v>
      </c>
      <c r="E11" s="1101" t="s">
        <v>962</v>
      </c>
      <c r="F11" s="1103" t="s">
        <v>1110</v>
      </c>
      <c r="G11" s="1103"/>
      <c r="H11" s="1103" t="s">
        <v>1111</v>
      </c>
      <c r="I11" s="1104"/>
      <c r="J11" s="1103" t="s">
        <v>1112</v>
      </c>
      <c r="L11" s="1103" t="s">
        <v>1113</v>
      </c>
      <c r="M11" s="1103" t="s">
        <v>1114</v>
      </c>
      <c r="N11" s="1103" t="s">
        <v>1115</v>
      </c>
    </row>
    <row r="12" spans="1:17" ht="15.5">
      <c r="D12" s="1103"/>
      <c r="E12" s="1101"/>
      <c r="F12" s="1103"/>
      <c r="G12" s="1103"/>
      <c r="H12" s="1103"/>
      <c r="I12" s="1104"/>
      <c r="J12" s="1103"/>
      <c r="L12" s="1103"/>
      <c r="N12" s="1102"/>
    </row>
    <row r="13" spans="1:17" ht="15.5">
      <c r="A13" s="1105" t="s">
        <v>1116</v>
      </c>
      <c r="D13" s="1103"/>
      <c r="E13" s="1101"/>
      <c r="F13" s="1103"/>
      <c r="G13" s="1103"/>
      <c r="H13" s="1103"/>
      <c r="I13" s="1104"/>
      <c r="J13" s="1103"/>
      <c r="L13" s="1103"/>
      <c r="N13" s="1102"/>
    </row>
    <row r="14" spans="1:17">
      <c r="D14" s="1097"/>
      <c r="E14" s="1097"/>
      <c r="F14" s="1106"/>
      <c r="G14" s="1106"/>
      <c r="H14" s="1106"/>
      <c r="I14" s="1106"/>
      <c r="J14" s="1106"/>
      <c r="K14" s="1106"/>
      <c r="L14" s="1106"/>
      <c r="M14" s="1097"/>
      <c r="N14" s="1097"/>
    </row>
    <row r="15" spans="1:17" ht="12.65" customHeight="1">
      <c r="A15" s="1107">
        <v>1</v>
      </c>
      <c r="B15" s="1108" t="s">
        <v>1117</v>
      </c>
      <c r="D15" s="1109">
        <v>299354118</v>
      </c>
      <c r="E15" s="1097" t="s">
        <v>1118</v>
      </c>
      <c r="N15" s="1097"/>
    </row>
    <row r="16" spans="1:17" ht="15.5">
      <c r="A16" s="1107">
        <f>+A15+1</f>
        <v>2</v>
      </c>
      <c r="B16" s="1108"/>
      <c r="D16" s="1110">
        <v>91360.11</v>
      </c>
      <c r="E16" s="1097" t="s">
        <v>1119</v>
      </c>
      <c r="F16" s="1104"/>
      <c r="G16" s="1104"/>
      <c r="H16" s="1111"/>
      <c r="I16" s="1104"/>
      <c r="J16" s="1104"/>
      <c r="K16" s="1104"/>
      <c r="L16" s="1104"/>
      <c r="M16" s="1097"/>
      <c r="N16" s="1097"/>
    </row>
    <row r="17" spans="1:16">
      <c r="A17" s="1107">
        <f>++A16+1</f>
        <v>3</v>
      </c>
      <c r="B17" s="1108" t="s">
        <v>1120</v>
      </c>
      <c r="D17" s="1109">
        <f>+D15-D16</f>
        <v>299262757.88999999</v>
      </c>
      <c r="F17" s="1106">
        <v>114925970.95</v>
      </c>
      <c r="G17" s="1106"/>
      <c r="H17" s="1112">
        <f>+F17/D17</f>
        <v>0.38403031423055767</v>
      </c>
      <c r="I17" s="1113"/>
      <c r="J17" s="1106">
        <f>-F17</f>
        <v>-114925970.95</v>
      </c>
      <c r="K17" s="1106"/>
      <c r="L17" s="1106">
        <f>+F17+J17</f>
        <v>0</v>
      </c>
      <c r="M17" s="1097"/>
      <c r="N17" s="1097">
        <f>+D17-L17</f>
        <v>299262757.88999999</v>
      </c>
    </row>
    <row r="18" spans="1:16">
      <c r="A18" s="1107"/>
      <c r="B18" s="1108"/>
      <c r="D18" s="1097"/>
      <c r="E18" s="1097"/>
      <c r="F18" s="1114"/>
      <c r="G18" s="1114"/>
      <c r="H18" s="1112"/>
      <c r="I18" s="1113"/>
      <c r="J18" s="1106"/>
      <c r="K18" s="1106"/>
      <c r="L18" s="1106"/>
      <c r="M18" s="1097"/>
      <c r="N18" s="1097"/>
    </row>
    <row r="19" spans="1:16">
      <c r="A19" s="1107">
        <f>+A17+1</f>
        <v>4</v>
      </c>
      <c r="B19" s="1108" t="s">
        <v>1121</v>
      </c>
      <c r="D19" s="1097">
        <v>-289979890</v>
      </c>
      <c r="E19" s="1097" t="s">
        <v>1122</v>
      </c>
      <c r="F19" s="1106">
        <v>-115991956.2</v>
      </c>
      <c r="G19" s="1106"/>
      <c r="H19" s="1112">
        <f>+F19/D19</f>
        <v>0.40000000068970298</v>
      </c>
      <c r="I19" s="1203"/>
      <c r="J19" s="1106"/>
      <c r="K19" s="1106"/>
      <c r="L19" s="1106">
        <f>+F19+J19</f>
        <v>-115991956.2</v>
      </c>
      <c r="M19" s="1097" t="s">
        <v>971</v>
      </c>
      <c r="N19" s="1097">
        <f>+D19-L19</f>
        <v>-173987933.80000001</v>
      </c>
    </row>
    <row r="20" spans="1:16">
      <c r="A20" s="1107"/>
      <c r="B20" s="1108"/>
      <c r="D20" s="1097"/>
      <c r="E20" s="1097"/>
      <c r="F20" s="1106"/>
      <c r="G20" s="1106"/>
      <c r="H20" s="1115"/>
      <c r="I20" s="1203"/>
      <c r="J20" s="1106"/>
      <c r="K20" s="1106"/>
      <c r="L20" s="1106"/>
      <c r="M20" s="1097"/>
      <c r="N20" s="1097"/>
    </row>
    <row r="21" spans="1:16">
      <c r="A21" s="1107">
        <f>+A19+1</f>
        <v>5</v>
      </c>
      <c r="B21" s="1108" t="s">
        <v>1123</v>
      </c>
      <c r="D21" s="1097">
        <v>-1982378027</v>
      </c>
      <c r="E21" s="1097" t="s">
        <v>1124</v>
      </c>
      <c r="F21" s="1106">
        <v>-785862991.44999969</v>
      </c>
      <c r="G21" s="1106"/>
      <c r="H21" s="1112">
        <f>+F21/D21</f>
        <v>0.39642438563510152</v>
      </c>
      <c r="I21" s="1114"/>
      <c r="J21" s="1106">
        <v>-13641125.550000001</v>
      </c>
      <c r="K21" s="1106"/>
      <c r="L21" s="1106">
        <f>+F21+J21-L22</f>
        <v>-568878716.31999969</v>
      </c>
      <c r="M21" s="1097" t="s">
        <v>1125</v>
      </c>
      <c r="N21" s="1097">
        <f>+D21-L21-L22</f>
        <v>-1182873910.0000002</v>
      </c>
    </row>
    <row r="22" spans="1:16">
      <c r="A22" s="1107"/>
      <c r="B22" s="1108"/>
      <c r="D22" s="1097"/>
      <c r="E22" s="1097"/>
      <c r="F22" s="1106"/>
      <c r="G22" s="1106"/>
      <c r="H22" s="1115"/>
      <c r="I22" s="1106"/>
      <c r="J22" s="1106"/>
      <c r="K22" s="1106"/>
      <c r="L22" s="1106">
        <v>-230625400.68000001</v>
      </c>
      <c r="M22" s="1097" t="s">
        <v>1126</v>
      </c>
      <c r="N22" s="1097"/>
    </row>
    <row r="23" spans="1:16">
      <c r="A23" s="1107">
        <f>+A21+1</f>
        <v>6</v>
      </c>
      <c r="B23" s="1108" t="s">
        <v>1127</v>
      </c>
      <c r="D23" s="1097">
        <v>-426174211</v>
      </c>
      <c r="E23" s="1097" t="s">
        <v>1128</v>
      </c>
      <c r="H23" s="1116"/>
      <c r="N23" s="1097"/>
    </row>
    <row r="24" spans="1:16" ht="15.5">
      <c r="A24" s="1107">
        <f>+A23+1</f>
        <v>7</v>
      </c>
      <c r="B24" s="1108"/>
      <c r="D24" s="1117">
        <f>-118065681-12508624+65067609-4597370</f>
        <v>-70104066</v>
      </c>
      <c r="E24" s="1097" t="s">
        <v>1129</v>
      </c>
      <c r="F24" s="1104"/>
      <c r="G24" s="1104"/>
      <c r="H24" s="1118"/>
      <c r="I24" s="1119"/>
      <c r="J24" s="1106"/>
      <c r="K24" s="1106"/>
      <c r="L24" s="1106"/>
      <c r="M24" s="1097"/>
      <c r="N24" s="1097"/>
    </row>
    <row r="25" spans="1:16">
      <c r="A25" s="1107">
        <f>++A24+1</f>
        <v>8</v>
      </c>
      <c r="B25" s="1108" t="s">
        <v>1130</v>
      </c>
      <c r="D25" s="1097">
        <f>+D23-D24</f>
        <v>-356070145</v>
      </c>
      <c r="F25" s="1106">
        <v>-141371168.37999997</v>
      </c>
      <c r="G25" s="1106"/>
      <c r="H25" s="1112">
        <f>+F25/D25</f>
        <v>0.39703179377759956</v>
      </c>
      <c r="I25" s="1119"/>
      <c r="J25" s="1106">
        <f>-J17-J21</f>
        <v>128567096.5</v>
      </c>
      <c r="K25" s="1106"/>
      <c r="L25" s="1106">
        <f>+F25+J25</f>
        <v>-12804071.879999965</v>
      </c>
      <c r="M25" s="1097" t="s">
        <v>980</v>
      </c>
      <c r="N25" s="1097">
        <f>+D25-L25</f>
        <v>-343266073.12</v>
      </c>
    </row>
    <row r="26" spans="1:16">
      <c r="A26" s="1107"/>
      <c r="E26" s="1097"/>
      <c r="F26" s="1106"/>
      <c r="G26" s="1106"/>
      <c r="H26" s="1115"/>
      <c r="I26" s="1120"/>
      <c r="J26" s="1106"/>
      <c r="K26" s="1106"/>
      <c r="L26" s="1106"/>
      <c r="M26" s="1097"/>
      <c r="N26" s="1097"/>
    </row>
    <row r="27" spans="1:16">
      <c r="A27" s="1107">
        <f>+A25+1</f>
        <v>9</v>
      </c>
      <c r="B27" s="1094" t="s">
        <v>120</v>
      </c>
      <c r="D27" s="1121">
        <f>+D17+D19+D21+D25</f>
        <v>-2329165304.1100001</v>
      </c>
      <c r="E27" s="1097" t="s">
        <v>1131</v>
      </c>
      <c r="F27" s="1122">
        <f>SUM(F16:F25)</f>
        <v>-928300145.07999969</v>
      </c>
      <c r="G27" s="1123"/>
      <c r="H27" s="1124"/>
      <c r="J27" s="1122">
        <f>SUM(J16:J25)</f>
        <v>0</v>
      </c>
      <c r="K27" s="1106"/>
      <c r="L27" s="1122">
        <f>SUM(L16:L25)</f>
        <v>-928300145.0799998</v>
      </c>
      <c r="M27" s="1097"/>
      <c r="N27" s="1122">
        <f>SUM(N16:N25)</f>
        <v>-1400865159.0300002</v>
      </c>
    </row>
    <row r="28" spans="1:16">
      <c r="A28" s="1107"/>
      <c r="D28" s="1097"/>
      <c r="E28" s="1125"/>
      <c r="F28" s="1114"/>
      <c r="G28" s="1114"/>
      <c r="H28" s="1112"/>
      <c r="I28" s="1106"/>
      <c r="J28" s="1106"/>
      <c r="K28" s="1106"/>
      <c r="L28" s="1106"/>
      <c r="M28" s="1097"/>
      <c r="N28" s="1097"/>
    </row>
    <row r="29" spans="1:16" ht="13">
      <c r="A29" s="1126" t="s">
        <v>1132</v>
      </c>
      <c r="D29" s="1097"/>
      <c r="E29" s="1097"/>
      <c r="F29" s="1114"/>
      <c r="G29" s="1114"/>
      <c r="H29" s="1112"/>
      <c r="I29" s="1114"/>
      <c r="J29" s="1106"/>
      <c r="K29" s="1106"/>
      <c r="L29" s="1106"/>
      <c r="M29" s="1097"/>
      <c r="N29" s="1097"/>
      <c r="P29" s="1097"/>
    </row>
    <row r="30" spans="1:16" ht="15.5">
      <c r="A30" s="1107"/>
      <c r="F30" s="1120"/>
      <c r="G30" s="1120"/>
      <c r="H30" s="1112"/>
      <c r="J30" s="1104"/>
      <c r="K30" s="1106"/>
      <c r="L30" s="1106"/>
      <c r="N30" s="1097"/>
      <c r="P30" s="1097"/>
    </row>
    <row r="31" spans="1:16">
      <c r="A31" s="1107">
        <f>+A27+1</f>
        <v>10</v>
      </c>
      <c r="B31" s="1108" t="s">
        <v>1120</v>
      </c>
      <c r="D31" s="1097">
        <v>64030741.600000001</v>
      </c>
      <c r="E31" s="1108" t="s">
        <v>640</v>
      </c>
      <c r="F31" s="1106">
        <v>25564247.969999999</v>
      </c>
      <c r="G31" s="1106"/>
      <c r="H31" s="1112">
        <f>+F31/D31</f>
        <v>0.39924959997652126</v>
      </c>
      <c r="I31" s="1120"/>
      <c r="J31" s="1106">
        <f>-F31</f>
        <v>-25564247.969999999</v>
      </c>
      <c r="K31" s="1106"/>
      <c r="L31" s="1106">
        <f>+F31+J31</f>
        <v>0</v>
      </c>
      <c r="N31" s="1097">
        <f>+D31-L31</f>
        <v>64030741.600000001</v>
      </c>
      <c r="P31" s="1097"/>
    </row>
    <row r="32" spans="1:16">
      <c r="A32" s="1107"/>
      <c r="B32" s="1108"/>
      <c r="D32" s="1097"/>
      <c r="E32" s="1097"/>
      <c r="F32" s="1114"/>
      <c r="G32" s="1114"/>
      <c r="H32" s="1112"/>
      <c r="I32" s="1114"/>
      <c r="J32" s="1106"/>
      <c r="K32" s="1106"/>
      <c r="L32" s="1106"/>
      <c r="N32" s="1097"/>
      <c r="O32" s="1094"/>
      <c r="P32" s="1097"/>
    </row>
    <row r="33" spans="1:16">
      <c r="A33" s="1107">
        <f>+A31+1</f>
        <v>11</v>
      </c>
      <c r="B33" s="1108" t="s">
        <v>1123</v>
      </c>
      <c r="D33" s="1097">
        <v>-532673985.5</v>
      </c>
      <c r="E33" s="1108" t="s">
        <v>640</v>
      </c>
      <c r="F33" s="1106">
        <v>-211738348.20000005</v>
      </c>
      <c r="G33" s="1106"/>
      <c r="H33" s="1112">
        <f>+F33/D33</f>
        <v>0.39750082407581749</v>
      </c>
      <c r="I33" s="1114"/>
      <c r="J33" s="1106">
        <v>-3524424.8</v>
      </c>
      <c r="K33" s="1106"/>
      <c r="L33" s="1106">
        <f>+F33+J33-L34</f>
        <v>-185402169.00000006</v>
      </c>
      <c r="M33" s="1094" t="s">
        <v>971</v>
      </c>
      <c r="N33" s="1097">
        <f>+D33-L33-L34</f>
        <v>-317411212.49999994</v>
      </c>
      <c r="O33" s="1094"/>
      <c r="P33" s="1127"/>
    </row>
    <row r="34" spans="1:16">
      <c r="A34" s="1107"/>
      <c r="B34" s="1108"/>
      <c r="D34" s="1097"/>
      <c r="E34" s="1108"/>
      <c r="F34" s="1106"/>
      <c r="G34" s="1106"/>
      <c r="H34" s="1112"/>
      <c r="I34" s="1114"/>
      <c r="J34" s="1106"/>
      <c r="K34" s="1106"/>
      <c r="L34" s="1106">
        <v>-29860604</v>
      </c>
      <c r="M34" s="1094" t="s">
        <v>980</v>
      </c>
      <c r="N34" s="1097"/>
      <c r="O34" s="1094"/>
      <c r="P34" s="1127"/>
    </row>
    <row r="35" spans="1:16">
      <c r="A35" s="1107"/>
      <c r="B35" s="1108"/>
      <c r="D35" s="1097"/>
      <c r="E35" s="1097"/>
      <c r="H35" s="1116"/>
      <c r="I35" s="1128"/>
      <c r="J35" s="1106"/>
      <c r="K35" s="1106"/>
      <c r="L35" s="1106"/>
      <c r="N35" s="1097"/>
      <c r="O35" s="1094"/>
      <c r="P35" s="1097"/>
    </row>
    <row r="36" spans="1:16">
      <c r="A36" s="1107">
        <f>+A33+1</f>
        <v>12</v>
      </c>
      <c r="B36" s="1108" t="s">
        <v>1130</v>
      </c>
      <c r="D36" s="1129">
        <v>-27241044.940000001</v>
      </c>
      <c r="E36" s="1108" t="s">
        <v>640</v>
      </c>
      <c r="F36" s="1106">
        <v>-11031930.069999998</v>
      </c>
      <c r="G36" s="1106"/>
      <c r="H36" s="1112">
        <f>+F36/D36</f>
        <v>0.40497455564933249</v>
      </c>
      <c r="I36" s="1114"/>
      <c r="J36" s="1106">
        <f>-J31-J33</f>
        <v>29088672.77</v>
      </c>
      <c r="K36" s="1106"/>
      <c r="L36" s="1106">
        <f>+F36+J36</f>
        <v>18056742.700000003</v>
      </c>
      <c r="M36" s="1094" t="s">
        <v>980</v>
      </c>
      <c r="N36" s="1097">
        <f>+D36-L36</f>
        <v>-45297787.640000001</v>
      </c>
      <c r="O36" s="1094"/>
      <c r="P36" s="1097"/>
    </row>
    <row r="37" spans="1:16">
      <c r="A37" s="1107"/>
      <c r="D37" s="1129"/>
      <c r="E37" s="1097"/>
      <c r="F37" s="1114"/>
      <c r="G37" s="1114"/>
      <c r="H37" s="1112"/>
      <c r="I37" s="1114"/>
      <c r="J37" s="1106"/>
      <c r="K37" s="1106"/>
      <c r="L37" s="1106"/>
      <c r="N37" s="1097"/>
      <c r="O37" s="1094"/>
      <c r="P37" s="1097"/>
    </row>
    <row r="38" spans="1:16">
      <c r="A38" s="1107">
        <f>+A36+1</f>
        <v>13</v>
      </c>
      <c r="B38" s="1094" t="s">
        <v>120</v>
      </c>
      <c r="D38" s="1130">
        <f>+D36+D33+D31</f>
        <v>-495884288.84000003</v>
      </c>
      <c r="E38" s="1097" t="s">
        <v>1133</v>
      </c>
      <c r="F38" s="1122">
        <f>SUM(F31:F36)</f>
        <v>-197206030.30000004</v>
      </c>
      <c r="G38" s="1123"/>
      <c r="H38" s="1131"/>
      <c r="J38" s="1122">
        <f>SUM(J31:J36)</f>
        <v>0</v>
      </c>
      <c r="K38" s="1106"/>
      <c r="L38" s="1122">
        <f>SUM(L31:L36)</f>
        <v>-197206030.30000007</v>
      </c>
      <c r="N38" s="1122">
        <f>SUM(N31:N36)</f>
        <v>-298678258.53999996</v>
      </c>
      <c r="O38" s="1094"/>
      <c r="P38" s="1097"/>
    </row>
    <row r="39" spans="1:16">
      <c r="A39" s="1107"/>
      <c r="D39" s="1129"/>
      <c r="E39" s="1097"/>
      <c r="F39" s="1123"/>
      <c r="G39" s="1123"/>
      <c r="H39" s="1131"/>
      <c r="J39" s="1123"/>
      <c r="K39" s="1106"/>
      <c r="L39" s="1123"/>
      <c r="N39" s="1097"/>
      <c r="O39" s="1094"/>
      <c r="P39" s="1097"/>
    </row>
    <row r="40" spans="1:16">
      <c r="A40" s="1107"/>
      <c r="D40" s="1129"/>
      <c r="E40" s="1097"/>
      <c r="F40" s="1123"/>
      <c r="G40" s="1123"/>
      <c r="H40" s="1131"/>
      <c r="J40" s="1123"/>
      <c r="K40" s="1106"/>
      <c r="L40" s="1123"/>
      <c r="N40" s="1097"/>
      <c r="O40" s="1094"/>
      <c r="P40" s="1097"/>
    </row>
    <row r="41" spans="1:16">
      <c r="A41" s="1199" t="s">
        <v>1134</v>
      </c>
      <c r="B41" s="1199"/>
      <c r="C41" s="1199"/>
      <c r="D41" s="1199"/>
      <c r="E41" s="1199"/>
      <c r="F41" s="1199"/>
      <c r="G41" s="1199"/>
      <c r="H41" s="1199"/>
      <c r="N41" s="1097"/>
      <c r="O41" s="1094"/>
      <c r="P41" s="1097"/>
    </row>
    <row r="42" spans="1:16">
      <c r="A42" s="1199"/>
      <c r="B42" s="1199"/>
      <c r="C42" s="1199"/>
      <c r="D42" s="1199"/>
      <c r="E42" s="1199"/>
      <c r="F42" s="1199"/>
      <c r="G42" s="1199"/>
      <c r="H42" s="1199"/>
      <c r="N42" s="1097"/>
      <c r="O42" s="1094"/>
      <c r="P42" s="1097"/>
    </row>
    <row r="43" spans="1:16">
      <c r="A43" s="1199"/>
      <c r="B43" s="1199"/>
      <c r="C43" s="1199"/>
      <c r="D43" s="1199"/>
      <c r="E43" s="1199"/>
      <c r="F43" s="1199"/>
      <c r="G43" s="1199"/>
      <c r="H43" s="1199"/>
      <c r="N43" s="1097"/>
      <c r="O43" s="1094"/>
      <c r="P43" s="1097"/>
    </row>
    <row r="44" spans="1:16">
      <c r="A44" s="1199"/>
      <c r="B44" s="1199"/>
      <c r="C44" s="1199"/>
      <c r="D44" s="1199"/>
      <c r="E44" s="1199"/>
      <c r="F44" s="1199"/>
      <c r="G44" s="1199"/>
      <c r="H44" s="1199"/>
      <c r="N44" s="1097"/>
      <c r="O44" s="1094"/>
      <c r="P44" s="1097"/>
    </row>
    <row r="45" spans="1:16">
      <c r="A45" s="1107"/>
      <c r="N45" s="1097"/>
      <c r="O45" s="1094"/>
      <c r="P45" s="1097"/>
    </row>
    <row r="46" spans="1:16">
      <c r="A46" s="1093" t="s">
        <v>1135</v>
      </c>
      <c r="B46" s="1199" t="s">
        <v>1136</v>
      </c>
      <c r="C46" s="1199"/>
      <c r="D46" s="1199"/>
      <c r="E46" s="1199"/>
      <c r="F46" s="1199"/>
      <c r="G46" s="1199"/>
      <c r="H46" s="1199"/>
      <c r="N46" s="1097"/>
      <c r="O46" s="1094"/>
      <c r="P46" s="1097"/>
    </row>
    <row r="47" spans="1:16">
      <c r="B47" s="1199"/>
      <c r="C47" s="1199"/>
      <c r="D47" s="1199"/>
      <c r="E47" s="1199"/>
      <c r="F47" s="1199"/>
      <c r="G47" s="1199"/>
      <c r="H47" s="1199"/>
      <c r="N47" s="1097"/>
      <c r="O47" s="1094"/>
      <c r="P47" s="1097"/>
    </row>
    <row r="48" spans="1:16">
      <c r="B48" s="1199"/>
      <c r="C48" s="1199"/>
      <c r="D48" s="1199"/>
      <c r="E48" s="1199"/>
      <c r="F48" s="1199"/>
      <c r="G48" s="1199"/>
      <c r="H48" s="1199"/>
      <c r="N48" s="1097"/>
      <c r="O48" s="1094"/>
      <c r="P48" s="1097"/>
    </row>
    <row r="49" spans="1:14" ht="15.5">
      <c r="A49" s="1094"/>
      <c r="I49" s="1104"/>
      <c r="J49" s="1097"/>
      <c r="K49" s="1097"/>
      <c r="L49" s="1097"/>
      <c r="M49" s="1097"/>
      <c r="N49" s="1097"/>
    </row>
    <row r="50" spans="1:14" ht="15.65" customHeight="1">
      <c r="A50" s="1093" t="s">
        <v>1137</v>
      </c>
      <c r="B50" s="1199" t="s">
        <v>1138</v>
      </c>
      <c r="C50" s="1199"/>
      <c r="D50" s="1199"/>
      <c r="E50" s="1199"/>
      <c r="F50" s="1199"/>
      <c r="G50" s="1199"/>
      <c r="H50" s="1199"/>
      <c r="J50" s="1097"/>
      <c r="K50" s="1097"/>
      <c r="L50" s="1097"/>
      <c r="M50" s="1097"/>
      <c r="N50" s="1097"/>
    </row>
    <row r="51" spans="1:14" ht="12.65" customHeight="1">
      <c r="B51" s="1199"/>
      <c r="C51" s="1199"/>
      <c r="D51" s="1199"/>
      <c r="E51" s="1199"/>
      <c r="F51" s="1199"/>
      <c r="G51" s="1199"/>
      <c r="H51" s="1199"/>
      <c r="J51" s="1097"/>
      <c r="K51" s="1097"/>
      <c r="L51" s="1097"/>
      <c r="M51" s="1097"/>
      <c r="N51" s="1097"/>
    </row>
    <row r="52" spans="1:14" ht="12.65" customHeight="1">
      <c r="A52" s="1094"/>
      <c r="J52" s="1097"/>
      <c r="K52" s="1097"/>
      <c r="L52" s="1097"/>
      <c r="M52" s="1097"/>
      <c r="N52" s="1097"/>
    </row>
    <row r="53" spans="1:14" ht="12.65" customHeight="1">
      <c r="A53" s="1093" t="s">
        <v>1139</v>
      </c>
      <c r="B53" s="1199" t="s">
        <v>1140</v>
      </c>
      <c r="C53" s="1199"/>
      <c r="D53" s="1199"/>
      <c r="E53" s="1199"/>
      <c r="F53" s="1199"/>
      <c r="G53" s="1199"/>
      <c r="H53" s="1199"/>
      <c r="I53" s="1199"/>
      <c r="J53" s="1097"/>
      <c r="K53" s="1097"/>
      <c r="L53" s="1097"/>
      <c r="M53" s="1097"/>
      <c r="N53" s="1097"/>
    </row>
    <row r="54" spans="1:14" ht="15.5">
      <c r="A54" s="1132"/>
      <c r="B54" s="1199"/>
      <c r="C54" s="1199"/>
      <c r="D54" s="1199"/>
      <c r="E54" s="1199"/>
      <c r="F54" s="1199"/>
      <c r="G54" s="1199"/>
      <c r="H54" s="1199"/>
      <c r="I54" s="1199"/>
      <c r="J54" s="1097"/>
      <c r="K54" s="1097"/>
      <c r="L54" s="1097"/>
      <c r="M54" s="1097"/>
      <c r="N54" s="1097"/>
    </row>
    <row r="55" spans="1:14" ht="12.65" customHeight="1">
      <c r="A55" s="1094"/>
      <c r="J55" s="1097"/>
      <c r="K55" s="1097"/>
      <c r="L55" s="1097"/>
      <c r="M55" s="1097"/>
      <c r="N55" s="1097"/>
    </row>
    <row r="56" spans="1:14">
      <c r="A56" s="1094" t="s">
        <v>1141</v>
      </c>
      <c r="B56" s="1200" t="s">
        <v>1142</v>
      </c>
      <c r="C56" s="1200"/>
      <c r="D56" s="1200"/>
      <c r="E56" s="1200"/>
      <c r="F56" s="1200"/>
      <c r="J56" s="1097"/>
      <c r="K56" s="1097"/>
      <c r="L56" s="1097"/>
      <c r="M56" s="1097"/>
      <c r="N56" s="1097"/>
    </row>
    <row r="57" spans="1:14">
      <c r="B57" s="1200"/>
      <c r="C57" s="1200"/>
      <c r="D57" s="1200"/>
      <c r="E57" s="1200"/>
      <c r="F57" s="1200"/>
      <c r="J57" s="1097"/>
      <c r="K57" s="1097"/>
      <c r="L57" s="1097"/>
      <c r="M57" s="1097"/>
      <c r="N57" s="1097"/>
    </row>
    <row r="58" spans="1:14">
      <c r="A58" s="1094"/>
      <c r="J58" s="1097"/>
      <c r="K58" s="1097"/>
      <c r="L58" s="1097"/>
      <c r="M58" s="1097"/>
      <c r="N58" s="1097"/>
    </row>
    <row r="59" spans="1:14">
      <c r="A59" s="1094"/>
      <c r="J59" s="1097"/>
      <c r="K59" s="1097"/>
      <c r="L59" s="1097"/>
      <c r="M59" s="1097"/>
      <c r="N59" s="1097"/>
    </row>
    <row r="60" spans="1:14">
      <c r="E60" s="1133"/>
      <c r="I60" s="1097"/>
      <c r="J60" s="1097"/>
      <c r="K60" s="1097"/>
      <c r="L60" s="1097"/>
    </row>
    <row r="61" spans="1:14">
      <c r="G61" s="1134"/>
      <c r="H61" s="1134"/>
      <c r="I61" s="1097"/>
      <c r="J61" s="1097"/>
      <c r="K61" s="1097"/>
      <c r="L61" s="1097"/>
    </row>
    <row r="62" spans="1:14">
      <c r="G62" s="1134"/>
      <c r="H62" s="1134"/>
      <c r="I62" s="1097"/>
    </row>
    <row r="63" spans="1:14" ht="10" customHeight="1"/>
    <row r="66" spans="1:16" ht="15.5">
      <c r="A66" s="1132"/>
      <c r="B66" s="1104"/>
      <c r="C66" s="1104"/>
      <c r="D66" s="1104"/>
      <c r="E66" s="1104"/>
      <c r="F66" s="1104"/>
      <c r="G66" s="1104"/>
      <c r="H66" s="1104"/>
      <c r="I66" s="1104"/>
      <c r="J66" s="1104"/>
      <c r="K66" s="1104"/>
      <c r="L66" s="1104"/>
      <c r="M66" s="1104"/>
      <c r="N66" s="1104"/>
      <c r="O66" s="1104"/>
    </row>
    <row r="67" spans="1:16" ht="15.5">
      <c r="A67" s="1132"/>
      <c r="B67" s="1104"/>
      <c r="C67" s="1104"/>
      <c r="D67" s="1104"/>
      <c r="E67" s="1104"/>
      <c r="F67" s="1104"/>
      <c r="G67" s="1104"/>
      <c r="H67" s="1104"/>
      <c r="I67" s="1104"/>
      <c r="J67" s="1104"/>
      <c r="K67" s="1104"/>
      <c r="L67" s="1104"/>
      <c r="M67" s="1104"/>
      <c r="N67" s="1104"/>
      <c r="O67" s="1104"/>
    </row>
    <row r="68" spans="1:16" ht="15.5">
      <c r="A68" s="1132"/>
      <c r="B68" s="1104"/>
      <c r="C68" s="1104"/>
      <c r="D68" s="1104"/>
      <c r="E68" s="1104"/>
      <c r="F68" s="1104"/>
      <c r="G68" s="1104"/>
      <c r="H68" s="1104"/>
      <c r="I68" s="1104"/>
      <c r="J68" s="1104"/>
      <c r="K68" s="1104"/>
      <c r="L68" s="1104"/>
      <c r="M68" s="1104"/>
      <c r="N68" s="1104"/>
      <c r="O68" s="1104"/>
    </row>
    <row r="69" spans="1:16" ht="15.5">
      <c r="A69" s="1132"/>
      <c r="B69" s="1104"/>
      <c r="C69" s="1104"/>
      <c r="D69" s="1104"/>
      <c r="E69" s="1104"/>
      <c r="F69" s="1104"/>
      <c r="G69" s="1104"/>
      <c r="H69" s="1104"/>
      <c r="I69" s="1104"/>
      <c r="J69" s="1104"/>
      <c r="K69" s="1104"/>
      <c r="L69" s="1104"/>
      <c r="M69" s="1104"/>
      <c r="N69" s="1104"/>
      <c r="O69" s="1104"/>
      <c r="P69" s="1097"/>
    </row>
    <row r="70" spans="1:16" ht="15.5">
      <c r="A70" s="1132"/>
      <c r="B70" s="1104"/>
      <c r="C70" s="1104"/>
      <c r="D70" s="1104"/>
      <c r="E70" s="1104"/>
      <c r="F70" s="1104"/>
      <c r="G70" s="1104"/>
      <c r="H70" s="1104"/>
      <c r="I70" s="1104"/>
      <c r="J70" s="1104"/>
      <c r="K70" s="1104"/>
      <c r="L70" s="1104"/>
      <c r="M70" s="1104"/>
      <c r="N70" s="1104"/>
      <c r="O70" s="1104"/>
      <c r="P70" s="1097"/>
    </row>
    <row r="71" spans="1:16" ht="15.5">
      <c r="A71" s="1132"/>
      <c r="B71" s="1104"/>
      <c r="C71" s="1104"/>
      <c r="D71" s="1104"/>
      <c r="E71" s="1104"/>
      <c r="F71" s="1104"/>
      <c r="G71" s="1104"/>
      <c r="H71" s="1104"/>
      <c r="I71" s="1104"/>
      <c r="J71" s="1104"/>
      <c r="K71" s="1104"/>
      <c r="L71" s="1104"/>
      <c r="M71" s="1104"/>
      <c r="N71" s="1104"/>
      <c r="O71" s="1104"/>
      <c r="P71" s="1097"/>
    </row>
    <row r="72" spans="1:16" ht="15.5">
      <c r="A72" s="1132"/>
      <c r="B72" s="1104"/>
      <c r="C72" s="1104"/>
      <c r="D72" s="1104"/>
      <c r="E72" s="1104"/>
      <c r="F72" s="1104"/>
      <c r="G72" s="1104"/>
      <c r="H72" s="1104"/>
      <c r="I72" s="1104"/>
      <c r="J72" s="1104"/>
      <c r="K72" s="1104"/>
      <c r="L72" s="1104"/>
      <c r="M72" s="1104"/>
      <c r="N72" s="1104"/>
      <c r="O72" s="1104"/>
      <c r="P72" s="1097"/>
    </row>
    <row r="73" spans="1:16" ht="15.5">
      <c r="A73" s="1132"/>
      <c r="B73" s="1104"/>
      <c r="C73" s="1104"/>
      <c r="D73" s="1104"/>
      <c r="E73" s="1104"/>
      <c r="F73" s="1104"/>
      <c r="G73" s="1104"/>
      <c r="H73" s="1104"/>
      <c r="I73" s="1104"/>
      <c r="J73" s="1104"/>
      <c r="K73" s="1104"/>
      <c r="L73" s="1104"/>
      <c r="M73" s="1104"/>
      <c r="N73" s="1104"/>
      <c r="O73" s="1104"/>
      <c r="P73" s="1097"/>
    </row>
    <row r="74" spans="1:16" ht="15.5">
      <c r="A74" s="1132"/>
      <c r="B74" s="1104"/>
      <c r="C74" s="1104"/>
      <c r="D74" s="1104"/>
      <c r="E74" s="1104"/>
      <c r="F74" s="1104"/>
      <c r="G74" s="1104"/>
      <c r="H74" s="1104"/>
      <c r="I74" s="1104"/>
      <c r="J74" s="1104"/>
      <c r="K74" s="1104"/>
      <c r="L74" s="1104"/>
      <c r="M74" s="1104"/>
      <c r="N74" s="1104"/>
      <c r="O74" s="1104"/>
      <c r="P74" s="1097"/>
    </row>
    <row r="75" spans="1:16" ht="15.5">
      <c r="A75" s="1132"/>
      <c r="B75" s="1104"/>
      <c r="C75" s="1104"/>
      <c r="D75" s="1104"/>
      <c r="E75" s="1104"/>
      <c r="F75" s="1104"/>
      <c r="G75" s="1104"/>
      <c r="H75" s="1104"/>
      <c r="I75" s="1104"/>
      <c r="J75" s="1104"/>
      <c r="K75" s="1104"/>
      <c r="L75" s="1104"/>
      <c r="M75" s="1104"/>
      <c r="N75" s="1104"/>
      <c r="O75" s="1104"/>
      <c r="P75" s="1097"/>
    </row>
    <row r="76" spans="1:16" ht="15.5">
      <c r="A76" s="1132"/>
      <c r="B76" s="1104"/>
      <c r="C76" s="1104"/>
      <c r="D76" s="1104"/>
      <c r="E76" s="1104"/>
      <c r="F76" s="1104"/>
      <c r="G76" s="1104"/>
      <c r="H76" s="1104"/>
      <c r="I76" s="1104"/>
      <c r="J76" s="1104"/>
      <c r="K76" s="1104"/>
      <c r="L76" s="1104"/>
      <c r="M76" s="1104"/>
      <c r="N76" s="1104"/>
      <c r="O76" s="1104"/>
      <c r="P76" s="1097"/>
    </row>
    <row r="77" spans="1:16" ht="15.5">
      <c r="A77" s="1132"/>
      <c r="B77" s="1104"/>
      <c r="C77" s="1104"/>
      <c r="D77" s="1104"/>
      <c r="E77" s="1104"/>
      <c r="F77" s="1104"/>
      <c r="G77" s="1104"/>
      <c r="H77" s="1104"/>
      <c r="I77" s="1104"/>
      <c r="J77" s="1104"/>
      <c r="K77" s="1104"/>
      <c r="L77" s="1104"/>
      <c r="M77" s="1104"/>
      <c r="N77" s="1104"/>
      <c r="O77" s="1104"/>
      <c r="P77" s="1097"/>
    </row>
    <row r="78" spans="1:16" ht="15.5">
      <c r="A78" s="1132"/>
      <c r="B78" s="1104"/>
      <c r="C78" s="1104"/>
      <c r="D78" s="1104"/>
      <c r="E78" s="1104"/>
      <c r="F78" s="1104"/>
      <c r="G78" s="1104"/>
      <c r="H78" s="1104"/>
      <c r="I78" s="1104"/>
      <c r="J78" s="1104"/>
      <c r="K78" s="1104"/>
      <c r="L78" s="1104"/>
      <c r="M78" s="1104"/>
      <c r="N78" s="1104"/>
      <c r="O78" s="1104"/>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AE1-B050-49A3-AFDB-BF8CDE193A70}">
  <dimension ref="A1:Q87"/>
  <sheetViews>
    <sheetView workbookViewId="0">
      <selection activeCell="F35" sqref="F35"/>
    </sheetView>
  </sheetViews>
  <sheetFormatPr defaultRowHeight="12.5"/>
  <cols>
    <col min="4" max="4" width="24" customWidth="1"/>
    <col min="5" max="5" width="25.1796875" customWidth="1"/>
    <col min="6" max="6" width="25.26953125" customWidth="1"/>
    <col min="7" max="7" width="4.453125" customWidth="1"/>
    <col min="8" max="8" width="20.26953125" customWidth="1"/>
    <col min="9" max="9" width="4.54296875" customWidth="1"/>
    <col min="10" max="10" width="19.81640625" customWidth="1"/>
    <col min="12" max="12" width="19.1796875" customWidth="1"/>
    <col min="13" max="13" width="17.81640625" customWidth="1"/>
    <col min="14" max="14" width="20" customWidth="1"/>
  </cols>
  <sheetData>
    <row r="1" spans="1:17" ht="15.5">
      <c r="A1" s="1093" t="s">
        <v>1094</v>
      </c>
      <c r="B1" s="1135"/>
      <c r="C1" s="1135"/>
      <c r="D1" s="1135"/>
      <c r="E1" s="1135"/>
      <c r="F1" s="1135"/>
      <c r="G1" s="1135"/>
      <c r="H1" s="1135"/>
      <c r="I1" s="1135"/>
      <c r="J1" s="1135"/>
      <c r="K1" s="1135"/>
      <c r="L1" s="1095"/>
      <c r="M1" s="1135"/>
      <c r="N1" s="1096"/>
      <c r="O1" s="1135"/>
      <c r="P1" s="1135"/>
      <c r="Q1" s="1135"/>
    </row>
    <row r="2" spans="1:17" ht="14.5">
      <c r="A2" s="1093" t="s">
        <v>1096</v>
      </c>
      <c r="B2" s="1135"/>
      <c r="C2" s="1135"/>
      <c r="D2" s="1135"/>
      <c r="E2" s="1135"/>
      <c r="F2" s="1135"/>
      <c r="G2" s="1135"/>
      <c r="H2" s="1135"/>
      <c r="I2" s="1135"/>
      <c r="J2" s="1135"/>
      <c r="K2" s="1135"/>
      <c r="L2" s="1098"/>
      <c r="M2" s="1135"/>
      <c r="N2" s="1099"/>
      <c r="O2" s="1135"/>
      <c r="P2" s="1135"/>
      <c r="Q2" s="1135"/>
    </row>
    <row r="3" spans="1:17" ht="14.5">
      <c r="A3" s="1093" t="s">
        <v>1098</v>
      </c>
      <c r="B3" s="1135"/>
      <c r="C3" s="1135"/>
      <c r="D3" s="1135"/>
      <c r="E3" s="1135"/>
      <c r="F3" s="1135"/>
      <c r="G3" s="1135"/>
      <c r="H3" s="1135"/>
      <c r="I3" s="1135"/>
      <c r="J3" s="1135"/>
      <c r="K3" s="1135"/>
      <c r="L3" s="1135"/>
      <c r="M3" s="1135"/>
      <c r="N3" s="1099"/>
      <c r="O3" s="1135"/>
      <c r="P3" s="1135"/>
      <c r="Q3" s="1135"/>
    </row>
    <row r="4" spans="1:17" ht="14.5">
      <c r="A4" s="1093" t="s">
        <v>1143</v>
      </c>
      <c r="B4" s="1135"/>
      <c r="C4" s="1135"/>
      <c r="D4" s="1135"/>
      <c r="E4" s="1135"/>
      <c r="F4" s="1135"/>
      <c r="G4" s="1135"/>
      <c r="H4" s="1135"/>
      <c r="I4" s="1135"/>
      <c r="J4" s="1135"/>
      <c r="K4" s="1135"/>
      <c r="L4" s="1135"/>
      <c r="M4" s="1135"/>
      <c r="N4" s="1096"/>
      <c r="O4" s="1135"/>
      <c r="P4" s="1135"/>
      <c r="Q4" s="1135"/>
    </row>
    <row r="5" spans="1:17" ht="14.5">
      <c r="A5" s="1093" t="s">
        <v>1102</v>
      </c>
      <c r="B5" s="1135"/>
      <c r="C5" s="1135"/>
      <c r="D5" s="1135"/>
      <c r="E5" s="1135"/>
      <c r="F5" s="1135"/>
      <c r="G5" s="1135"/>
      <c r="H5" s="1135"/>
      <c r="I5" s="1135"/>
      <c r="J5" s="1135"/>
      <c r="K5" s="1135"/>
      <c r="L5" s="1135"/>
      <c r="M5" s="1135"/>
      <c r="N5" s="1135"/>
      <c r="O5" s="1135"/>
      <c r="P5" s="1135"/>
      <c r="Q5" s="1135"/>
    </row>
    <row r="6" spans="1:17" ht="14.5">
      <c r="A6" s="1093" t="s">
        <v>943</v>
      </c>
      <c r="B6" s="1135"/>
      <c r="C6" s="1135"/>
      <c r="D6" s="1135"/>
      <c r="E6" s="1135"/>
      <c r="F6" s="1135"/>
      <c r="G6" s="1135"/>
      <c r="H6" s="1135"/>
      <c r="I6" s="1135"/>
      <c r="J6" s="1135"/>
      <c r="K6" s="1135"/>
      <c r="L6" s="1135"/>
      <c r="M6" s="1135"/>
      <c r="N6" s="1135"/>
      <c r="O6" s="1135"/>
      <c r="P6" s="1135"/>
      <c r="Q6" s="1135"/>
    </row>
    <row r="7" spans="1:17" ht="14.5">
      <c r="A7" s="1201" t="s">
        <v>1144</v>
      </c>
      <c r="B7" s="1201"/>
      <c r="C7" s="1201"/>
      <c r="D7" s="1201"/>
      <c r="E7" s="1201"/>
      <c r="F7" s="1201"/>
      <c r="G7" s="1201"/>
      <c r="H7" s="1201"/>
      <c r="I7" s="1201"/>
      <c r="J7" s="1201"/>
      <c r="K7" s="1201"/>
      <c r="L7" s="1201"/>
      <c r="M7" s="1201"/>
      <c r="N7" s="1201"/>
      <c r="O7" s="1135"/>
      <c r="P7" s="1135"/>
      <c r="Q7" s="1135"/>
    </row>
    <row r="9" spans="1:17" ht="14.5">
      <c r="A9" s="1100" t="s">
        <v>150</v>
      </c>
      <c r="B9" s="1101" t="s">
        <v>151</v>
      </c>
      <c r="C9" s="1101"/>
      <c r="D9" s="1136" t="s">
        <v>152</v>
      </c>
      <c r="E9" s="1101" t="s">
        <v>153</v>
      </c>
      <c r="F9" s="1101" t="s">
        <v>154</v>
      </c>
      <c r="G9" s="1101"/>
      <c r="H9" s="1101" t="s">
        <v>1104</v>
      </c>
      <c r="I9" s="1101"/>
      <c r="J9" s="1101" t="s">
        <v>156</v>
      </c>
      <c r="K9" s="1101"/>
      <c r="L9" s="1101" t="s">
        <v>1105</v>
      </c>
      <c r="M9" s="1101" t="s">
        <v>158</v>
      </c>
      <c r="N9" s="1101" t="s">
        <v>1106</v>
      </c>
      <c r="O9" s="1135"/>
      <c r="P9" s="1135"/>
      <c r="Q9" s="1202"/>
    </row>
    <row r="10" spans="1:17" ht="14.5">
      <c r="A10" s="1135"/>
      <c r="B10" s="1135"/>
      <c r="C10" s="1135"/>
      <c r="D10" s="1135"/>
      <c r="E10" s="1135"/>
      <c r="F10" s="1102"/>
      <c r="G10" s="1102"/>
      <c r="H10" s="1102"/>
      <c r="I10" s="1135"/>
      <c r="J10" s="1135"/>
      <c r="K10" s="1135"/>
      <c r="L10" s="1135"/>
      <c r="M10" s="1135"/>
      <c r="N10" s="1135"/>
      <c r="O10" s="1135"/>
      <c r="P10" s="1135"/>
      <c r="Q10" s="1202"/>
    </row>
    <row r="11" spans="1:17" ht="38.5">
      <c r="A11" s="1093" t="s">
        <v>1107</v>
      </c>
      <c r="B11" s="1094" t="s">
        <v>1108</v>
      </c>
      <c r="C11" s="1135"/>
      <c r="D11" s="1137" t="s">
        <v>1145</v>
      </c>
      <c r="E11" s="1101" t="s">
        <v>962</v>
      </c>
      <c r="F11" s="1103" t="s">
        <v>1110</v>
      </c>
      <c r="G11" s="1103"/>
      <c r="H11" s="1103" t="s">
        <v>1111</v>
      </c>
      <c r="I11" s="1104"/>
      <c r="J11" s="1103" t="s">
        <v>1112</v>
      </c>
      <c r="K11" s="1094"/>
      <c r="L11" s="1103" t="s">
        <v>1113</v>
      </c>
      <c r="M11" s="1103" t="s">
        <v>1114</v>
      </c>
      <c r="N11" s="1103" t="s">
        <v>1115</v>
      </c>
      <c r="O11" s="1135"/>
      <c r="P11" s="1135"/>
      <c r="Q11" s="1135"/>
    </row>
    <row r="12" spans="1:17" ht="15.5">
      <c r="A12" s="1135"/>
      <c r="B12" s="1135"/>
      <c r="C12" s="1135"/>
      <c r="D12" s="1137"/>
      <c r="E12" s="1101"/>
      <c r="F12" s="1103"/>
      <c r="G12" s="1103"/>
      <c r="H12" s="1103"/>
      <c r="I12" s="1104"/>
      <c r="J12" s="1103"/>
      <c r="K12" s="1094"/>
      <c r="L12" s="1103"/>
      <c r="M12" s="1135"/>
      <c r="N12" s="1102"/>
      <c r="O12" s="1135"/>
      <c r="P12" s="1135"/>
      <c r="Q12" s="1135"/>
    </row>
    <row r="13" spans="1:17" ht="15.5">
      <c r="A13" s="1105" t="s">
        <v>1116</v>
      </c>
      <c r="B13" s="1135"/>
      <c r="C13" s="1135"/>
      <c r="D13" s="1137"/>
      <c r="E13" s="1101"/>
      <c r="F13" s="1103"/>
      <c r="G13" s="1103"/>
      <c r="H13" s="1103"/>
      <c r="I13" s="1104"/>
      <c r="J13" s="1103"/>
      <c r="K13" s="1094"/>
      <c r="L13" s="1103"/>
      <c r="M13" s="1135"/>
      <c r="N13" s="1102"/>
      <c r="O13" s="1135"/>
      <c r="P13" s="1135"/>
      <c r="Q13" s="1135"/>
    </row>
    <row r="14" spans="1:17" ht="14.5">
      <c r="A14" s="1135"/>
      <c r="B14" s="1135"/>
      <c r="C14" s="1135"/>
      <c r="D14" s="1138"/>
      <c r="E14" s="1097"/>
      <c r="F14" s="1106"/>
      <c r="G14" s="1106"/>
      <c r="H14" s="1106"/>
      <c r="I14" s="1106"/>
      <c r="J14" s="1106"/>
      <c r="K14" s="1106"/>
      <c r="L14" s="1106"/>
      <c r="M14" s="1097"/>
      <c r="N14" s="1097"/>
      <c r="O14" s="1135"/>
      <c r="P14" s="1135"/>
      <c r="Q14" s="1135"/>
    </row>
    <row r="15" spans="1:17" ht="14.5">
      <c r="A15" s="1107">
        <v>1</v>
      </c>
      <c r="B15" s="1108" t="s">
        <v>1146</v>
      </c>
      <c r="C15" s="1135"/>
      <c r="D15" s="1109">
        <v>-744125741</v>
      </c>
      <c r="E15" s="1097" t="s">
        <v>1147</v>
      </c>
      <c r="F15" s="1094"/>
      <c r="G15" s="1094"/>
      <c r="H15" s="1094"/>
      <c r="I15" s="1094"/>
      <c r="J15" s="1094"/>
      <c r="K15" s="1094"/>
      <c r="L15" s="1094"/>
      <c r="M15" s="1135"/>
      <c r="N15" s="1097"/>
      <c r="O15" s="1135"/>
      <c r="P15" s="1135"/>
      <c r="Q15" s="1135"/>
    </row>
    <row r="16" spans="1:17" ht="15.5">
      <c r="A16" s="1107">
        <v>2</v>
      </c>
      <c r="B16" s="1108"/>
      <c r="C16" s="1135"/>
      <c r="D16" s="1139">
        <v>0.43256499999999998</v>
      </c>
      <c r="E16" s="1097" t="s">
        <v>1148</v>
      </c>
      <c r="F16" s="1104"/>
      <c r="G16" s="1104"/>
      <c r="H16" s="1111"/>
      <c r="I16" s="1104"/>
      <c r="J16" s="1104"/>
      <c r="K16" s="1104"/>
      <c r="L16" s="1104"/>
      <c r="M16" s="1097"/>
      <c r="N16" s="1097"/>
      <c r="O16" s="1135"/>
      <c r="P16" s="1135"/>
      <c r="Q16" s="1135"/>
    </row>
    <row r="17" spans="1:16" ht="15.5">
      <c r="A17" s="1107">
        <v>3</v>
      </c>
      <c r="B17" s="1108"/>
      <c r="C17" s="1135"/>
      <c r="D17" s="1140">
        <v>6.5000000000000002E-2</v>
      </c>
      <c r="E17" s="1097" t="s">
        <v>1149</v>
      </c>
      <c r="F17" s="1104"/>
      <c r="G17" s="1104"/>
      <c r="H17" s="1111"/>
      <c r="I17" s="1104"/>
      <c r="J17" s="1104"/>
      <c r="K17" s="1104"/>
      <c r="L17" s="1104"/>
      <c r="M17" s="1097"/>
      <c r="N17" s="1097"/>
      <c r="O17" s="1135"/>
      <c r="P17" s="1135"/>
    </row>
    <row r="18" spans="1:16" ht="15.5">
      <c r="A18" s="1107">
        <v>4</v>
      </c>
      <c r="B18" s="1108"/>
      <c r="C18" s="1135"/>
      <c r="D18" s="1141">
        <v>-20922378.825118225</v>
      </c>
      <c r="E18" s="1094" t="s">
        <v>1150</v>
      </c>
      <c r="F18" s="1104"/>
      <c r="G18" s="1104"/>
      <c r="H18" s="1111"/>
      <c r="I18" s="1104"/>
      <c r="J18" s="1104"/>
      <c r="K18" s="1104"/>
      <c r="L18" s="1104"/>
      <c r="M18" s="1097"/>
      <c r="N18" s="1097"/>
      <c r="O18" s="1135"/>
      <c r="P18" s="1135"/>
    </row>
    <row r="19" spans="1:16" ht="15.5">
      <c r="A19" s="1107">
        <v>5</v>
      </c>
      <c r="B19" s="1108"/>
      <c r="C19" s="1135"/>
      <c r="D19" s="1141"/>
      <c r="E19" s="1135"/>
      <c r="F19" s="1104"/>
      <c r="G19" s="1104"/>
      <c r="H19" s="1111"/>
      <c r="I19" s="1104"/>
      <c r="J19" s="1104"/>
      <c r="K19" s="1104"/>
      <c r="L19" s="1104"/>
      <c r="M19" s="1097"/>
      <c r="N19" s="1097"/>
      <c r="O19" s="1135"/>
      <c r="P19" s="1135"/>
    </row>
    <row r="20" spans="1:16" ht="15.5">
      <c r="A20" s="1107">
        <v>6</v>
      </c>
      <c r="B20" s="1108"/>
      <c r="C20" s="1135"/>
      <c r="D20" s="1141">
        <v>-744125741</v>
      </c>
      <c r="E20" s="1097" t="s">
        <v>1147</v>
      </c>
      <c r="F20" s="1104"/>
      <c r="G20" s="1104"/>
      <c r="H20" s="1111"/>
      <c r="I20" s="1104"/>
      <c r="J20" s="1104"/>
      <c r="K20" s="1104"/>
      <c r="L20" s="1104"/>
      <c r="M20" s="1097"/>
      <c r="N20" s="1097"/>
      <c r="O20" s="1135"/>
      <c r="P20" s="1135"/>
    </row>
    <row r="21" spans="1:16" ht="15.5">
      <c r="A21" s="1107">
        <v>7</v>
      </c>
      <c r="B21" s="1108"/>
      <c r="C21" s="1135"/>
      <c r="D21" s="1139">
        <v>0.52269500000000002</v>
      </c>
      <c r="E21" s="1097" t="s">
        <v>1151</v>
      </c>
      <c r="F21" s="1104"/>
      <c r="G21" s="1104"/>
      <c r="H21" s="1111"/>
      <c r="I21" s="1104"/>
      <c r="J21" s="1104"/>
      <c r="K21" s="1104"/>
      <c r="L21" s="1104"/>
      <c r="M21" s="1097"/>
      <c r="N21" s="1097"/>
      <c r="O21" s="1135"/>
      <c r="P21" s="1135"/>
    </row>
    <row r="22" spans="1:16" ht="15.5">
      <c r="A22" s="1107">
        <v>8</v>
      </c>
      <c r="B22" s="1108"/>
      <c r="C22" s="1135"/>
      <c r="D22" s="1140">
        <v>6.5000000000000002E-2</v>
      </c>
      <c r="E22" s="1097" t="s">
        <v>1149</v>
      </c>
      <c r="F22" s="1104"/>
      <c r="G22" s="1104"/>
      <c r="H22" s="1111"/>
      <c r="I22" s="1104"/>
      <c r="J22" s="1104"/>
      <c r="K22" s="1104"/>
      <c r="L22" s="1104"/>
      <c r="M22" s="1097"/>
      <c r="N22" s="1097"/>
      <c r="O22" s="1135"/>
      <c r="P22" s="1135"/>
    </row>
    <row r="23" spans="1:16" ht="15.5">
      <c r="A23" s="1107">
        <v>9</v>
      </c>
      <c r="B23" s="1108"/>
      <c r="C23" s="1135"/>
      <c r="D23" s="1141">
        <v>-25281802.272479676</v>
      </c>
      <c r="E23" s="1094" t="s">
        <v>1152</v>
      </c>
      <c r="F23" s="1104"/>
      <c r="G23" s="1104"/>
      <c r="H23" s="1111"/>
      <c r="I23" s="1104"/>
      <c r="J23" s="1104"/>
      <c r="K23" s="1104"/>
      <c r="L23" s="1104"/>
      <c r="M23" s="1097"/>
      <c r="N23" s="1097"/>
      <c r="O23" s="1135"/>
      <c r="P23" s="1135"/>
    </row>
    <row r="24" spans="1:16" ht="14.5">
      <c r="A24" s="1107">
        <v>10</v>
      </c>
      <c r="B24" s="1108"/>
      <c r="C24" s="1135"/>
      <c r="D24" s="1142"/>
      <c r="E24" s="1135"/>
      <c r="F24" s="1106"/>
      <c r="G24" s="1106"/>
      <c r="H24" s="1112"/>
      <c r="I24" s="1113"/>
      <c r="J24" s="1106"/>
      <c r="K24" s="1106"/>
      <c r="L24" s="1106"/>
      <c r="M24" s="1097"/>
      <c r="N24" s="1097">
        <v>0</v>
      </c>
      <c r="O24" s="1135"/>
      <c r="P24" s="1135"/>
    </row>
    <row r="25" spans="1:16" ht="14.5">
      <c r="A25" s="1107">
        <v>11</v>
      </c>
      <c r="B25" s="1108"/>
      <c r="C25" s="1135"/>
      <c r="D25" s="1143">
        <v>4359423.4473614506</v>
      </c>
      <c r="E25" s="1094" t="s">
        <v>1153</v>
      </c>
      <c r="F25" s="1144">
        <v>4359423.4473614506</v>
      </c>
      <c r="G25" s="1114"/>
      <c r="H25" s="1112">
        <v>-0.17243325457484768</v>
      </c>
      <c r="I25" s="1113"/>
      <c r="J25" s="1106">
        <v>0</v>
      </c>
      <c r="K25" s="1106"/>
      <c r="L25" s="1106">
        <v>4359423.4473614506</v>
      </c>
      <c r="M25" s="1097" t="s">
        <v>980</v>
      </c>
      <c r="N25" s="1097">
        <v>-20922378.825118225</v>
      </c>
      <c r="O25" s="1135"/>
      <c r="P25" s="1135"/>
    </row>
    <row r="26" spans="1:16" ht="14.5">
      <c r="A26" s="1107">
        <v>12</v>
      </c>
      <c r="B26" s="1108"/>
      <c r="C26" s="1135"/>
      <c r="D26" s="1142"/>
      <c r="E26" s="1094" t="s">
        <v>1154</v>
      </c>
      <c r="F26" s="1106">
        <v>-915478.92394590459</v>
      </c>
      <c r="G26" s="1106"/>
      <c r="H26" s="1112"/>
      <c r="I26" s="1145"/>
      <c r="J26" s="1106">
        <v>0</v>
      </c>
      <c r="K26" s="1106"/>
      <c r="L26" s="1106">
        <v>-915478.92394590459</v>
      </c>
      <c r="M26" s="1097" t="s">
        <v>980</v>
      </c>
      <c r="N26" s="1097">
        <v>0</v>
      </c>
      <c r="O26" s="1135"/>
      <c r="P26" s="1135"/>
    </row>
    <row r="27" spans="1:16" ht="14.5">
      <c r="A27" s="1107">
        <v>13</v>
      </c>
      <c r="B27" s="1108"/>
      <c r="C27" s="1135"/>
      <c r="D27" s="1138"/>
      <c r="E27" s="1135"/>
      <c r="F27" s="1106"/>
      <c r="G27" s="1106"/>
      <c r="H27" s="1112"/>
      <c r="I27" s="1119"/>
      <c r="J27" s="1106"/>
      <c r="K27" s="1106"/>
      <c r="L27" s="1106"/>
      <c r="M27" s="1097"/>
      <c r="N27" s="1097"/>
      <c r="O27" s="1135"/>
      <c r="P27" s="1135"/>
    </row>
    <row r="28" spans="1:16" ht="14.5">
      <c r="A28" s="1107">
        <v>14</v>
      </c>
      <c r="B28" s="1135"/>
      <c r="C28" s="1135"/>
      <c r="D28" s="1135"/>
      <c r="E28" s="1097"/>
      <c r="F28" s="1106"/>
      <c r="G28" s="1106"/>
      <c r="H28" s="1115"/>
      <c r="I28" s="1120"/>
      <c r="J28" s="1106"/>
      <c r="K28" s="1106"/>
      <c r="L28" s="1106"/>
      <c r="M28" s="1097"/>
      <c r="N28" s="1097"/>
      <c r="O28" s="1135"/>
      <c r="P28" s="1135"/>
    </row>
    <row r="29" spans="1:16" ht="14.5">
      <c r="A29" s="1107">
        <v>15</v>
      </c>
      <c r="B29" s="1094" t="s">
        <v>120</v>
      </c>
      <c r="C29" s="1135"/>
      <c r="D29" s="1146">
        <v>-25281802.272479676</v>
      </c>
      <c r="E29" s="1097" t="s">
        <v>1155</v>
      </c>
      <c r="F29" s="1122">
        <v>3443944.5234155459</v>
      </c>
      <c r="G29" s="1123"/>
      <c r="H29" s="1124"/>
      <c r="I29" s="1094"/>
      <c r="J29" s="1122">
        <v>0</v>
      </c>
      <c r="K29" s="1106"/>
      <c r="L29" s="1122">
        <v>3443944.5234155459</v>
      </c>
      <c r="M29" s="1097"/>
      <c r="N29" s="1122">
        <v>-20922378.825118225</v>
      </c>
      <c r="O29" s="1135"/>
      <c r="P29" s="1135"/>
    </row>
    <row r="30" spans="1:16" ht="14.5">
      <c r="A30" s="1107"/>
      <c r="B30" s="1135"/>
      <c r="C30" s="1135"/>
      <c r="D30" s="1138"/>
      <c r="E30" s="1125"/>
      <c r="F30" s="1114"/>
      <c r="G30" s="1114"/>
      <c r="H30" s="1112"/>
      <c r="I30" s="1106"/>
      <c r="J30" s="1106"/>
      <c r="K30" s="1106"/>
      <c r="L30" s="1106"/>
      <c r="M30" s="1097"/>
      <c r="N30" s="1097"/>
      <c r="O30" s="1135"/>
      <c r="P30" s="1135"/>
    </row>
    <row r="31" spans="1:16" ht="14.5">
      <c r="A31" s="1126" t="s">
        <v>1132</v>
      </c>
      <c r="B31" s="1135"/>
      <c r="C31" s="1135"/>
      <c r="D31" s="1138"/>
      <c r="E31" s="1097"/>
      <c r="F31" s="1114"/>
      <c r="G31" s="1114"/>
      <c r="H31" s="1112"/>
      <c r="I31" s="1114"/>
      <c r="J31" s="1106"/>
      <c r="K31" s="1106"/>
      <c r="L31" s="1106"/>
      <c r="M31" s="1097"/>
      <c r="N31" s="1097"/>
      <c r="O31" s="1135"/>
      <c r="P31" s="1097"/>
    </row>
    <row r="32" spans="1:16" ht="15.5">
      <c r="A32" s="1107"/>
      <c r="B32" s="1135"/>
      <c r="C32" s="1135"/>
      <c r="D32" s="1135"/>
      <c r="E32" s="1135"/>
      <c r="F32" s="1120"/>
      <c r="G32" s="1120"/>
      <c r="H32" s="1112"/>
      <c r="I32" s="1094"/>
      <c r="J32" s="1104"/>
      <c r="K32" s="1106"/>
      <c r="L32" s="1106"/>
      <c r="M32" s="1135"/>
      <c r="N32" s="1097"/>
      <c r="O32" s="1135"/>
      <c r="P32" s="1097"/>
    </row>
    <row r="33" spans="1:16" ht="14.5">
      <c r="A33" s="1107">
        <v>16</v>
      </c>
      <c r="B33" s="1108" t="s">
        <v>1146</v>
      </c>
      <c r="C33" s="1135"/>
      <c r="D33" s="1109">
        <v>-156132408</v>
      </c>
      <c r="E33" s="1097" t="s">
        <v>1147</v>
      </c>
      <c r="F33" s="1094"/>
      <c r="G33" s="1094"/>
      <c r="H33" s="1094"/>
      <c r="I33" s="1094"/>
      <c r="J33" s="1094"/>
      <c r="K33" s="1094"/>
      <c r="L33" s="1094"/>
      <c r="M33" s="1135"/>
      <c r="N33" s="1097"/>
      <c r="O33" s="1135"/>
      <c r="P33" s="1097"/>
    </row>
    <row r="34" spans="1:16" ht="15.5">
      <c r="A34" s="1107">
        <v>17</v>
      </c>
      <c r="B34" s="1135"/>
      <c r="C34" s="1135"/>
      <c r="D34" s="1139">
        <v>0.43256499999999998</v>
      </c>
      <c r="E34" s="1097" t="s">
        <v>1148</v>
      </c>
      <c r="F34" s="1104"/>
      <c r="G34" s="1104"/>
      <c r="H34" s="1111"/>
      <c r="I34" s="1104"/>
      <c r="J34" s="1104"/>
      <c r="K34" s="1104"/>
      <c r="L34" s="1104"/>
      <c r="M34" s="1097"/>
      <c r="N34" s="1097"/>
      <c r="O34" s="1135"/>
      <c r="P34" s="1097"/>
    </row>
    <row r="35" spans="1:16" ht="15.5">
      <c r="A35" s="1107">
        <v>18</v>
      </c>
      <c r="B35" s="1135"/>
      <c r="C35" s="1135"/>
      <c r="D35" s="1140">
        <v>6.5000000000000002E-2</v>
      </c>
      <c r="E35" s="1097" t="s">
        <v>1149</v>
      </c>
      <c r="F35" s="1104"/>
      <c r="G35" s="1104"/>
      <c r="H35" s="1111"/>
      <c r="I35" s="1104"/>
      <c r="J35" s="1104"/>
      <c r="K35" s="1104"/>
      <c r="L35" s="1104"/>
      <c r="M35" s="1097"/>
      <c r="N35" s="1097"/>
      <c r="O35" s="1135"/>
      <c r="P35" s="1097"/>
    </row>
    <row r="36" spans="1:16" ht="15.5">
      <c r="A36" s="1107">
        <v>19</v>
      </c>
      <c r="B36" s="1135"/>
      <c r="C36" s="1135"/>
      <c r="D36" s="1141">
        <v>-4389931.9793237997</v>
      </c>
      <c r="E36" s="1094" t="s">
        <v>1150</v>
      </c>
      <c r="F36" s="1104"/>
      <c r="G36" s="1104"/>
      <c r="H36" s="1111"/>
      <c r="I36" s="1104"/>
      <c r="J36" s="1104"/>
      <c r="K36" s="1104"/>
      <c r="L36" s="1104"/>
      <c r="M36" s="1097"/>
      <c r="N36" s="1097"/>
      <c r="O36" s="1135"/>
      <c r="P36" s="1097"/>
    </row>
    <row r="37" spans="1:16" ht="15.5">
      <c r="A37" s="1107">
        <v>20</v>
      </c>
      <c r="B37" s="1135"/>
      <c r="C37" s="1135"/>
      <c r="D37" s="1141"/>
      <c r="E37" s="1135"/>
      <c r="F37" s="1104"/>
      <c r="G37" s="1104"/>
      <c r="H37" s="1111"/>
      <c r="I37" s="1104"/>
      <c r="J37" s="1104"/>
      <c r="K37" s="1104"/>
      <c r="L37" s="1104"/>
      <c r="M37" s="1097"/>
      <c r="N37" s="1097"/>
      <c r="O37" s="1135"/>
      <c r="P37" s="1097"/>
    </row>
    <row r="38" spans="1:16" ht="15.5">
      <c r="A38" s="1107">
        <v>21</v>
      </c>
      <c r="B38" s="1135"/>
      <c r="C38" s="1135"/>
      <c r="D38" s="1141">
        <v>-156132408</v>
      </c>
      <c r="E38" s="1097" t="s">
        <v>1147</v>
      </c>
      <c r="F38" s="1104"/>
      <c r="G38" s="1104"/>
      <c r="H38" s="1111"/>
      <c r="I38" s="1104"/>
      <c r="J38" s="1104"/>
      <c r="K38" s="1104"/>
      <c r="L38" s="1104"/>
      <c r="M38" s="1097"/>
      <c r="N38" s="1097"/>
      <c r="O38" s="1135"/>
      <c r="P38" s="1097"/>
    </row>
    <row r="39" spans="1:16" ht="15.5">
      <c r="A39" s="1107">
        <v>22</v>
      </c>
      <c r="B39" s="1135"/>
      <c r="C39" s="1135"/>
      <c r="D39" s="1139">
        <v>0.52269500000000002</v>
      </c>
      <c r="E39" s="1097" t="s">
        <v>1151</v>
      </c>
      <c r="F39" s="1104"/>
      <c r="G39" s="1104"/>
      <c r="H39" s="1111"/>
      <c r="I39" s="1104"/>
      <c r="J39" s="1104"/>
      <c r="K39" s="1104"/>
      <c r="L39" s="1104"/>
      <c r="M39" s="1097"/>
      <c r="N39" s="1097"/>
      <c r="O39" s="1135"/>
      <c r="P39" s="1097"/>
    </row>
    <row r="40" spans="1:16" ht="15.5">
      <c r="A40" s="1107">
        <v>23</v>
      </c>
      <c r="B40" s="1108"/>
      <c r="C40" s="1135"/>
      <c r="D40" s="1140">
        <v>6.5000000000000002E-2</v>
      </c>
      <c r="E40" s="1097" t="s">
        <v>1149</v>
      </c>
      <c r="F40" s="1104"/>
      <c r="G40" s="1104"/>
      <c r="H40" s="1111"/>
      <c r="I40" s="1104"/>
      <c r="J40" s="1104"/>
      <c r="K40" s="1104"/>
      <c r="L40" s="1104"/>
      <c r="M40" s="1097"/>
      <c r="N40" s="1097"/>
      <c r="O40" s="1135"/>
      <c r="P40" s="1097"/>
    </row>
    <row r="41" spans="1:16" ht="15.5">
      <c r="A41" s="1107">
        <v>24</v>
      </c>
      <c r="B41" s="1108"/>
      <c r="C41" s="1135"/>
      <c r="D41" s="1141">
        <v>-5304625.8849713998</v>
      </c>
      <c r="E41" s="1094" t="s">
        <v>1152</v>
      </c>
      <c r="F41" s="1104"/>
      <c r="G41" s="1104"/>
      <c r="H41" s="1111"/>
      <c r="I41" s="1104"/>
      <c r="J41" s="1104"/>
      <c r="K41" s="1104"/>
      <c r="L41" s="1104"/>
      <c r="M41" s="1097"/>
      <c r="N41" s="1097"/>
      <c r="O41" s="1094"/>
      <c r="P41" s="1097"/>
    </row>
    <row r="42" spans="1:16" ht="14.5">
      <c r="A42" s="1107">
        <v>25</v>
      </c>
      <c r="B42" s="1108"/>
      <c r="C42" s="1135"/>
      <c r="D42" s="1142"/>
      <c r="E42" s="1135"/>
      <c r="F42" s="1106"/>
      <c r="G42" s="1106"/>
      <c r="H42" s="1112"/>
      <c r="I42" s="1113"/>
      <c r="J42" s="1106"/>
      <c r="K42" s="1106"/>
      <c r="L42" s="1106"/>
      <c r="M42" s="1097"/>
      <c r="N42" s="1097">
        <v>0</v>
      </c>
      <c r="O42" s="1094"/>
      <c r="P42" s="1127"/>
    </row>
    <row r="43" spans="1:16" ht="14.5">
      <c r="A43" s="1107">
        <v>26</v>
      </c>
      <c r="B43" s="1108"/>
      <c r="C43" s="1135"/>
      <c r="D43" s="1143">
        <v>914693.90564760007</v>
      </c>
      <c r="E43" s="1094" t="s">
        <v>1156</v>
      </c>
      <c r="F43" s="1144">
        <v>914693.90564760007</v>
      </c>
      <c r="G43" s="1114"/>
      <c r="H43" s="1112">
        <v>-0.17243325457484768</v>
      </c>
      <c r="I43" s="1113"/>
      <c r="J43" s="1106">
        <v>0</v>
      </c>
      <c r="K43" s="1106"/>
      <c r="L43" s="1106">
        <v>914693.90564760007</v>
      </c>
      <c r="M43" s="1097" t="s">
        <v>980</v>
      </c>
      <c r="N43" s="1097">
        <v>-4389931.9793237997</v>
      </c>
      <c r="O43" s="1094"/>
      <c r="P43" s="1127"/>
    </row>
    <row r="44" spans="1:16" ht="14.5">
      <c r="A44" s="1107">
        <v>27</v>
      </c>
      <c r="B44" s="1108"/>
      <c r="C44" s="1135"/>
      <c r="D44" s="1142"/>
      <c r="E44" s="1094" t="s">
        <v>1154</v>
      </c>
      <c r="F44" s="1106">
        <v>-192085.720185996</v>
      </c>
      <c r="G44" s="1106"/>
      <c r="H44" s="1112"/>
      <c r="I44" s="1145"/>
      <c r="J44" s="1106">
        <v>0</v>
      </c>
      <c r="K44" s="1106"/>
      <c r="L44" s="1106">
        <v>-192085.720185996</v>
      </c>
      <c r="M44" s="1097" t="s">
        <v>980</v>
      </c>
      <c r="N44" s="1097">
        <v>0</v>
      </c>
      <c r="O44" s="1094"/>
      <c r="P44" s="1097"/>
    </row>
    <row r="45" spans="1:16" ht="14.5">
      <c r="A45" s="1107">
        <v>28</v>
      </c>
      <c r="B45" s="1108"/>
      <c r="C45" s="1135"/>
      <c r="D45" s="1147"/>
      <c r="E45" s="1108"/>
      <c r="F45" s="1106"/>
      <c r="G45" s="1106"/>
      <c r="H45" s="1112"/>
      <c r="I45" s="1114"/>
      <c r="J45" s="1106"/>
      <c r="K45" s="1106"/>
      <c r="L45" s="1106"/>
      <c r="M45" s="1135"/>
      <c r="N45" s="1097"/>
      <c r="O45" s="1094"/>
      <c r="P45" s="1097"/>
    </row>
    <row r="46" spans="1:16" ht="14.5">
      <c r="A46" s="1107">
        <v>29</v>
      </c>
      <c r="B46" s="1135"/>
      <c r="C46" s="1135"/>
      <c r="D46" s="1147"/>
      <c r="E46" s="1097"/>
      <c r="F46" s="1114"/>
      <c r="G46" s="1114"/>
      <c r="H46" s="1112"/>
      <c r="I46" s="1114"/>
      <c r="J46" s="1106"/>
      <c r="K46" s="1106"/>
      <c r="L46" s="1106"/>
      <c r="M46" s="1135"/>
      <c r="N46" s="1097"/>
      <c r="O46" s="1094"/>
      <c r="P46" s="1097"/>
    </row>
    <row r="47" spans="1:16" ht="14.5">
      <c r="A47" s="1107">
        <v>30</v>
      </c>
      <c r="B47" s="1094" t="s">
        <v>120</v>
      </c>
      <c r="C47" s="1135"/>
      <c r="D47" s="1146">
        <v>-5304625.8849713998</v>
      </c>
      <c r="E47" s="1097" t="s">
        <v>1157</v>
      </c>
      <c r="F47" s="1122">
        <v>722608.18546160404</v>
      </c>
      <c r="G47" s="1123"/>
      <c r="H47" s="1131"/>
      <c r="I47" s="1094"/>
      <c r="J47" s="1122">
        <v>0</v>
      </c>
      <c r="K47" s="1106"/>
      <c r="L47" s="1122">
        <v>722608.18546160404</v>
      </c>
      <c r="M47" s="1135"/>
      <c r="N47" s="1122">
        <v>-4389931.9793237997</v>
      </c>
      <c r="O47" s="1094"/>
      <c r="P47" s="1097"/>
    </row>
    <row r="48" spans="1:16" ht="14.5">
      <c r="A48" s="1107"/>
      <c r="B48" s="1135"/>
      <c r="C48" s="1135"/>
      <c r="D48" s="1147"/>
      <c r="E48" s="1097"/>
      <c r="F48" s="1123"/>
      <c r="G48" s="1123"/>
      <c r="H48" s="1131"/>
      <c r="I48" s="1094"/>
      <c r="J48" s="1123"/>
      <c r="K48" s="1106"/>
      <c r="L48" s="1123"/>
      <c r="M48" s="1135"/>
      <c r="N48" s="1097"/>
      <c r="O48" s="1094"/>
      <c r="P48" s="1097"/>
    </row>
    <row r="49" spans="1:16" ht="14.5">
      <c r="A49" s="1107"/>
      <c r="B49" s="1135"/>
      <c r="C49" s="1135"/>
      <c r="D49" s="1147"/>
      <c r="E49" s="1097"/>
      <c r="F49" s="1123"/>
      <c r="G49" s="1123"/>
      <c r="H49" s="1131"/>
      <c r="I49" s="1094"/>
      <c r="J49" s="1123"/>
      <c r="K49" s="1106"/>
      <c r="L49" s="1123"/>
      <c r="M49" s="1135"/>
      <c r="N49" s="1097"/>
      <c r="O49" s="1094"/>
      <c r="P49" s="1097"/>
    </row>
    <row r="50" spans="1:16" ht="14.5">
      <c r="A50" s="1199" t="s">
        <v>1134</v>
      </c>
      <c r="B50" s="1199"/>
      <c r="C50" s="1199"/>
      <c r="D50" s="1199"/>
      <c r="E50" s="1199"/>
      <c r="F50" s="1199"/>
      <c r="G50" s="1199"/>
      <c r="H50" s="1199"/>
      <c r="I50" s="1094"/>
      <c r="J50" s="1094"/>
      <c r="K50" s="1094"/>
      <c r="L50" s="1094"/>
      <c r="M50" s="1135"/>
      <c r="N50" s="1097"/>
      <c r="O50" s="1094"/>
      <c r="P50" s="1097"/>
    </row>
    <row r="51" spans="1:16" ht="14.5">
      <c r="A51" s="1199"/>
      <c r="B51" s="1199"/>
      <c r="C51" s="1199"/>
      <c r="D51" s="1199"/>
      <c r="E51" s="1199"/>
      <c r="F51" s="1199"/>
      <c r="G51" s="1199"/>
      <c r="H51" s="1199"/>
      <c r="I51" s="1094"/>
      <c r="J51" s="1094"/>
      <c r="K51" s="1094"/>
      <c r="L51" s="1094"/>
      <c r="M51" s="1135"/>
      <c r="N51" s="1097"/>
      <c r="O51" s="1094"/>
      <c r="P51" s="1097"/>
    </row>
    <row r="52" spans="1:16" ht="14.5">
      <c r="A52" s="1199"/>
      <c r="B52" s="1199"/>
      <c r="C52" s="1199"/>
      <c r="D52" s="1199"/>
      <c r="E52" s="1199"/>
      <c r="F52" s="1199"/>
      <c r="G52" s="1199"/>
      <c r="H52" s="1199"/>
      <c r="I52" s="1094"/>
      <c r="J52" s="1094"/>
      <c r="K52" s="1094"/>
      <c r="L52" s="1094"/>
      <c r="M52" s="1135"/>
      <c r="N52" s="1097"/>
      <c r="O52" s="1094"/>
      <c r="P52" s="1097"/>
    </row>
    <row r="53" spans="1:16" ht="14.5">
      <c r="A53" s="1199"/>
      <c r="B53" s="1199"/>
      <c r="C53" s="1199"/>
      <c r="D53" s="1199"/>
      <c r="E53" s="1199"/>
      <c r="F53" s="1199"/>
      <c r="G53" s="1199"/>
      <c r="H53" s="1199"/>
      <c r="I53" s="1094"/>
      <c r="J53" s="1094"/>
      <c r="K53" s="1094"/>
      <c r="L53" s="1094"/>
      <c r="M53" s="1135"/>
      <c r="N53" s="1097"/>
      <c r="O53" s="1094"/>
      <c r="P53" s="1097"/>
    </row>
    <row r="54" spans="1:16" ht="14.5">
      <c r="A54" s="1107"/>
      <c r="B54" s="1135"/>
      <c r="C54" s="1135"/>
      <c r="D54" s="1135"/>
      <c r="E54" s="1135"/>
      <c r="F54" s="1094"/>
      <c r="G54" s="1094"/>
      <c r="H54" s="1094"/>
      <c r="I54" s="1094"/>
      <c r="J54" s="1094"/>
      <c r="K54" s="1094"/>
      <c r="L54" s="1094"/>
      <c r="M54" s="1135"/>
      <c r="N54" s="1097"/>
      <c r="O54" s="1094"/>
      <c r="P54" s="1097"/>
    </row>
    <row r="55" spans="1:16" ht="14.5">
      <c r="A55" s="1093" t="s">
        <v>1135</v>
      </c>
      <c r="B55" s="1199" t="s">
        <v>1136</v>
      </c>
      <c r="C55" s="1199"/>
      <c r="D55" s="1199"/>
      <c r="E55" s="1199"/>
      <c r="F55" s="1199"/>
      <c r="G55" s="1199"/>
      <c r="H55" s="1199"/>
      <c r="I55" s="1094"/>
      <c r="J55" s="1094"/>
      <c r="K55" s="1094"/>
      <c r="L55" s="1094"/>
      <c r="M55" s="1135"/>
      <c r="N55" s="1097"/>
      <c r="O55" s="1094"/>
      <c r="P55" s="1097"/>
    </row>
    <row r="56" spans="1:16" ht="14.5">
      <c r="A56" s="1135"/>
      <c r="B56" s="1199"/>
      <c r="C56" s="1199"/>
      <c r="D56" s="1199"/>
      <c r="E56" s="1199"/>
      <c r="F56" s="1199"/>
      <c r="G56" s="1199"/>
      <c r="H56" s="1199"/>
      <c r="I56" s="1094"/>
      <c r="J56" s="1094"/>
      <c r="K56" s="1094"/>
      <c r="L56" s="1094"/>
      <c r="M56" s="1135"/>
      <c r="N56" s="1097"/>
      <c r="O56" s="1094"/>
      <c r="P56" s="1097"/>
    </row>
    <row r="57" spans="1:16" ht="14.5">
      <c r="A57" s="1135"/>
      <c r="B57" s="1199"/>
      <c r="C57" s="1199"/>
      <c r="D57" s="1199"/>
      <c r="E57" s="1199"/>
      <c r="F57" s="1199"/>
      <c r="G57" s="1199"/>
      <c r="H57" s="1199"/>
      <c r="I57" s="1094"/>
      <c r="J57" s="1094"/>
      <c r="K57" s="1094"/>
      <c r="L57" s="1094"/>
      <c r="M57" s="1135"/>
      <c r="N57" s="1097"/>
      <c r="O57" s="1094"/>
      <c r="P57" s="1097"/>
    </row>
    <row r="58" spans="1:16" ht="15.5">
      <c r="A58" s="1094"/>
      <c r="B58" s="1135"/>
      <c r="C58" s="1135"/>
      <c r="D58" s="1135"/>
      <c r="E58" s="1135"/>
      <c r="F58" s="1135"/>
      <c r="G58" s="1135"/>
      <c r="H58" s="1135"/>
      <c r="I58" s="1104"/>
      <c r="J58" s="1097"/>
      <c r="K58" s="1097"/>
      <c r="L58" s="1097"/>
      <c r="M58" s="1097"/>
      <c r="N58" s="1097"/>
      <c r="O58" s="1135"/>
      <c r="P58" s="1135"/>
    </row>
    <row r="59" spans="1:16" ht="14.5">
      <c r="A59" s="1093" t="s">
        <v>1137</v>
      </c>
      <c r="B59" s="1199" t="s">
        <v>1158</v>
      </c>
      <c r="C59" s="1199"/>
      <c r="D59" s="1199"/>
      <c r="E59" s="1199"/>
      <c r="F59" s="1199"/>
      <c r="G59" s="1199"/>
      <c r="H59" s="1199"/>
      <c r="I59" s="1135"/>
      <c r="J59" s="1097"/>
      <c r="K59" s="1097"/>
      <c r="L59" s="1097"/>
      <c r="M59" s="1097"/>
      <c r="N59" s="1097"/>
      <c r="O59" s="1135"/>
      <c r="P59" s="1135"/>
    </row>
    <row r="60" spans="1:16" ht="14.5">
      <c r="A60" s="1135"/>
      <c r="B60" s="1199"/>
      <c r="C60" s="1199"/>
      <c r="D60" s="1199"/>
      <c r="E60" s="1199"/>
      <c r="F60" s="1199"/>
      <c r="G60" s="1199"/>
      <c r="H60" s="1199"/>
      <c r="I60" s="1135"/>
      <c r="J60" s="1097"/>
      <c r="K60" s="1097"/>
      <c r="L60" s="1097"/>
      <c r="M60" s="1097"/>
      <c r="N60" s="1097"/>
      <c r="O60" s="1135"/>
      <c r="P60" s="1135"/>
    </row>
    <row r="61" spans="1:16" ht="14.5">
      <c r="A61" s="1094"/>
      <c r="B61" s="1135"/>
      <c r="C61" s="1135"/>
      <c r="D61" s="1135"/>
      <c r="E61" s="1135"/>
      <c r="F61" s="1135"/>
      <c r="G61" s="1135"/>
      <c r="H61" s="1135"/>
      <c r="I61" s="1135"/>
      <c r="J61" s="1097"/>
      <c r="K61" s="1097"/>
      <c r="L61" s="1097"/>
      <c r="M61" s="1097"/>
      <c r="N61" s="1097"/>
      <c r="O61" s="1135"/>
      <c r="P61" s="1135"/>
    </row>
    <row r="62" spans="1:16" ht="14.5">
      <c r="A62" s="1093" t="s">
        <v>1139</v>
      </c>
      <c r="B62" s="1204" t="s">
        <v>1159</v>
      </c>
      <c r="C62" s="1204"/>
      <c r="D62" s="1204"/>
      <c r="E62" s="1204"/>
      <c r="F62" s="1204"/>
      <c r="G62" s="1204"/>
      <c r="H62" s="1204"/>
      <c r="I62" s="1204"/>
      <c r="J62" s="1097"/>
      <c r="K62" s="1097"/>
      <c r="L62" s="1097"/>
      <c r="M62" s="1097"/>
      <c r="N62" s="1097"/>
      <c r="O62" s="1135"/>
      <c r="P62" s="1135"/>
    </row>
    <row r="63" spans="1:16" ht="15.5">
      <c r="A63" s="1132"/>
      <c r="B63" s="1204"/>
      <c r="C63" s="1204"/>
      <c r="D63" s="1204"/>
      <c r="E63" s="1204"/>
      <c r="F63" s="1204"/>
      <c r="G63" s="1204"/>
      <c r="H63" s="1204"/>
      <c r="I63" s="1204"/>
      <c r="J63" s="1097"/>
      <c r="K63" s="1097"/>
      <c r="L63" s="1097"/>
      <c r="M63" s="1097"/>
      <c r="N63" s="1097"/>
      <c r="O63" s="1135"/>
      <c r="P63" s="1135"/>
    </row>
    <row r="64" spans="1:16" ht="14.5">
      <c r="A64" s="1094"/>
      <c r="B64" s="1135"/>
      <c r="C64" s="1135"/>
      <c r="D64" s="1135"/>
      <c r="E64" s="1135"/>
      <c r="F64" s="1135"/>
      <c r="G64" s="1135"/>
      <c r="H64" s="1135"/>
      <c r="I64" s="1135"/>
      <c r="J64" s="1097"/>
      <c r="K64" s="1097"/>
      <c r="L64" s="1097"/>
      <c r="M64" s="1097"/>
      <c r="N64" s="1097"/>
      <c r="O64" s="1135"/>
      <c r="P64" s="1135"/>
    </row>
    <row r="65" spans="1:16" ht="14.5">
      <c r="A65" s="1094" t="s">
        <v>1141</v>
      </c>
      <c r="B65" s="1200" t="s">
        <v>1160</v>
      </c>
      <c r="C65" s="1200"/>
      <c r="D65" s="1200"/>
      <c r="E65" s="1200"/>
      <c r="F65" s="1200"/>
      <c r="G65" s="1135"/>
      <c r="H65" s="1135"/>
      <c r="I65" s="1135"/>
      <c r="J65" s="1097"/>
      <c r="K65" s="1097"/>
      <c r="L65" s="1097"/>
      <c r="M65" s="1097"/>
      <c r="N65" s="1097"/>
      <c r="O65" s="1135"/>
      <c r="P65" s="1135"/>
    </row>
    <row r="66" spans="1:16" ht="14.5">
      <c r="A66" s="1135"/>
      <c r="B66" s="1200"/>
      <c r="C66" s="1200"/>
      <c r="D66" s="1200"/>
      <c r="E66" s="1200"/>
      <c r="F66" s="1200"/>
      <c r="G66" s="1135"/>
      <c r="H66" s="1135"/>
      <c r="I66" s="1135"/>
      <c r="J66" s="1097"/>
      <c r="K66" s="1097"/>
      <c r="L66" s="1097"/>
      <c r="M66" s="1097"/>
      <c r="N66" s="1097"/>
      <c r="O66" s="1135"/>
      <c r="P66" s="1135"/>
    </row>
    <row r="67" spans="1:16" ht="14.5">
      <c r="A67" s="1094"/>
      <c r="B67" s="1135"/>
      <c r="C67" s="1135"/>
      <c r="D67" s="1135"/>
      <c r="E67" s="1135"/>
      <c r="F67" s="1135"/>
      <c r="G67" s="1135"/>
      <c r="H67" s="1135"/>
      <c r="I67" s="1135"/>
      <c r="J67" s="1097"/>
      <c r="K67" s="1097"/>
      <c r="L67" s="1097"/>
      <c r="M67" s="1097"/>
      <c r="N67" s="1097"/>
      <c r="O67" s="1135"/>
      <c r="P67" s="1135"/>
    </row>
    <row r="68" spans="1:16" ht="14.5">
      <c r="A68" s="1094"/>
      <c r="B68" s="1135"/>
      <c r="C68" s="1135"/>
      <c r="D68" s="1135"/>
      <c r="E68" s="1135"/>
      <c r="F68" s="1135"/>
      <c r="G68" s="1135"/>
      <c r="H68" s="1135"/>
      <c r="I68" s="1135"/>
      <c r="J68" s="1097"/>
      <c r="K68" s="1097"/>
      <c r="L68" s="1097"/>
      <c r="M68" s="1097"/>
      <c r="N68" s="1097"/>
      <c r="O68" s="1135"/>
      <c r="P68" s="1135"/>
    </row>
    <row r="69" spans="1:16" ht="14.5">
      <c r="A69" s="1135"/>
      <c r="B69" s="1135"/>
      <c r="C69" s="1135"/>
      <c r="D69" s="1135"/>
      <c r="E69" s="1133"/>
      <c r="F69" s="1135"/>
      <c r="G69" s="1135"/>
      <c r="H69" s="1135"/>
      <c r="I69" s="1097"/>
      <c r="J69" s="1097"/>
      <c r="K69" s="1097"/>
      <c r="L69" s="1097"/>
      <c r="M69" s="1135"/>
      <c r="N69" s="1135"/>
      <c r="O69" s="1135"/>
      <c r="P69" s="1135"/>
    </row>
    <row r="70" spans="1:16" ht="14.5">
      <c r="A70" s="1135"/>
      <c r="B70" s="1135"/>
      <c r="C70" s="1135"/>
      <c r="D70" s="1135"/>
      <c r="E70" s="1135"/>
      <c r="F70" s="1135"/>
      <c r="G70" s="1134"/>
      <c r="H70" s="1134"/>
      <c r="I70" s="1097"/>
      <c r="J70" s="1097"/>
      <c r="K70" s="1097"/>
      <c r="L70" s="1097"/>
      <c r="M70" s="1135"/>
      <c r="N70" s="1135"/>
      <c r="O70" s="1135"/>
      <c r="P70" s="1135"/>
    </row>
    <row r="71" spans="1:16" ht="14.5">
      <c r="A71" s="1135"/>
      <c r="B71" s="1135"/>
      <c r="C71" s="1135"/>
      <c r="D71" s="1135"/>
      <c r="E71" s="1135"/>
      <c r="F71" s="1135"/>
      <c r="G71" s="1134"/>
      <c r="H71" s="1134"/>
      <c r="I71" s="1097"/>
      <c r="J71" s="1135"/>
      <c r="K71" s="1135"/>
      <c r="L71" s="1135"/>
      <c r="M71" s="1135"/>
      <c r="N71" s="1135"/>
      <c r="O71" s="1135"/>
      <c r="P71" s="1135"/>
    </row>
    <row r="72" spans="1:16" ht="14.5">
      <c r="A72" s="1135"/>
      <c r="B72" s="1135"/>
      <c r="C72" s="1135"/>
      <c r="D72" s="1135"/>
      <c r="E72" s="1135"/>
      <c r="F72" s="1135"/>
      <c r="G72" s="1135"/>
      <c r="H72" s="1135"/>
      <c r="I72" s="1135"/>
      <c r="J72" s="1135"/>
      <c r="K72" s="1135"/>
      <c r="L72" s="1135"/>
      <c r="M72" s="1135"/>
      <c r="N72" s="1135"/>
      <c r="O72" s="1135"/>
      <c r="P72" s="1135"/>
    </row>
    <row r="75" spans="1:16" ht="15.5">
      <c r="A75" s="1132"/>
      <c r="B75" s="1104"/>
      <c r="C75" s="1104"/>
      <c r="D75" s="1148"/>
      <c r="E75" s="1104"/>
      <c r="F75" s="1104"/>
      <c r="G75" s="1104"/>
      <c r="H75" s="1104"/>
      <c r="I75" s="1104"/>
      <c r="J75" s="1104"/>
      <c r="K75" s="1104"/>
      <c r="L75" s="1104"/>
      <c r="M75" s="1104"/>
      <c r="N75" s="1104"/>
      <c r="O75" s="1104"/>
      <c r="P75" s="1135"/>
    </row>
    <row r="76" spans="1:16" ht="15.5">
      <c r="A76" s="1132"/>
      <c r="B76" s="1104"/>
      <c r="C76" s="1104"/>
      <c r="D76" s="1148"/>
      <c r="E76" s="1104"/>
      <c r="F76" s="1104"/>
      <c r="G76" s="1104"/>
      <c r="H76" s="1104"/>
      <c r="I76" s="1104"/>
      <c r="J76" s="1104"/>
      <c r="K76" s="1104"/>
      <c r="L76" s="1104"/>
      <c r="M76" s="1104"/>
      <c r="N76" s="1104"/>
      <c r="O76" s="1104"/>
      <c r="P76" s="1135"/>
    </row>
    <row r="77" spans="1:16" ht="15.5">
      <c r="A77" s="1132"/>
      <c r="B77" s="1104"/>
      <c r="C77" s="1104"/>
      <c r="D77" s="1148"/>
      <c r="E77" s="1104"/>
      <c r="F77" s="1104"/>
      <c r="G77" s="1104"/>
      <c r="H77" s="1104"/>
      <c r="I77" s="1104"/>
      <c r="J77" s="1104"/>
      <c r="K77" s="1104"/>
      <c r="L77" s="1104"/>
      <c r="M77" s="1104"/>
      <c r="N77" s="1104"/>
      <c r="O77" s="1104"/>
      <c r="P77" s="1135"/>
    </row>
    <row r="78" spans="1:16" ht="15.5">
      <c r="A78" s="1132"/>
      <c r="B78" s="1104"/>
      <c r="C78" s="1104"/>
      <c r="D78" s="1148"/>
      <c r="E78" s="1104"/>
      <c r="F78" s="1104"/>
      <c r="G78" s="1104"/>
      <c r="H78" s="1104"/>
      <c r="I78" s="1104"/>
      <c r="J78" s="1104"/>
      <c r="K78" s="1104"/>
      <c r="L78" s="1104"/>
      <c r="M78" s="1104"/>
      <c r="N78" s="1104"/>
      <c r="O78" s="1104"/>
      <c r="P78" s="1097"/>
    </row>
    <row r="79" spans="1:16" ht="15.5">
      <c r="A79" s="1132"/>
      <c r="B79" s="1104"/>
      <c r="C79" s="1104"/>
      <c r="D79" s="1148"/>
      <c r="E79" s="1104"/>
      <c r="F79" s="1104"/>
      <c r="G79" s="1104"/>
      <c r="H79" s="1104"/>
      <c r="I79" s="1104"/>
      <c r="J79" s="1104"/>
      <c r="K79" s="1104"/>
      <c r="L79" s="1104"/>
      <c r="M79" s="1104"/>
      <c r="N79" s="1104"/>
      <c r="O79" s="1104"/>
      <c r="P79" s="1097"/>
    </row>
    <row r="80" spans="1:16" ht="15.5">
      <c r="A80" s="1132"/>
      <c r="B80" s="1104"/>
      <c r="C80" s="1104"/>
      <c r="D80" s="1148"/>
      <c r="E80" s="1104"/>
      <c r="F80" s="1104"/>
      <c r="G80" s="1104"/>
      <c r="H80" s="1104"/>
      <c r="I80" s="1104"/>
      <c r="J80" s="1104"/>
      <c r="K80" s="1104"/>
      <c r="L80" s="1104"/>
      <c r="M80" s="1104"/>
      <c r="N80" s="1104"/>
      <c r="O80" s="1104"/>
      <c r="P80" s="1097"/>
    </row>
    <row r="81" spans="1:16" ht="15.5">
      <c r="A81" s="1132"/>
      <c r="B81" s="1104"/>
      <c r="C81" s="1104"/>
      <c r="D81" s="1148"/>
      <c r="E81" s="1104"/>
      <c r="F81" s="1104"/>
      <c r="G81" s="1104"/>
      <c r="H81" s="1104"/>
      <c r="I81" s="1104"/>
      <c r="J81" s="1104"/>
      <c r="K81" s="1104"/>
      <c r="L81" s="1104"/>
      <c r="M81" s="1104"/>
      <c r="N81" s="1104"/>
      <c r="O81" s="1104"/>
      <c r="P81" s="1097"/>
    </row>
    <row r="82" spans="1:16" ht="15.5">
      <c r="A82" s="1132"/>
      <c r="B82" s="1104"/>
      <c r="C82" s="1104"/>
      <c r="D82" s="1148"/>
      <c r="E82" s="1104"/>
      <c r="F82" s="1104"/>
      <c r="G82" s="1104"/>
      <c r="H82" s="1104"/>
      <c r="I82" s="1104"/>
      <c r="J82" s="1104"/>
      <c r="K82" s="1104"/>
      <c r="L82" s="1104"/>
      <c r="M82" s="1104"/>
      <c r="N82" s="1104"/>
      <c r="O82" s="1104"/>
      <c r="P82" s="1097"/>
    </row>
    <row r="83" spans="1:16" ht="15.5">
      <c r="A83" s="1132"/>
      <c r="B83" s="1104"/>
      <c r="C83" s="1104"/>
      <c r="D83" s="1148"/>
      <c r="E83" s="1104"/>
      <c r="F83" s="1104"/>
      <c r="G83" s="1104"/>
      <c r="H83" s="1104"/>
      <c r="I83" s="1104"/>
      <c r="J83" s="1104"/>
      <c r="K83" s="1104"/>
      <c r="L83" s="1104"/>
      <c r="M83" s="1104"/>
      <c r="N83" s="1104"/>
      <c r="O83" s="1104"/>
      <c r="P83" s="1097"/>
    </row>
    <row r="84" spans="1:16" ht="15.5">
      <c r="A84" s="1132"/>
      <c r="B84" s="1104"/>
      <c r="C84" s="1104"/>
      <c r="D84" s="1148"/>
      <c r="E84" s="1104"/>
      <c r="F84" s="1104"/>
      <c r="G84" s="1104"/>
      <c r="H84" s="1104"/>
      <c r="I84" s="1104"/>
      <c r="J84" s="1104"/>
      <c r="K84" s="1104"/>
      <c r="L84" s="1104"/>
      <c r="M84" s="1104"/>
      <c r="N84" s="1104"/>
      <c r="O84" s="1104"/>
      <c r="P84" s="1097"/>
    </row>
    <row r="85" spans="1:16" ht="15.5">
      <c r="A85" s="1132"/>
      <c r="B85" s="1104"/>
      <c r="C85" s="1104"/>
      <c r="D85" s="1148"/>
      <c r="E85" s="1104"/>
      <c r="F85" s="1104"/>
      <c r="G85" s="1104"/>
      <c r="H85" s="1104"/>
      <c r="I85" s="1104"/>
      <c r="J85" s="1104"/>
      <c r="K85" s="1104"/>
      <c r="L85" s="1104"/>
      <c r="M85" s="1104"/>
      <c r="N85" s="1104"/>
      <c r="O85" s="1104"/>
      <c r="P85" s="1097"/>
    </row>
    <row r="86" spans="1:16" ht="15.5">
      <c r="A86" s="1132"/>
      <c r="B86" s="1104"/>
      <c r="C86" s="1104"/>
      <c r="D86" s="1148"/>
      <c r="E86" s="1104"/>
      <c r="F86" s="1104"/>
      <c r="G86" s="1104"/>
      <c r="H86" s="1104"/>
      <c r="I86" s="1104"/>
      <c r="J86" s="1104"/>
      <c r="K86" s="1104"/>
      <c r="L86" s="1104"/>
      <c r="M86" s="1104"/>
      <c r="N86" s="1104"/>
      <c r="O86" s="1104"/>
      <c r="P86" s="1097"/>
    </row>
    <row r="87" spans="1:16" ht="15.5">
      <c r="A87" s="1132"/>
      <c r="B87" s="1104"/>
      <c r="C87" s="1104"/>
      <c r="D87" s="1148"/>
      <c r="E87" s="1104"/>
      <c r="F87" s="1104"/>
      <c r="G87" s="1104"/>
      <c r="H87" s="1104"/>
      <c r="I87" s="1104"/>
      <c r="J87" s="1104"/>
      <c r="K87" s="1104"/>
      <c r="L87" s="1104"/>
      <c r="M87" s="1104"/>
      <c r="N87" s="1104"/>
      <c r="O87" s="1104"/>
      <c r="P87" s="1135"/>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94"/>
  <sheetViews>
    <sheetView view="pageBreakPreview" topLeftCell="A28" zoomScaleNormal="85" zoomScaleSheetLayoutView="100" workbookViewId="0">
      <selection activeCell="D54" sqref="D54"/>
    </sheetView>
  </sheetViews>
  <sheetFormatPr defaultColWidth="11.453125" defaultRowHeight="12.5"/>
  <cols>
    <col min="1" max="1" width="8.1796875" style="56" customWidth="1"/>
    <col min="2" max="2" width="16.54296875" style="55" bestFit="1" customWidth="1"/>
    <col min="3" max="3" width="44.1796875" style="55" customWidth="1"/>
    <col min="4" max="4" width="29.7265625" style="55" customWidth="1"/>
    <col min="5" max="5" width="24.26953125" style="55" customWidth="1"/>
    <col min="6" max="6" width="1" style="55" customWidth="1"/>
    <col min="7" max="7" width="20.81640625" style="55" customWidth="1"/>
    <col min="8" max="8" width="1" style="55" customWidth="1"/>
    <col min="9" max="9" width="19.1796875" style="55" customWidth="1"/>
    <col min="10" max="10" width="16.7265625" style="55" customWidth="1"/>
    <col min="11" max="11" width="15.26953125" style="55" customWidth="1"/>
    <col min="12" max="12" width="33.54296875" style="55" customWidth="1"/>
    <col min="13" max="14" width="13.453125" style="55" customWidth="1"/>
    <col min="15" max="15" width="13.7265625" style="55" customWidth="1"/>
    <col min="16" max="16384" width="11.453125" style="55"/>
  </cols>
  <sheetData>
    <row r="1" spans="1:15" ht="15.5">
      <c r="A1" s="694" t="s">
        <v>116</v>
      </c>
    </row>
    <row r="2" spans="1:15" ht="15.5">
      <c r="A2" s="694" t="s">
        <v>116</v>
      </c>
    </row>
    <row r="3" spans="1:15" ht="15.5">
      <c r="A3" s="1176" t="str">
        <f>+'WS B ADIT &amp; ITC'!A3:I3</f>
        <v>AEP East Companies</v>
      </c>
      <c r="B3" s="1176"/>
      <c r="C3" s="1176"/>
      <c r="D3" s="1176"/>
      <c r="E3" s="1176"/>
      <c r="F3" s="1176"/>
      <c r="G3" s="1176"/>
      <c r="H3" s="1176"/>
      <c r="I3" s="1176"/>
      <c r="J3" s="1176"/>
      <c r="K3" s="1176"/>
      <c r="L3" s="1176"/>
      <c r="M3" s="30"/>
      <c r="N3" s="30"/>
      <c r="O3" s="30"/>
    </row>
    <row r="4" spans="1:15" ht="15.5">
      <c r="A4" s="1177" t="str">
        <f>"Cost of Service Formula Rate Using Actual/Projected FF1 Balances"</f>
        <v>Cost of Service Formula Rate Using Actual/Projected FF1 Balances</v>
      </c>
      <c r="B4" s="1177"/>
      <c r="C4" s="1177"/>
      <c r="D4" s="1177"/>
      <c r="E4" s="1177"/>
      <c r="F4" s="1177"/>
      <c r="G4" s="1177"/>
      <c r="H4" s="1177"/>
      <c r="I4" s="1177"/>
      <c r="J4" s="1177"/>
      <c r="K4" s="1177"/>
      <c r="L4" s="1177"/>
      <c r="M4" s="76"/>
      <c r="N4" s="76"/>
      <c r="O4" s="76"/>
    </row>
    <row r="5" spans="1:15" ht="15.5">
      <c r="A5" s="1177" t="s">
        <v>497</v>
      </c>
      <c r="B5" s="1177"/>
      <c r="C5" s="1177"/>
      <c r="D5" s="1177"/>
      <c r="E5" s="1177"/>
      <c r="F5" s="1177"/>
      <c r="G5" s="1177"/>
      <c r="H5" s="1177"/>
      <c r="I5" s="1177"/>
      <c r="J5" s="1177"/>
      <c r="K5" s="1177"/>
      <c r="L5" s="1177"/>
      <c r="M5" s="75"/>
      <c r="N5" s="75"/>
      <c r="O5" s="75"/>
    </row>
    <row r="6" spans="1:15" ht="15.5">
      <c r="A6" s="1188" t="str">
        <f>TCOS!F9</f>
        <v>KENTUCKY POWER COMPANY</v>
      </c>
      <c r="B6" s="1188"/>
      <c r="C6" s="1188"/>
      <c r="D6" s="1188"/>
      <c r="E6" s="1188"/>
      <c r="F6" s="1188"/>
      <c r="G6" s="1188"/>
      <c r="H6" s="1188"/>
      <c r="I6" s="1188"/>
      <c r="J6" s="1188"/>
      <c r="K6" s="1188"/>
      <c r="L6" s="1188"/>
      <c r="M6" s="3"/>
      <c r="N6" s="3"/>
      <c r="O6" s="3"/>
    </row>
    <row r="7" spans="1:15" ht="15.5">
      <c r="A7" s="3"/>
      <c r="B7" s="3"/>
      <c r="C7" s="3"/>
      <c r="D7" s="3"/>
      <c r="E7" s="3"/>
      <c r="F7" s="3"/>
      <c r="G7" s="3"/>
      <c r="H7"/>
    </row>
    <row r="8" spans="1:15" ht="12.75" customHeight="1">
      <c r="A8" s="64"/>
      <c r="B8" s="64" t="s">
        <v>164</v>
      </c>
      <c r="C8" s="64" t="s">
        <v>165</v>
      </c>
      <c r="D8" s="64" t="s">
        <v>4</v>
      </c>
      <c r="E8" s="64" t="s">
        <v>167</v>
      </c>
      <c r="F8" s="64"/>
      <c r="G8" s="64" t="s">
        <v>85</v>
      </c>
      <c r="H8" s="64"/>
      <c r="I8" s="64" t="s">
        <v>86</v>
      </c>
      <c r="J8" s="64" t="s">
        <v>87</v>
      </c>
      <c r="K8" s="64" t="s">
        <v>92</v>
      </c>
      <c r="L8" s="64" t="s">
        <v>502</v>
      </c>
      <c r="M8" s="64"/>
      <c r="N8" s="64"/>
      <c r="O8" s="64"/>
    </row>
    <row r="9" spans="1:15" ht="13">
      <c r="A9" s="54"/>
    </row>
    <row r="10" spans="1:15" ht="18">
      <c r="A10" s="58"/>
      <c r="B10" s="1205" t="s">
        <v>209</v>
      </c>
      <c r="C10" s="1205"/>
      <c r="D10" s="1205"/>
      <c r="E10" s="1205"/>
      <c r="F10" s="1205"/>
      <c r="G10" s="1205"/>
      <c r="H10" s="1205"/>
      <c r="I10" s="1205"/>
      <c r="J10" s="1205"/>
      <c r="K10" s="1205"/>
    </row>
    <row r="11" spans="1:15" ht="13">
      <c r="A11" s="58"/>
      <c r="I11"/>
      <c r="J11"/>
    </row>
    <row r="12" spans="1:15" ht="12.75" customHeight="1">
      <c r="A12" s="9" t="s">
        <v>171</v>
      </c>
      <c r="B12" s="58"/>
      <c r="C12" s="63"/>
      <c r="D12" s="159"/>
      <c r="E12" s="1186" t="str">
        <f>"Balance @ December 31, "&amp;TCOS!L4&amp;""</f>
        <v>Balance @ December 31, 2024</v>
      </c>
      <c r="F12" s="159"/>
      <c r="G12" s="1186" t="str">
        <f>"Balance @ December 31, "&amp;TCOS!L4-1&amp;""</f>
        <v>Balance @ December 31, 2023</v>
      </c>
      <c r="H12" s="208"/>
      <c r="I12" s="1189" t="str">
        <f>"Average Balance for "&amp;TCOS!L4&amp;""</f>
        <v>Average Balance for 2024</v>
      </c>
      <c r="J12" s="4"/>
      <c r="L12" s="64"/>
    </row>
    <row r="13" spans="1:15" ht="13">
      <c r="A13" s="9" t="s">
        <v>107</v>
      </c>
      <c r="B13" s="56"/>
      <c r="C13" s="58"/>
      <c r="D13" s="160" t="s">
        <v>208</v>
      </c>
      <c r="E13" s="1187"/>
      <c r="F13" s="161"/>
      <c r="G13" s="1187"/>
      <c r="H13" s="162"/>
      <c r="I13" s="1187"/>
      <c r="J13" s="4"/>
      <c r="K13" s="65"/>
      <c r="L13" s="66"/>
      <c r="M13" s="59"/>
      <c r="N13" s="59"/>
    </row>
    <row r="14" spans="1:15" ht="13">
      <c r="B14" s="56"/>
      <c r="C14" s="58"/>
      <c r="D14" s="62"/>
      <c r="E14" s="57"/>
      <c r="F14" s="57"/>
      <c r="G14" s="183"/>
      <c r="H14" s="61"/>
      <c r="J14"/>
      <c r="K14" s="65"/>
      <c r="L14" s="66"/>
      <c r="M14" s="59"/>
      <c r="N14" s="59"/>
    </row>
    <row r="15" spans="1:15">
      <c r="A15" s="56">
        <v>1</v>
      </c>
      <c r="B15" s="56"/>
      <c r="D15" s="50"/>
      <c r="E15" s="17"/>
      <c r="F15" s="17"/>
      <c r="G15" s="17"/>
      <c r="H15" s="17"/>
      <c r="I15" s="17"/>
      <c r="K15" s="17"/>
      <c r="L15" s="17"/>
      <c r="M15" s="59"/>
      <c r="N15" s="59"/>
    </row>
    <row r="16" spans="1:15">
      <c r="B16" s="56"/>
      <c r="C16" s="50"/>
      <c r="D16" s="50"/>
      <c r="E16" s="17"/>
      <c r="F16" s="17"/>
      <c r="G16" s="17"/>
      <c r="H16" s="17"/>
      <c r="I16" s="17"/>
      <c r="K16" s="17"/>
      <c r="L16" s="17"/>
      <c r="M16" s="59"/>
      <c r="N16" s="59"/>
    </row>
    <row r="17" spans="1:14">
      <c r="A17" s="56">
        <f>+A15+1</f>
        <v>2</v>
      </c>
      <c r="B17" s="56"/>
      <c r="C17" s="50" t="s">
        <v>528</v>
      </c>
      <c r="D17" s="60" t="s">
        <v>437</v>
      </c>
      <c r="E17" s="652">
        <v>12852</v>
      </c>
      <c r="F17" s="17"/>
      <c r="G17" s="652">
        <v>2428</v>
      </c>
      <c r="H17" s="17"/>
      <c r="I17" s="109">
        <f>IF(G17="",0,(E17+G17)/2)</f>
        <v>7640</v>
      </c>
      <c r="J17"/>
      <c r="K17" s="109"/>
      <c r="L17" s="17"/>
      <c r="M17" s="59"/>
      <c r="N17" s="59"/>
    </row>
    <row r="18" spans="1:14">
      <c r="B18" s="56"/>
      <c r="C18" s="50"/>
      <c r="D18"/>
      <c r="E18"/>
      <c r="F18"/>
      <c r="G18"/>
      <c r="H18"/>
      <c r="I18" s="4"/>
      <c r="J18"/>
      <c r="K18"/>
      <c r="L18" s="17"/>
      <c r="M18" s="59"/>
      <c r="N18" s="59"/>
    </row>
    <row r="19" spans="1:14">
      <c r="A19" s="56">
        <f>+A17+1</f>
        <v>3</v>
      </c>
      <c r="B19" s="56"/>
      <c r="C19" s="50" t="s">
        <v>530</v>
      </c>
      <c r="D19" s="60" t="s">
        <v>438</v>
      </c>
      <c r="E19" s="652">
        <v>23237</v>
      </c>
      <c r="F19" s="17"/>
      <c r="G19" s="652">
        <v>55324</v>
      </c>
      <c r="H19" s="61"/>
      <c r="I19" s="109">
        <f>IF(G19="",0,(E19+G19)/2)</f>
        <v>39280.5</v>
      </c>
      <c r="J19"/>
      <c r="K19" s="65"/>
      <c r="L19" s="66"/>
      <c r="M19" s="59"/>
      <c r="N19" s="59"/>
    </row>
    <row r="20" spans="1:14">
      <c r="B20" s="56"/>
      <c r="C20" s="50"/>
      <c r="D20" s="60"/>
      <c r="E20"/>
      <c r="F20"/>
      <c r="G20"/>
      <c r="H20"/>
      <c r="I20"/>
      <c r="J20"/>
      <c r="K20" s="65"/>
      <c r="L20" s="66"/>
      <c r="M20" s="59"/>
      <c r="N20" s="59"/>
    </row>
    <row r="21" spans="1:14">
      <c r="A21" s="56">
        <f>+A19+1</f>
        <v>4</v>
      </c>
      <c r="B21" s="56"/>
      <c r="C21" s="50" t="s">
        <v>763</v>
      </c>
      <c r="D21" s="60" t="s">
        <v>439</v>
      </c>
      <c r="E21" s="652">
        <v>0</v>
      </c>
      <c r="F21" s="17"/>
      <c r="G21" s="652">
        <v>0</v>
      </c>
      <c r="H21" s="61"/>
      <c r="I21" s="109">
        <f>IF(G21="",0,(E21+G21)/2)</f>
        <v>0</v>
      </c>
      <c r="J21"/>
      <c r="K21" s="65"/>
      <c r="L21" s="66"/>
      <c r="M21" s="59"/>
      <c r="N21" s="59"/>
    </row>
    <row r="22" spans="1:14" ht="13">
      <c r="B22" s="56"/>
      <c r="C22" s="58"/>
      <c r="D22" s="62"/>
      <c r="E22" s="57"/>
      <c r="F22" s="57"/>
      <c r="H22" s="61"/>
      <c r="J22"/>
      <c r="K22" s="65"/>
      <c r="L22" s="66"/>
      <c r="M22" s="59"/>
      <c r="N22" s="59"/>
    </row>
    <row r="23" spans="1:14" ht="13">
      <c r="A23" s="150"/>
      <c r="B23" s="150"/>
      <c r="C23" s="151"/>
      <c r="D23" s="152"/>
      <c r="E23" s="153"/>
      <c r="F23" s="153"/>
      <c r="G23" s="154"/>
      <c r="H23" s="155"/>
      <c r="I23" s="154"/>
      <c r="J23" s="156"/>
      <c r="K23" s="157"/>
      <c r="L23" s="158"/>
      <c r="M23" s="59"/>
      <c r="N23" s="59"/>
    </row>
    <row r="24" spans="1:14" ht="18">
      <c r="B24" s="1205" t="s">
        <v>762</v>
      </c>
      <c r="C24" s="1205"/>
      <c r="D24" s="1205"/>
      <c r="E24" s="1205"/>
      <c r="F24" s="1205"/>
      <c r="G24" s="1205"/>
      <c r="H24" s="1205"/>
      <c r="I24" s="1205"/>
      <c r="J24" s="1205"/>
      <c r="K24" s="1205"/>
      <c r="L24" s="66"/>
      <c r="M24" s="59"/>
      <c r="N24" s="59"/>
    </row>
    <row r="25" spans="1:14" ht="12.75" customHeight="1">
      <c r="B25" s="119"/>
      <c r="C25" s="58"/>
      <c r="D25" s="17"/>
      <c r="E25" s="7"/>
      <c r="G25" s="7" t="s">
        <v>88</v>
      </c>
      <c r="I25" s="5" t="s">
        <v>117</v>
      </c>
      <c r="J25" s="5" t="s">
        <v>117</v>
      </c>
      <c r="K25" s="5" t="s">
        <v>181</v>
      </c>
      <c r="L25" s="66"/>
      <c r="M25" s="59"/>
      <c r="N25" s="59"/>
    </row>
    <row r="26" spans="1:14" ht="12.75" customHeight="1">
      <c r="B26" s="119"/>
      <c r="C26" s="58"/>
      <c r="D26" s="118" t="s">
        <v>503</v>
      </c>
      <c r="E26" s="5" t="s">
        <v>532</v>
      </c>
      <c r="G26" s="5" t="s">
        <v>117</v>
      </c>
      <c r="I26" s="5" t="s">
        <v>525</v>
      </c>
      <c r="J26" s="5" t="s">
        <v>163</v>
      </c>
      <c r="K26" s="5" t="s">
        <v>182</v>
      </c>
      <c r="L26" s="66"/>
      <c r="M26" s="59"/>
      <c r="N26" s="59"/>
    </row>
    <row r="27" spans="1:14" ht="12.75" customHeight="1">
      <c r="A27" s="56">
        <f>+A21+1</f>
        <v>5</v>
      </c>
      <c r="B27" s="119"/>
      <c r="C27" s="58"/>
      <c r="D27" s="9" t="s">
        <v>89</v>
      </c>
      <c r="E27" s="9" t="s">
        <v>504</v>
      </c>
      <c r="G27" s="9" t="s">
        <v>526</v>
      </c>
      <c r="I27" s="9" t="s">
        <v>526</v>
      </c>
      <c r="J27" s="9" t="s">
        <v>526</v>
      </c>
      <c r="K27" s="9" t="s">
        <v>527</v>
      </c>
      <c r="L27" s="66"/>
      <c r="M27" s="59"/>
      <c r="N27" s="59"/>
    </row>
    <row r="28" spans="1:14" ht="13">
      <c r="B28" s="56"/>
      <c r="C28" s="58"/>
      <c r="D28" s="62"/>
      <c r="E28" s="57"/>
      <c r="F28" s="57"/>
      <c r="H28" s="61"/>
      <c r="J28"/>
      <c r="K28" s="184"/>
      <c r="L28" s="66"/>
      <c r="M28" s="59"/>
      <c r="N28" s="59"/>
    </row>
    <row r="29" spans="1:14">
      <c r="A29" s="56">
        <f>+A27+1</f>
        <v>6</v>
      </c>
      <c r="B29" s="56"/>
      <c r="C29" s="55" t="str">
        <f>"Totals as of December 31, "&amp;TCOS!L4&amp;""</f>
        <v>Totals as of December 31, 2024</v>
      </c>
      <c r="D29" s="120">
        <f>ROUND(D60,0)</f>
        <v>5651542</v>
      </c>
      <c r="E29" s="191">
        <f>ROUND(E60,0)</f>
        <v>-46852989</v>
      </c>
      <c r="F29" s="121"/>
      <c r="G29" s="120">
        <f>ROUND(G60,0)</f>
        <v>0</v>
      </c>
      <c r="H29" s="61"/>
      <c r="I29" s="120">
        <f>ROUND(I60,0)</f>
        <v>3269441</v>
      </c>
      <c r="J29" s="122">
        <f>+J60</f>
        <v>49235090.949999794</v>
      </c>
      <c r="K29" s="120">
        <f>ROUND(K60,0)</f>
        <v>52504532</v>
      </c>
      <c r="L29" s="66"/>
      <c r="M29" s="59"/>
      <c r="N29" s="59"/>
    </row>
    <row r="30" spans="1:14">
      <c r="A30" s="56">
        <f>+A29+1</f>
        <v>7</v>
      </c>
      <c r="B30" s="56"/>
      <c r="C30" s="55" t="str">
        <f>"Totals as of December 31, "&amp;TCOS!L4-1&amp;""</f>
        <v>Totals as of December 31, 2023</v>
      </c>
      <c r="D30" s="125">
        <f>IF(D90="","",D90)</f>
        <v>3578340.0730000027</v>
      </c>
      <c r="E30" s="192">
        <f>IF(E90="","",E90)</f>
        <v>-42999489.399508893</v>
      </c>
      <c r="F30" s="57"/>
      <c r="G30" s="125" t="str">
        <f>IF(G90="","",G90)</f>
        <v/>
      </c>
      <c r="H30" s="61"/>
      <c r="I30" s="125">
        <f>IF(I90="","",I90)</f>
        <v>1196238.5225090885</v>
      </c>
      <c r="J30" s="125">
        <f>IF(J90="","",J90)</f>
        <v>45381590.949999802</v>
      </c>
      <c r="K30" s="125">
        <f>IF(K90="","",K90)</f>
        <v>46577829.472508892</v>
      </c>
      <c r="L30" s="66"/>
      <c r="M30" s="59"/>
      <c r="N30" s="59"/>
    </row>
    <row r="31" spans="1:14" ht="13.5" thickBot="1">
      <c r="A31" s="56">
        <f>+A30+1</f>
        <v>8</v>
      </c>
      <c r="B31" s="56"/>
      <c r="C31" s="63" t="s">
        <v>215</v>
      </c>
      <c r="D31" s="126">
        <f>IF(D30="",0,(D29+D30)/2)</f>
        <v>4614941.0365000013</v>
      </c>
      <c r="E31" s="126">
        <f>IF(E30="",0,(E29+E30)/2)</f>
        <v>-44926239.199754447</v>
      </c>
      <c r="F31" s="127"/>
      <c r="G31" s="126">
        <f>IF(G30="",0,(G29+G30)/2)</f>
        <v>0</v>
      </c>
      <c r="H31" s="73"/>
      <c r="I31" s="126">
        <f>IF(I30="",0,(I29+I30)/2)</f>
        <v>2232839.7612545444</v>
      </c>
      <c r="J31" s="126">
        <f>IF(J30="",0,(J29+J30)/2)</f>
        <v>47308340.949999794</v>
      </c>
      <c r="K31" s="126">
        <f>IF(K30="",0,(K29+K30)/2)</f>
        <v>49541180.736254446</v>
      </c>
      <c r="L31" s="66"/>
      <c r="M31" s="59"/>
      <c r="N31" s="59"/>
    </row>
    <row r="32" spans="1:14" ht="13" thickTop="1">
      <c r="B32" s="56"/>
      <c r="D32" s="62"/>
      <c r="E32" s="57"/>
      <c r="F32" s="57"/>
      <c r="H32" s="61"/>
      <c r="J32"/>
      <c r="K32" s="65"/>
      <c r="L32" s="66"/>
      <c r="M32" s="59"/>
      <c r="N32" s="59"/>
    </row>
    <row r="33" spans="1:14">
      <c r="A33" s="55"/>
      <c r="J33"/>
      <c r="K33" s="65"/>
      <c r="L33" s="66"/>
      <c r="M33" s="59"/>
      <c r="N33" s="59"/>
    </row>
    <row r="34" spans="1:14" ht="18">
      <c r="B34" s="1206" t="str">
        <f>"Prepayments Account 165 - Balance @ 12/31/"&amp;D36&amp;""</f>
        <v>Prepayments Account 165 - Balance @ 12/31/2024</v>
      </c>
      <c r="C34" s="1207"/>
      <c r="D34" s="1207"/>
      <c r="E34" s="1207"/>
      <c r="F34" s="1207"/>
      <c r="G34" s="1207"/>
      <c r="H34" s="1207"/>
      <c r="I34" s="1207"/>
      <c r="J34" s="1207"/>
      <c r="K34" s="65"/>
      <c r="L34" s="66"/>
      <c r="M34" s="59"/>
      <c r="N34" s="59"/>
    </row>
    <row r="35" spans="1:14" ht="13">
      <c r="B35" s="114"/>
      <c r="C35" s="116"/>
      <c r="D35" s="17"/>
      <c r="E35" s="7"/>
      <c r="G35" s="7" t="s">
        <v>88</v>
      </c>
      <c r="I35" s="5" t="s">
        <v>117</v>
      </c>
      <c r="J35" s="5" t="s">
        <v>117</v>
      </c>
      <c r="K35" s="5" t="s">
        <v>181</v>
      </c>
      <c r="L35"/>
      <c r="M35" s="59"/>
      <c r="N35" s="59"/>
    </row>
    <row r="36" spans="1:14" ht="13">
      <c r="B36" s="114"/>
      <c r="C36" s="117"/>
      <c r="D36" s="118" t="str">
        <f>""&amp;TCOS!L4</f>
        <v>2024</v>
      </c>
      <c r="E36" s="5" t="s">
        <v>532</v>
      </c>
      <c r="G36" s="5" t="s">
        <v>117</v>
      </c>
      <c r="I36" s="5" t="s">
        <v>525</v>
      </c>
      <c r="J36" s="5" t="s">
        <v>163</v>
      </c>
      <c r="K36" s="5" t="s">
        <v>182</v>
      </c>
      <c r="L36"/>
      <c r="M36" s="59"/>
      <c r="N36" s="59"/>
    </row>
    <row r="37" spans="1:14" ht="13">
      <c r="A37" s="56">
        <f>+A31+1</f>
        <v>9</v>
      </c>
      <c r="B37" s="9" t="s">
        <v>91</v>
      </c>
      <c r="C37" s="9" t="s">
        <v>169</v>
      </c>
      <c r="D37" s="9" t="s">
        <v>89</v>
      </c>
      <c r="E37" s="9" t="s">
        <v>504</v>
      </c>
      <c r="G37" s="9" t="s">
        <v>526</v>
      </c>
      <c r="I37" s="9" t="s">
        <v>526</v>
      </c>
      <c r="J37" s="9" t="s">
        <v>526</v>
      </c>
      <c r="K37" s="9" t="s">
        <v>527</v>
      </c>
      <c r="L37" s="9" t="s">
        <v>40</v>
      </c>
      <c r="M37" s="59"/>
      <c r="N37" s="59"/>
    </row>
    <row r="38" spans="1:14" ht="13">
      <c r="B38" s="114"/>
      <c r="C38" s="116"/>
      <c r="D38" s="116"/>
      <c r="E38" s="116"/>
      <c r="G38" s="116"/>
      <c r="I38" s="116"/>
      <c r="J38" s="116"/>
      <c r="K38" s="184"/>
      <c r="L38"/>
      <c r="M38" s="59"/>
      <c r="N38" s="59"/>
    </row>
    <row r="39" spans="1:14" ht="14">
      <c r="A39" s="56">
        <f>+A37+1</f>
        <v>10</v>
      </c>
      <c r="B39" s="972" t="s">
        <v>875</v>
      </c>
      <c r="C39" s="653" t="s">
        <v>876</v>
      </c>
      <c r="D39" s="654">
        <v>3269440.8290796876</v>
      </c>
      <c r="E39" s="960">
        <f>+D39-K39</f>
        <v>0</v>
      </c>
      <c r="F39" s="961"/>
      <c r="G39" s="962"/>
      <c r="H39" s="961"/>
      <c r="I39" s="962">
        <f>D39</f>
        <v>3269440.8290796876</v>
      </c>
      <c r="J39" s="962"/>
      <c r="K39" s="1089">
        <f t="shared" ref="K39:K56" si="0">+G39+I39+J39</f>
        <v>3269440.8290796876</v>
      </c>
      <c r="L39" t="s">
        <v>533</v>
      </c>
      <c r="M39" s="59"/>
      <c r="N39" s="59"/>
    </row>
    <row r="40" spans="1:14" ht="14">
      <c r="A40" s="56">
        <f t="shared" ref="A40:A52" si="1">+A39+1</f>
        <v>11</v>
      </c>
      <c r="B40" s="1086" t="s">
        <v>1081</v>
      </c>
      <c r="C40" s="653" t="s">
        <v>877</v>
      </c>
      <c r="D40" s="654">
        <v>0</v>
      </c>
      <c r="E40" s="960">
        <f t="shared" ref="E40:E57" si="2">+D40-K40</f>
        <v>0</v>
      </c>
      <c r="F40" s="961"/>
      <c r="G40" s="962"/>
      <c r="H40" s="961"/>
      <c r="I40" s="962"/>
      <c r="J40" s="962"/>
      <c r="K40" s="1089">
        <f t="shared" si="0"/>
        <v>0</v>
      </c>
      <c r="L40"/>
      <c r="M40" s="59"/>
      <c r="N40" s="59"/>
    </row>
    <row r="41" spans="1:14" ht="14">
      <c r="A41" s="56">
        <f t="shared" si="1"/>
        <v>12</v>
      </c>
      <c r="B41" s="1086" t="s">
        <v>1064</v>
      </c>
      <c r="C41" s="653" t="s">
        <v>877</v>
      </c>
      <c r="D41" s="654">
        <v>0</v>
      </c>
      <c r="E41" s="960">
        <f t="shared" si="2"/>
        <v>0</v>
      </c>
      <c r="F41" s="961"/>
      <c r="G41" s="962"/>
      <c r="H41" s="961"/>
      <c r="I41" s="962"/>
      <c r="J41" s="962"/>
      <c r="K41" s="1089">
        <f t="shared" si="0"/>
        <v>0</v>
      </c>
      <c r="L41"/>
      <c r="M41" s="59"/>
      <c r="N41" s="59"/>
    </row>
    <row r="42" spans="1:14" ht="14">
      <c r="A42" s="56">
        <f t="shared" si="1"/>
        <v>13</v>
      </c>
      <c r="B42" s="973" t="s">
        <v>1082</v>
      </c>
      <c r="C42" s="653" t="s">
        <v>877</v>
      </c>
      <c r="D42" s="654">
        <v>1119798.6541214015</v>
      </c>
      <c r="E42" s="960">
        <f t="shared" si="2"/>
        <v>1119798.6541214015</v>
      </c>
      <c r="F42" s="961"/>
      <c r="G42" s="962"/>
      <c r="H42" s="961"/>
      <c r="I42" s="962"/>
      <c r="J42" s="962"/>
      <c r="K42" s="1089">
        <f t="shared" si="0"/>
        <v>0</v>
      </c>
      <c r="L42" t="s">
        <v>910</v>
      </c>
      <c r="M42" s="59"/>
      <c r="N42" s="59"/>
    </row>
    <row r="43" spans="1:14" ht="14">
      <c r="A43" s="56">
        <f t="shared" si="1"/>
        <v>14</v>
      </c>
      <c r="B43" s="972" t="s">
        <v>1083</v>
      </c>
      <c r="C43" s="653" t="s">
        <v>896</v>
      </c>
      <c r="D43" s="654">
        <v>123695.17284234977</v>
      </c>
      <c r="E43" s="960">
        <f t="shared" si="2"/>
        <v>123695.17284234977</v>
      </c>
      <c r="F43" s="961"/>
      <c r="G43" s="962"/>
      <c r="H43" s="961"/>
      <c r="I43" s="962"/>
      <c r="J43" s="962"/>
      <c r="K43" s="1089">
        <f t="shared" si="0"/>
        <v>0</v>
      </c>
      <c r="L43" t="s">
        <v>911</v>
      </c>
      <c r="M43" s="59"/>
      <c r="N43" s="59"/>
    </row>
    <row r="44" spans="1:14" ht="14">
      <c r="A44" s="56">
        <f t="shared" si="1"/>
        <v>15</v>
      </c>
      <c r="B44" s="972" t="s">
        <v>897</v>
      </c>
      <c r="C44" s="653" t="s">
        <v>898</v>
      </c>
      <c r="D44" s="654">
        <v>0</v>
      </c>
      <c r="E44" s="960">
        <f t="shared" si="2"/>
        <v>0</v>
      </c>
      <c r="F44" s="961"/>
      <c r="G44" s="962"/>
      <c r="H44" s="961"/>
      <c r="I44" s="962"/>
      <c r="J44" s="962"/>
      <c r="K44" s="1089">
        <f t="shared" si="0"/>
        <v>0</v>
      </c>
      <c r="L44" t="s">
        <v>912</v>
      </c>
      <c r="M44" s="59"/>
      <c r="N44" s="59"/>
    </row>
    <row r="45" spans="1:14" ht="14">
      <c r="A45" s="56">
        <f t="shared" si="1"/>
        <v>16</v>
      </c>
      <c r="B45" s="972" t="s">
        <v>878</v>
      </c>
      <c r="C45" s="653" t="s">
        <v>879</v>
      </c>
      <c r="D45" s="654">
        <v>20078306.399999898</v>
      </c>
      <c r="E45" s="960">
        <f t="shared" si="2"/>
        <v>0</v>
      </c>
      <c r="F45" s="961"/>
      <c r="G45" s="962"/>
      <c r="H45" s="961"/>
      <c r="I45" s="962"/>
      <c r="J45" s="962">
        <f>D45</f>
        <v>20078306.399999898</v>
      </c>
      <c r="K45" s="1089">
        <f t="shared" si="0"/>
        <v>20078306.399999898</v>
      </c>
      <c r="L45" s="207" t="s">
        <v>913</v>
      </c>
      <c r="M45" s="59"/>
      <c r="N45" s="59"/>
    </row>
    <row r="46" spans="1:14" ht="14">
      <c r="A46" s="56">
        <f t="shared" si="1"/>
        <v>17</v>
      </c>
      <c r="B46" s="972" t="s">
        <v>1084</v>
      </c>
      <c r="C46" s="653" t="s">
        <v>900</v>
      </c>
      <c r="D46" s="654">
        <v>0</v>
      </c>
      <c r="E46" s="960">
        <f t="shared" si="2"/>
        <v>0</v>
      </c>
      <c r="F46" s="961"/>
      <c r="G46" s="962"/>
      <c r="H46" s="961"/>
      <c r="I46" s="962"/>
      <c r="J46" s="962"/>
      <c r="K46" s="1089">
        <f t="shared" si="0"/>
        <v>0</v>
      </c>
      <c r="L46" s="207" t="s">
        <v>116</v>
      </c>
      <c r="M46" s="59"/>
      <c r="N46" s="59"/>
    </row>
    <row r="47" spans="1:14" ht="14">
      <c r="A47" s="56">
        <f t="shared" si="1"/>
        <v>18</v>
      </c>
      <c r="B47" s="973" t="s">
        <v>1085</v>
      </c>
      <c r="C47" s="653" t="s">
        <v>900</v>
      </c>
      <c r="D47" s="654">
        <v>0</v>
      </c>
      <c r="E47" s="960">
        <f t="shared" si="2"/>
        <v>0</v>
      </c>
      <c r="F47" s="961"/>
      <c r="G47" s="962"/>
      <c r="H47" s="961"/>
      <c r="I47" s="962"/>
      <c r="J47" s="962"/>
      <c r="K47" s="1089">
        <f t="shared" si="0"/>
        <v>0</v>
      </c>
      <c r="L47"/>
      <c r="M47" s="59"/>
      <c r="N47" s="59"/>
    </row>
    <row r="48" spans="1:14" ht="14">
      <c r="A48" s="56">
        <f t="shared" si="1"/>
        <v>19</v>
      </c>
      <c r="B48" s="1087" t="s">
        <v>1086</v>
      </c>
      <c r="C48" s="653" t="s">
        <v>900</v>
      </c>
      <c r="D48" s="654">
        <v>961340.26713709417</v>
      </c>
      <c r="E48" s="960">
        <f t="shared" si="2"/>
        <v>961340.26713709417</v>
      </c>
      <c r="F48" s="961"/>
      <c r="G48" s="962"/>
      <c r="H48" s="961"/>
      <c r="I48" s="962"/>
      <c r="J48" s="962"/>
      <c r="K48" s="1089">
        <f t="shared" si="0"/>
        <v>0</v>
      </c>
      <c r="L48" t="s">
        <v>916</v>
      </c>
      <c r="M48" s="59"/>
      <c r="N48" s="59"/>
    </row>
    <row r="49" spans="1:15" ht="14">
      <c r="A49" s="56">
        <f t="shared" si="1"/>
        <v>20</v>
      </c>
      <c r="B49" s="973" t="s">
        <v>1087</v>
      </c>
      <c r="C49" s="653" t="s">
        <v>899</v>
      </c>
      <c r="D49" s="654">
        <v>0</v>
      </c>
      <c r="E49" s="960">
        <f t="shared" si="2"/>
        <v>0</v>
      </c>
      <c r="F49" s="961"/>
      <c r="G49" s="962"/>
      <c r="H49" s="961"/>
      <c r="I49" s="962"/>
      <c r="J49" s="962"/>
      <c r="K49" s="1089">
        <f t="shared" si="0"/>
        <v>0</v>
      </c>
      <c r="L49"/>
      <c r="M49" s="59"/>
      <c r="N49" s="59"/>
    </row>
    <row r="50" spans="1:15" ht="14">
      <c r="A50" s="56">
        <f t="shared" si="1"/>
        <v>21</v>
      </c>
      <c r="B50" s="1088" t="s">
        <v>1065</v>
      </c>
      <c r="C50" s="653" t="s">
        <v>899</v>
      </c>
      <c r="D50" s="654">
        <v>0</v>
      </c>
      <c r="E50" s="960">
        <f t="shared" si="2"/>
        <v>0</v>
      </c>
      <c r="F50" s="961"/>
      <c r="G50" s="962"/>
      <c r="H50" s="961"/>
      <c r="I50" s="962"/>
      <c r="J50" s="962"/>
      <c r="K50" s="1089">
        <f t="shared" si="0"/>
        <v>0</v>
      </c>
      <c r="L50"/>
      <c r="M50" s="59"/>
      <c r="N50" s="59"/>
    </row>
    <row r="51" spans="1:15" ht="14">
      <c r="A51" s="56">
        <f t="shared" si="1"/>
        <v>22</v>
      </c>
      <c r="B51" s="1086">
        <v>165001222</v>
      </c>
      <c r="C51" s="653" t="s">
        <v>899</v>
      </c>
      <c r="D51" s="654">
        <v>141843.64277885185</v>
      </c>
      <c r="E51" s="960">
        <f t="shared" si="2"/>
        <v>141843.64277885185</v>
      </c>
      <c r="F51" s="961"/>
      <c r="G51" s="962"/>
      <c r="H51" s="961"/>
      <c r="I51" s="962"/>
      <c r="J51" s="962"/>
      <c r="K51" s="1089">
        <f t="shared" si="0"/>
        <v>0</v>
      </c>
      <c r="L51" t="s">
        <v>915</v>
      </c>
      <c r="M51" s="59"/>
      <c r="N51" s="59"/>
    </row>
    <row r="52" spans="1:15" ht="14">
      <c r="A52" s="56">
        <f t="shared" si="1"/>
        <v>23</v>
      </c>
      <c r="B52" s="1086" t="s">
        <v>880</v>
      </c>
      <c r="C52" s="653" t="s">
        <v>881</v>
      </c>
      <c r="D52" s="654">
        <v>-20078306.399999898</v>
      </c>
      <c r="E52" s="960">
        <f t="shared" si="2"/>
        <v>-20078306.399999898</v>
      </c>
      <c r="F52" s="961"/>
      <c r="G52" s="962"/>
      <c r="H52" s="961"/>
      <c r="I52" s="962"/>
      <c r="J52" s="962"/>
      <c r="K52" s="1089">
        <f t="shared" si="0"/>
        <v>0</v>
      </c>
      <c r="L52" t="s">
        <v>914</v>
      </c>
      <c r="M52" s="59"/>
      <c r="N52" s="59"/>
    </row>
    <row r="53" spans="1:15" ht="14">
      <c r="A53" s="56">
        <f t="shared" ref="A53:A59" si="3">A52+1</f>
        <v>24</v>
      </c>
      <c r="B53" s="1086" t="s">
        <v>882</v>
      </c>
      <c r="C53" s="653" t="s">
        <v>883</v>
      </c>
      <c r="D53" s="654">
        <v>-1.6961435956404498E-2</v>
      </c>
      <c r="E53" s="960">
        <f t="shared" si="2"/>
        <v>0</v>
      </c>
      <c r="F53" s="961"/>
      <c r="G53" s="962"/>
      <c r="H53" s="961"/>
      <c r="I53" s="962">
        <f>D53</f>
        <v>-1.6961435956404498E-2</v>
      </c>
      <c r="J53" s="962"/>
      <c r="K53" s="1089">
        <f t="shared" si="0"/>
        <v>-1.6961435956404498E-2</v>
      </c>
      <c r="L53" t="s">
        <v>533</v>
      </c>
      <c r="M53" s="59"/>
      <c r="N53" s="59"/>
    </row>
    <row r="54" spans="1:15" ht="14">
      <c r="A54" s="56">
        <f t="shared" si="3"/>
        <v>25</v>
      </c>
      <c r="B54" s="1086" t="s">
        <v>901</v>
      </c>
      <c r="C54" s="653" t="s">
        <v>902</v>
      </c>
      <c r="D54" s="654">
        <v>35423.813611214027</v>
      </c>
      <c r="E54" s="960">
        <f t="shared" si="2"/>
        <v>35423.813611214027</v>
      </c>
      <c r="F54" s="961"/>
      <c r="G54" s="962"/>
      <c r="H54" s="961"/>
      <c r="I54" s="962"/>
      <c r="J54" s="962"/>
      <c r="K54" s="1089">
        <f t="shared" si="0"/>
        <v>0</v>
      </c>
      <c r="L54" t="s">
        <v>917</v>
      </c>
      <c r="M54" s="59"/>
      <c r="N54" s="59"/>
    </row>
    <row r="55" spans="1:15" ht="14">
      <c r="A55" s="56">
        <f t="shared" si="3"/>
        <v>26</v>
      </c>
      <c r="B55" s="1086" t="s">
        <v>1088</v>
      </c>
      <c r="C55" s="653" t="s">
        <v>1089</v>
      </c>
      <c r="D55" s="654">
        <v>0</v>
      </c>
      <c r="E55" s="960">
        <f t="shared" si="2"/>
        <v>0</v>
      </c>
      <c r="F55" s="961"/>
      <c r="G55" s="962"/>
      <c r="H55" s="961"/>
      <c r="I55" s="962"/>
      <c r="J55" s="962"/>
      <c r="K55" s="1089">
        <f t="shared" si="0"/>
        <v>0</v>
      </c>
      <c r="L55"/>
      <c r="M55" s="59"/>
      <c r="N55" s="59"/>
    </row>
    <row r="56" spans="1:15" ht="14">
      <c r="A56" s="56">
        <f t="shared" si="3"/>
        <v>27</v>
      </c>
      <c r="B56" s="655" t="s">
        <v>1090</v>
      </c>
      <c r="C56" s="653" t="s">
        <v>1091</v>
      </c>
      <c r="D56" s="654">
        <v>29156784.5499999</v>
      </c>
      <c r="E56" s="960">
        <f t="shared" si="2"/>
        <v>0</v>
      </c>
      <c r="F56" s="961"/>
      <c r="G56" s="962"/>
      <c r="H56" s="961"/>
      <c r="I56" s="962"/>
      <c r="J56" s="962">
        <f>D56</f>
        <v>29156784.5499999</v>
      </c>
      <c r="K56" s="1089">
        <f t="shared" si="0"/>
        <v>29156784.5499999</v>
      </c>
      <c r="L56" t="s">
        <v>918</v>
      </c>
      <c r="M56" s="59"/>
      <c r="N56" s="59"/>
    </row>
    <row r="57" spans="1:15" ht="14">
      <c r="A57" s="56">
        <f t="shared" si="3"/>
        <v>28</v>
      </c>
      <c r="B57" s="1086" t="s">
        <v>1092</v>
      </c>
      <c r="C57" s="653" t="s">
        <v>1093</v>
      </c>
      <c r="D57" s="654">
        <v>-29156784.5499999</v>
      </c>
      <c r="E57" s="960">
        <f t="shared" si="2"/>
        <v>-29156784.5499999</v>
      </c>
      <c r="F57" s="961"/>
      <c r="G57" s="962"/>
      <c r="H57" s="961"/>
      <c r="I57" s="962"/>
      <c r="J57" s="962"/>
      <c r="K57" s="962"/>
      <c r="L57" t="s">
        <v>31</v>
      </c>
      <c r="M57" s="59"/>
      <c r="N57" s="59"/>
    </row>
    <row r="58" spans="1:15" ht="14">
      <c r="A58" s="56">
        <f t="shared" si="3"/>
        <v>29</v>
      </c>
      <c r="B58" s="655"/>
      <c r="C58" s="653"/>
      <c r="D58" s="654"/>
      <c r="E58" s="962"/>
      <c r="F58" s="961"/>
      <c r="G58" s="962"/>
      <c r="H58" s="961"/>
      <c r="I58" s="962"/>
      <c r="J58" s="962"/>
      <c r="K58" s="962"/>
      <c r="L58"/>
      <c r="M58" s="59"/>
      <c r="N58" s="59"/>
    </row>
    <row r="59" spans="1:15" ht="14.5" thickBot="1">
      <c r="A59" s="56">
        <f t="shared" si="3"/>
        <v>30</v>
      </c>
      <c r="B59" s="655"/>
      <c r="C59" s="653"/>
      <c r="D59" s="654"/>
      <c r="E59" s="962"/>
      <c r="F59" s="961"/>
      <c r="G59" s="962"/>
      <c r="H59" s="961"/>
      <c r="I59" s="962"/>
      <c r="J59" s="962"/>
      <c r="K59" s="962"/>
      <c r="L59"/>
      <c r="M59" s="59"/>
      <c r="N59" s="59"/>
    </row>
    <row r="60" spans="1:15" ht="14">
      <c r="B60" s="114"/>
      <c r="C60" s="25" t="s">
        <v>505</v>
      </c>
      <c r="D60" s="656">
        <f>SUM(D39:D59)</f>
        <v>5651542.3626091629</v>
      </c>
      <c r="E60" s="963">
        <f>SUM(E39:E59)</f>
        <v>-46852989.399508886</v>
      </c>
      <c r="F60" s="961"/>
      <c r="G60" s="656">
        <f>SUM(G39:G59)</f>
        <v>0</v>
      </c>
      <c r="H60" s="961"/>
      <c r="I60" s="656">
        <f>SUM(I39:I59)</f>
        <v>3269440.8121182518</v>
      </c>
      <c r="J60" s="656">
        <f>SUM(J39:J59)</f>
        <v>49235090.949999794</v>
      </c>
      <c r="K60" s="656">
        <f>SUM(K39:K59)</f>
        <v>52504531.762118049</v>
      </c>
      <c r="L60"/>
      <c r="M60" s="59"/>
      <c r="N60" s="59"/>
    </row>
    <row r="61" spans="1:15">
      <c r="K61" s="50"/>
      <c r="L61"/>
      <c r="M61" s="59"/>
      <c r="N61" s="59"/>
    </row>
    <row r="62" spans="1:15">
      <c r="B62"/>
      <c r="C62"/>
      <c r="D62"/>
      <c r="E62"/>
      <c r="F62"/>
      <c r="G62"/>
      <c r="H62"/>
      <c r="I62"/>
      <c r="J62"/>
      <c r="K62"/>
      <c r="L62"/>
      <c r="M62"/>
      <c r="N62"/>
      <c r="O62"/>
    </row>
    <row r="63" spans="1:15" ht="18">
      <c r="B63" s="1206" t="str">
        <f>"Prepayments Account 165 - Balance @ 12/31/ "&amp;D65&amp;""</f>
        <v>Prepayments Account 165 - Balance @ 12/31/ 2023</v>
      </c>
      <c r="C63" s="1206"/>
      <c r="D63" s="1206"/>
      <c r="E63" s="1206"/>
      <c r="F63" s="1206"/>
      <c r="G63" s="1206"/>
      <c r="H63" s="1206"/>
      <c r="I63" s="1206"/>
      <c r="J63" s="1206"/>
      <c r="K63" s="65"/>
      <c r="L63" s="66"/>
      <c r="M63" s="59"/>
      <c r="N63"/>
      <c r="O63"/>
    </row>
    <row r="64" spans="1:15" ht="13">
      <c r="B64" s="201"/>
      <c r="C64" s="202"/>
      <c r="D64" s="203"/>
      <c r="E64" s="7"/>
      <c r="G64" s="7" t="s">
        <v>88</v>
      </c>
      <c r="I64" s="5" t="s">
        <v>117</v>
      </c>
      <c r="J64" s="5" t="s">
        <v>117</v>
      </c>
      <c r="K64" s="5" t="s">
        <v>181</v>
      </c>
      <c r="L64"/>
      <c r="M64" s="59"/>
      <c r="N64"/>
      <c r="O64"/>
    </row>
    <row r="65" spans="1:15" ht="13">
      <c r="B65" s="201"/>
      <c r="C65" s="204"/>
      <c r="D65" s="5" t="str">
        <f>""&amp;TCOS!L4-1</f>
        <v>2023</v>
      </c>
      <c r="E65" s="5" t="s">
        <v>532</v>
      </c>
      <c r="G65" s="5" t="s">
        <v>117</v>
      </c>
      <c r="I65" s="5" t="s">
        <v>525</v>
      </c>
      <c r="J65" s="5" t="s">
        <v>163</v>
      </c>
      <c r="K65" s="5" t="s">
        <v>182</v>
      </c>
      <c r="L65"/>
      <c r="M65" s="59"/>
      <c r="N65"/>
      <c r="O65"/>
    </row>
    <row r="66" spans="1:15" ht="13">
      <c r="A66" s="56">
        <f>A59+1</f>
        <v>31</v>
      </c>
      <c r="B66" s="9" t="s">
        <v>91</v>
      </c>
      <c r="C66" s="9" t="s">
        <v>169</v>
      </c>
      <c r="D66" s="9" t="s">
        <v>89</v>
      </c>
      <c r="E66" s="9" t="s">
        <v>504</v>
      </c>
      <c r="G66" s="9" t="s">
        <v>526</v>
      </c>
      <c r="I66" s="9" t="s">
        <v>526</v>
      </c>
      <c r="J66" s="9" t="s">
        <v>526</v>
      </c>
      <c r="K66" s="9" t="s">
        <v>527</v>
      </c>
      <c r="L66" s="9" t="s">
        <v>40</v>
      </c>
      <c r="M66" s="59"/>
      <c r="N66"/>
      <c r="O66"/>
    </row>
    <row r="67" spans="1:15">
      <c r="B67" s="114"/>
      <c r="C67" s="116"/>
      <c r="D67" s="116"/>
      <c r="E67" s="116"/>
      <c r="G67" s="116"/>
      <c r="I67" s="116"/>
      <c r="J67" s="116"/>
      <c r="K67" s="116"/>
      <c r="L67"/>
      <c r="M67" s="59"/>
      <c r="N67"/>
      <c r="O67"/>
    </row>
    <row r="68" spans="1:15" ht="14">
      <c r="A68" s="56">
        <f>+A66+1</f>
        <v>32</v>
      </c>
      <c r="B68" s="972" t="s">
        <v>875</v>
      </c>
      <c r="C68" s="653" t="s">
        <v>876</v>
      </c>
      <c r="D68" s="654">
        <v>1196238.5394705245</v>
      </c>
      <c r="E68" s="960">
        <f>+D68-K68</f>
        <v>0</v>
      </c>
      <c r="F68" s="961"/>
      <c r="G68" s="962"/>
      <c r="H68" s="961"/>
      <c r="I68" s="962">
        <f>D68</f>
        <v>1196238.5394705245</v>
      </c>
      <c r="J68" s="962"/>
      <c r="K68" s="1089">
        <f t="shared" ref="K68:K85" si="4">+G68+I68+J68</f>
        <v>1196238.5394705245</v>
      </c>
      <c r="L68" t="s">
        <v>533</v>
      </c>
      <c r="M68" s="59"/>
      <c r="N68"/>
      <c r="O68"/>
    </row>
    <row r="69" spans="1:15" ht="14">
      <c r="A69" s="56">
        <f t="shared" ref="A69:A88" si="5">+A68+1</f>
        <v>33</v>
      </c>
      <c r="B69" s="1086" t="s">
        <v>1081</v>
      </c>
      <c r="C69" s="653" t="s">
        <v>877</v>
      </c>
      <c r="D69" s="654">
        <v>0</v>
      </c>
      <c r="E69" s="960">
        <f t="shared" ref="E69:E86" si="6">+D69-K69</f>
        <v>0</v>
      </c>
      <c r="F69" s="961"/>
      <c r="G69" s="962"/>
      <c r="H69" s="961"/>
      <c r="I69" s="962"/>
      <c r="J69" s="962"/>
      <c r="K69" s="1089">
        <f t="shared" si="4"/>
        <v>0</v>
      </c>
      <c r="L69"/>
      <c r="M69" s="59"/>
      <c r="N69"/>
      <c r="O69"/>
    </row>
    <row r="70" spans="1:15" ht="14">
      <c r="A70" s="56">
        <f t="shared" si="5"/>
        <v>34</v>
      </c>
      <c r="B70" s="1086" t="s">
        <v>1064</v>
      </c>
      <c r="C70" s="653" t="s">
        <v>877</v>
      </c>
      <c r="D70" s="654">
        <v>0</v>
      </c>
      <c r="E70" s="960">
        <f t="shared" si="6"/>
        <v>0</v>
      </c>
      <c r="F70" s="961"/>
      <c r="G70" s="962"/>
      <c r="H70" s="961"/>
      <c r="I70" s="962"/>
      <c r="J70" s="962"/>
      <c r="K70" s="1089">
        <f t="shared" si="4"/>
        <v>0</v>
      </c>
      <c r="L70"/>
      <c r="M70" s="59"/>
      <c r="N70"/>
      <c r="O70"/>
    </row>
    <row r="71" spans="1:15" ht="14">
      <c r="A71" s="56">
        <f t="shared" si="5"/>
        <v>35</v>
      </c>
      <c r="B71" s="973" t="s">
        <v>1082</v>
      </c>
      <c r="C71" s="653" t="s">
        <v>877</v>
      </c>
      <c r="D71" s="654">
        <v>1119798.6541214015</v>
      </c>
      <c r="E71" s="960">
        <f t="shared" si="6"/>
        <v>1119798.6541214015</v>
      </c>
      <c r="F71" s="961"/>
      <c r="G71" s="962"/>
      <c r="H71" s="961"/>
      <c r="I71" s="962"/>
      <c r="J71" s="962"/>
      <c r="K71" s="1089">
        <f t="shared" si="4"/>
        <v>0</v>
      </c>
      <c r="L71" t="s">
        <v>910</v>
      </c>
      <c r="M71" s="59"/>
      <c r="N71"/>
      <c r="O71"/>
    </row>
    <row r="72" spans="1:15" ht="14">
      <c r="A72" s="56">
        <f t="shared" si="5"/>
        <v>36</v>
      </c>
      <c r="B72" s="972" t="s">
        <v>1083</v>
      </c>
      <c r="C72" s="653" t="s">
        <v>896</v>
      </c>
      <c r="D72" s="654">
        <v>123695.17284234977</v>
      </c>
      <c r="E72" s="960">
        <f t="shared" si="6"/>
        <v>123695.17284234977</v>
      </c>
      <c r="F72" s="961"/>
      <c r="G72" s="962"/>
      <c r="H72" s="961"/>
      <c r="I72" s="962"/>
      <c r="J72" s="962"/>
      <c r="K72" s="1089">
        <f t="shared" si="4"/>
        <v>0</v>
      </c>
      <c r="L72" t="s">
        <v>911</v>
      </c>
      <c r="M72" s="59"/>
      <c r="N72"/>
      <c r="O72"/>
    </row>
    <row r="73" spans="1:15" ht="14">
      <c r="A73" s="56">
        <f t="shared" si="5"/>
        <v>37</v>
      </c>
      <c r="B73" s="972" t="s">
        <v>897</v>
      </c>
      <c r="C73" s="653" t="s">
        <v>898</v>
      </c>
      <c r="D73" s="654">
        <v>0</v>
      </c>
      <c r="E73" s="960">
        <f t="shared" si="6"/>
        <v>0</v>
      </c>
      <c r="F73" s="961"/>
      <c r="G73" s="962"/>
      <c r="H73" s="961"/>
      <c r="I73" s="962"/>
      <c r="J73" s="962"/>
      <c r="K73" s="1089">
        <f t="shared" si="4"/>
        <v>0</v>
      </c>
      <c r="L73" t="s">
        <v>912</v>
      </c>
      <c r="M73" s="59"/>
      <c r="N73"/>
      <c r="O73"/>
    </row>
    <row r="74" spans="1:15" ht="14">
      <c r="A74" s="56">
        <f t="shared" si="5"/>
        <v>38</v>
      </c>
      <c r="B74" s="972" t="s">
        <v>878</v>
      </c>
      <c r="C74" s="653" t="s">
        <v>879</v>
      </c>
      <c r="D74" s="654">
        <v>16224806.3999999</v>
      </c>
      <c r="E74" s="960">
        <f t="shared" si="6"/>
        <v>0</v>
      </c>
      <c r="F74" s="961"/>
      <c r="G74" s="962"/>
      <c r="H74" s="961"/>
      <c r="I74" s="962"/>
      <c r="J74" s="962">
        <f>D74</f>
        <v>16224806.3999999</v>
      </c>
      <c r="K74" s="1089">
        <f t="shared" si="4"/>
        <v>16224806.3999999</v>
      </c>
      <c r="L74" s="207" t="s">
        <v>913</v>
      </c>
      <c r="M74" s="59"/>
      <c r="N74"/>
      <c r="O74"/>
    </row>
    <row r="75" spans="1:15" ht="14">
      <c r="A75" s="56">
        <f t="shared" si="5"/>
        <v>39</v>
      </c>
      <c r="B75" s="972" t="s">
        <v>1084</v>
      </c>
      <c r="C75" s="653" t="s">
        <v>900</v>
      </c>
      <c r="D75" s="654">
        <v>0</v>
      </c>
      <c r="E75" s="960">
        <f t="shared" si="6"/>
        <v>0</v>
      </c>
      <c r="F75" s="961"/>
      <c r="G75" s="962"/>
      <c r="H75" s="961"/>
      <c r="I75" s="962"/>
      <c r="J75" s="962"/>
      <c r="K75" s="1089">
        <f t="shared" si="4"/>
        <v>0</v>
      </c>
      <c r="L75" s="207" t="s">
        <v>116</v>
      </c>
      <c r="M75" s="59"/>
      <c r="N75"/>
      <c r="O75"/>
    </row>
    <row r="76" spans="1:15" ht="14">
      <c r="A76" s="56">
        <f t="shared" si="5"/>
        <v>40</v>
      </c>
      <c r="B76" s="973" t="s">
        <v>1085</v>
      </c>
      <c r="C76" s="653" t="s">
        <v>900</v>
      </c>
      <c r="D76" s="654">
        <v>0</v>
      </c>
      <c r="E76" s="960">
        <f t="shared" si="6"/>
        <v>0</v>
      </c>
      <c r="F76" s="961"/>
      <c r="G76" s="962"/>
      <c r="H76" s="961"/>
      <c r="I76" s="962"/>
      <c r="J76" s="962"/>
      <c r="K76" s="1089">
        <f t="shared" si="4"/>
        <v>0</v>
      </c>
      <c r="L76"/>
      <c r="M76" s="59"/>
      <c r="N76"/>
      <c r="O76"/>
    </row>
    <row r="77" spans="1:15" ht="14">
      <c r="A77" s="56">
        <f t="shared" si="5"/>
        <v>41</v>
      </c>
      <c r="B77" s="1087" t="s">
        <v>1086</v>
      </c>
      <c r="C77" s="653" t="s">
        <v>900</v>
      </c>
      <c r="D77" s="654">
        <v>961340.26713709417</v>
      </c>
      <c r="E77" s="960">
        <f t="shared" si="6"/>
        <v>961340.26713709417</v>
      </c>
      <c r="F77" s="961"/>
      <c r="G77" s="962"/>
      <c r="H77" s="961"/>
      <c r="I77" s="962"/>
      <c r="J77" s="962"/>
      <c r="K77" s="1089">
        <f t="shared" si="4"/>
        <v>0</v>
      </c>
      <c r="L77" t="s">
        <v>916</v>
      </c>
      <c r="M77" s="59"/>
      <c r="N77"/>
      <c r="O77"/>
    </row>
    <row r="78" spans="1:15" ht="14">
      <c r="A78" s="56">
        <f t="shared" si="5"/>
        <v>42</v>
      </c>
      <c r="B78" s="973" t="s">
        <v>1087</v>
      </c>
      <c r="C78" s="653" t="s">
        <v>899</v>
      </c>
      <c r="D78" s="654">
        <v>0</v>
      </c>
      <c r="E78" s="960">
        <f t="shared" si="6"/>
        <v>0</v>
      </c>
      <c r="F78" s="961"/>
      <c r="G78" s="962"/>
      <c r="H78" s="961"/>
      <c r="I78" s="962"/>
      <c r="J78" s="962"/>
      <c r="K78" s="1089">
        <f t="shared" si="4"/>
        <v>0</v>
      </c>
      <c r="L78"/>
      <c r="M78" s="59"/>
      <c r="N78"/>
      <c r="O78"/>
    </row>
    <row r="79" spans="1:15" ht="14">
      <c r="A79" s="56">
        <f t="shared" si="5"/>
        <v>43</v>
      </c>
      <c r="B79" s="1088" t="s">
        <v>1065</v>
      </c>
      <c r="C79" s="653" t="s">
        <v>899</v>
      </c>
      <c r="D79" s="654">
        <v>0</v>
      </c>
      <c r="E79" s="960">
        <f t="shared" si="6"/>
        <v>0</v>
      </c>
      <c r="F79" s="961"/>
      <c r="G79" s="962"/>
      <c r="H79" s="961"/>
      <c r="I79" s="962"/>
      <c r="J79" s="962"/>
      <c r="K79" s="1089">
        <f t="shared" si="4"/>
        <v>0</v>
      </c>
      <c r="L79"/>
      <c r="M79" s="59"/>
      <c r="N79"/>
      <c r="O79"/>
    </row>
    <row r="80" spans="1:15" ht="14">
      <c r="A80" s="56">
        <f t="shared" si="5"/>
        <v>44</v>
      </c>
      <c r="B80" s="1086">
        <v>165001222</v>
      </c>
      <c r="C80" s="653" t="s">
        <v>899</v>
      </c>
      <c r="D80" s="654">
        <v>141843.64277885185</v>
      </c>
      <c r="E80" s="960">
        <f t="shared" si="6"/>
        <v>141843.64277885185</v>
      </c>
      <c r="F80" s="961"/>
      <c r="G80" s="962"/>
      <c r="H80" s="961"/>
      <c r="I80" s="962"/>
      <c r="J80" s="962"/>
      <c r="K80" s="1089">
        <f t="shared" si="4"/>
        <v>0</v>
      </c>
      <c r="L80" t="s">
        <v>915</v>
      </c>
      <c r="M80" s="59"/>
      <c r="N80"/>
      <c r="O80"/>
    </row>
    <row r="81" spans="1:15" ht="14">
      <c r="A81" s="56">
        <f t="shared" si="5"/>
        <v>45</v>
      </c>
      <c r="B81" s="1086" t="s">
        <v>880</v>
      </c>
      <c r="C81" s="653" t="s">
        <v>881</v>
      </c>
      <c r="D81" s="654">
        <v>-16224806.3999999</v>
      </c>
      <c r="E81" s="960">
        <f t="shared" si="6"/>
        <v>-16224806.3999999</v>
      </c>
      <c r="F81" s="961"/>
      <c r="G81" s="962"/>
      <c r="H81" s="961"/>
      <c r="I81" s="962"/>
      <c r="J81" s="962"/>
      <c r="K81" s="1089">
        <f t="shared" si="4"/>
        <v>0</v>
      </c>
      <c r="L81" t="s">
        <v>914</v>
      </c>
      <c r="M81" s="59"/>
      <c r="N81"/>
      <c r="O81"/>
    </row>
    <row r="82" spans="1:15" ht="14">
      <c r="A82" s="56">
        <f t="shared" si="5"/>
        <v>46</v>
      </c>
      <c r="B82" s="1086" t="s">
        <v>882</v>
      </c>
      <c r="C82" s="653" t="s">
        <v>883</v>
      </c>
      <c r="D82" s="654">
        <v>-1.6961435956404498E-2</v>
      </c>
      <c r="E82" s="960">
        <f t="shared" si="6"/>
        <v>0</v>
      </c>
      <c r="F82" s="961"/>
      <c r="G82" s="962"/>
      <c r="H82" s="961"/>
      <c r="I82" s="962">
        <f>D82</f>
        <v>-1.6961435956404498E-2</v>
      </c>
      <c r="J82" s="962"/>
      <c r="K82" s="1089">
        <f t="shared" si="4"/>
        <v>-1.6961435956404498E-2</v>
      </c>
      <c r="L82" t="s">
        <v>533</v>
      </c>
      <c r="M82" s="59"/>
      <c r="N82"/>
      <c r="O82"/>
    </row>
    <row r="83" spans="1:15" ht="14">
      <c r="A83" s="56">
        <f t="shared" si="5"/>
        <v>47</v>
      </c>
      <c r="B83" s="1086" t="s">
        <v>901</v>
      </c>
      <c r="C83" s="653" t="s">
        <v>902</v>
      </c>
      <c r="D83" s="654">
        <v>35423.813611214027</v>
      </c>
      <c r="E83" s="960">
        <f t="shared" si="6"/>
        <v>35423.813611214027</v>
      </c>
      <c r="F83" s="961"/>
      <c r="G83" s="962"/>
      <c r="H83" s="961"/>
      <c r="I83" s="962"/>
      <c r="J83" s="962"/>
      <c r="K83" s="1089">
        <f t="shared" si="4"/>
        <v>0</v>
      </c>
      <c r="L83" t="s">
        <v>917</v>
      </c>
      <c r="M83" s="59"/>
      <c r="N83"/>
      <c r="O83"/>
    </row>
    <row r="84" spans="1:15" ht="14">
      <c r="A84" s="56">
        <f t="shared" si="5"/>
        <v>48</v>
      </c>
      <c r="B84" s="1086" t="s">
        <v>1088</v>
      </c>
      <c r="C84" s="653" t="s">
        <v>1089</v>
      </c>
      <c r="D84" s="654">
        <v>0</v>
      </c>
      <c r="E84" s="960">
        <f t="shared" si="6"/>
        <v>0</v>
      </c>
      <c r="F84" s="961"/>
      <c r="G84" s="962"/>
      <c r="H84" s="961"/>
      <c r="I84" s="962"/>
      <c r="J84" s="962"/>
      <c r="K84" s="1089">
        <f t="shared" si="4"/>
        <v>0</v>
      </c>
      <c r="L84"/>
      <c r="M84" s="59"/>
      <c r="N84"/>
      <c r="O84"/>
    </row>
    <row r="85" spans="1:15" ht="14">
      <c r="A85" s="56">
        <f t="shared" si="5"/>
        <v>49</v>
      </c>
      <c r="B85" s="655" t="s">
        <v>1090</v>
      </c>
      <c r="C85" s="653" t="s">
        <v>1091</v>
      </c>
      <c r="D85" s="654">
        <v>29156784.5499999</v>
      </c>
      <c r="E85" s="960">
        <f t="shared" si="6"/>
        <v>0</v>
      </c>
      <c r="F85" s="961"/>
      <c r="G85" s="962"/>
      <c r="H85" s="961"/>
      <c r="I85" s="962"/>
      <c r="J85" s="962">
        <f>D85</f>
        <v>29156784.5499999</v>
      </c>
      <c r="K85" s="1089">
        <f t="shared" si="4"/>
        <v>29156784.5499999</v>
      </c>
      <c r="L85" t="s">
        <v>918</v>
      </c>
      <c r="M85" s="59"/>
      <c r="N85"/>
      <c r="O85"/>
    </row>
    <row r="86" spans="1:15" ht="14">
      <c r="A86" s="56">
        <f t="shared" si="5"/>
        <v>50</v>
      </c>
      <c r="B86" s="1086" t="s">
        <v>1092</v>
      </c>
      <c r="C86" s="653" t="s">
        <v>1093</v>
      </c>
      <c r="D86" s="654">
        <v>-29156784.5499999</v>
      </c>
      <c r="E86" s="960">
        <f t="shared" si="6"/>
        <v>-29156784.5499999</v>
      </c>
      <c r="F86" s="961"/>
      <c r="G86" s="962"/>
      <c r="H86" s="961"/>
      <c r="I86" s="962"/>
      <c r="J86" s="962"/>
      <c r="K86" s="962"/>
      <c r="L86" t="s">
        <v>31</v>
      </c>
      <c r="M86" s="59"/>
      <c r="N86"/>
      <c r="O86"/>
    </row>
    <row r="87" spans="1:15" ht="14">
      <c r="A87" s="56">
        <f t="shared" si="5"/>
        <v>51</v>
      </c>
      <c r="B87" s="655"/>
      <c r="C87" s="653"/>
      <c r="D87" s="654"/>
      <c r="E87" s="962"/>
      <c r="F87" s="961"/>
      <c r="G87" s="962"/>
      <c r="H87" s="961"/>
      <c r="I87" s="962"/>
      <c r="J87" s="962"/>
      <c r="K87" s="962"/>
      <c r="L87"/>
      <c r="M87" s="59"/>
      <c r="N87"/>
      <c r="O87"/>
    </row>
    <row r="88" spans="1:15" ht="14">
      <c r="A88" s="56">
        <f t="shared" si="5"/>
        <v>52</v>
      </c>
      <c r="B88" s="655"/>
      <c r="C88" s="653"/>
      <c r="D88" s="654"/>
      <c r="E88" s="962"/>
      <c r="F88" s="961"/>
      <c r="G88" s="962"/>
      <c r="H88" s="961"/>
      <c r="I88" s="962"/>
      <c r="J88" s="962"/>
      <c r="K88" s="962"/>
      <c r="L88"/>
      <c r="M88" s="59"/>
      <c r="N88"/>
      <c r="O88"/>
    </row>
    <row r="89" spans="1:15" ht="14.5" thickBot="1">
      <c r="B89" s="20"/>
      <c r="C89" s="20"/>
      <c r="D89" s="111"/>
      <c r="E89" s="960"/>
      <c r="F89" s="961"/>
      <c r="G89" s="962"/>
      <c r="H89" s="961"/>
      <c r="I89" s="962"/>
      <c r="J89" s="962"/>
      <c r="K89" s="962"/>
      <c r="L89"/>
      <c r="M89" s="59"/>
      <c r="N89"/>
      <c r="O89"/>
    </row>
    <row r="90" spans="1:15" ht="14">
      <c r="B90" s="114"/>
      <c r="C90" s="25" t="s">
        <v>385</v>
      </c>
      <c r="D90" s="656">
        <f>IF(SUM(D68:D89)=0,"",SUM(D68:D89))</f>
        <v>3578340.0730000027</v>
      </c>
      <c r="E90" s="963">
        <f>IF(SUM(E68:E89)=0,"",SUM(E68:E89))</f>
        <v>-42999489.399508893</v>
      </c>
      <c r="F90" s="961"/>
      <c r="G90" s="656" t="str">
        <f>IF(SUM(G68:G89)=0,"",SUM(G68:G89))</f>
        <v/>
      </c>
      <c r="H90" s="961"/>
      <c r="I90" s="656">
        <f>IF(SUM(I68:I89)=0,"",SUM(I68:I89))</f>
        <v>1196238.5225090885</v>
      </c>
      <c r="J90" s="656">
        <f>IF(SUM(J68:J89)=0,"",SUM(J68:J89))</f>
        <v>45381590.949999802</v>
      </c>
      <c r="K90" s="656">
        <f>IF(SUM(K68:K89)=0,"",SUM(K68:K89))</f>
        <v>46577829.472508892</v>
      </c>
      <c r="L90"/>
      <c r="M90" s="59"/>
      <c r="N90"/>
      <c r="O90"/>
    </row>
    <row r="91" spans="1:15">
      <c r="B91" s="56"/>
      <c r="C91"/>
      <c r="D91"/>
      <c r="E91"/>
      <c r="F91"/>
      <c r="G91"/>
      <c r="H91"/>
      <c r="I91"/>
      <c r="J91"/>
      <c r="K91"/>
      <c r="L91"/>
      <c r="M91"/>
      <c r="N91"/>
      <c r="O91"/>
    </row>
    <row r="92" spans="1:15" ht="18.75" customHeight="1">
      <c r="A92" s="56" t="s">
        <v>634</v>
      </c>
      <c r="B92" s="1185" t="s">
        <v>830</v>
      </c>
      <c r="C92" s="1185"/>
      <c r="D92" s="1185"/>
      <c r="E92" s="1185"/>
      <c r="F92" s="1185"/>
      <c r="G92" s="1185"/>
      <c r="H92" s="1185"/>
      <c r="I92" s="1185"/>
      <c r="J92" s="1185"/>
      <c r="K92" s="1185"/>
      <c r="L92" s="1185"/>
      <c r="M92"/>
      <c r="N92"/>
      <c r="O92"/>
    </row>
    <row r="93" spans="1:15" ht="18.75" customHeight="1">
      <c r="A93" s="4"/>
      <c r="B93" s="1185"/>
      <c r="C93" s="1185"/>
      <c r="D93" s="1185"/>
      <c r="E93" s="1185"/>
      <c r="F93" s="1185"/>
      <c r="G93" s="1185"/>
      <c r="H93" s="1185"/>
      <c r="I93" s="1185"/>
      <c r="J93" s="1185"/>
      <c r="K93" s="1185"/>
      <c r="L93" s="1185"/>
      <c r="M93"/>
      <c r="N93"/>
      <c r="O93"/>
    </row>
    <row r="94" spans="1:15" ht="18">
      <c r="E94" s="695"/>
      <c r="F94" s="695"/>
      <c r="G94" s="695"/>
      <c r="H94" s="695"/>
      <c r="I94" s="695"/>
      <c r="J94" s="695"/>
      <c r="K94" s="695"/>
      <c r="L94" s="66"/>
      <c r="M94" s="59"/>
      <c r="N94" s="59"/>
    </row>
  </sheetData>
  <mergeCells count="12">
    <mergeCell ref="B92:L93"/>
    <mergeCell ref="B10:K10"/>
    <mergeCell ref="A3:L3"/>
    <mergeCell ref="A4:L4"/>
    <mergeCell ref="A5:L5"/>
    <mergeCell ref="A6:L6"/>
    <mergeCell ref="B63:J63"/>
    <mergeCell ref="B24:K24"/>
    <mergeCell ref="E12:E13"/>
    <mergeCell ref="I12:I13"/>
    <mergeCell ref="B34:J34"/>
    <mergeCell ref="G12:G13"/>
  </mergeCells>
  <phoneticPr fontId="4" type="noConversion"/>
  <pageMargins left="1.08" right="0.75" top="1" bottom="0.41" header="0.86" footer="0.27"/>
  <pageSetup scale="39"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049995464e7bd8919604ce5b50842935">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d05b0b3c092d42dd81fdac30d210b6a3"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OriginalFileDate"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FileDate" ma:index="23" nillable="true" ma:displayName="Original File Date" ma:format="DateOnly" ma:internalName="OriginalFileDate">
      <xsd:simpleType>
        <xsd:restriction base="dms:DateTime"/>
      </xsd:simpleType>
    </xsd:element>
    <xsd:element name="_Flow_SignoffStatus" ma:index="24" nillable="true" ma:displayName="Sign-off status" ma:internalName="_x0024_Resources_x003a_core_x002c_Signoff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C8yMi8yMDIzIDI6MTg6MjkgUE08L0RhdGVUaW1lPjxMYWJlbFN0cmluZz5BRVAgSW50ZXJuYWw8L0xhYmVsU3RyaW5nPjwvaXRlbT48L2xhYmVsSGlzdG9yeT4=</Value>
</WrappedLabelHistory>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OriginalFileDate xmlns="f88ffb1c-9230-4705-a789-27bae69f5829" xsi:nil="true"/>
    <Owner xmlns="f88ffb1c-9230-4705-a789-27bae69f5829">
      <UserInfo>
        <DisplayName/>
        <AccountId xsi:nil="true"/>
        <AccountType/>
      </UserInfo>
    </Owner>
    <_Flow_SignoffStatus xmlns="f88ffb1c-9230-4705-a789-27bae69f5829"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79110E3A-82FE-49E4-8ED2-424D5341BD02}">
  <ds:schemaRefs>
    <ds:schemaRef ds:uri="http://schemas.microsoft.com/sharepoint/v3/contenttype/forms"/>
  </ds:schemaRefs>
</ds:datastoreItem>
</file>

<file path=customXml/itemProps2.xml><?xml version="1.0" encoding="utf-8"?>
<ds:datastoreItem xmlns:ds="http://schemas.openxmlformats.org/officeDocument/2006/customXml" ds:itemID="{7F7360DD-1B26-425A-A0E5-8B8B6E60E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C7F260-B865-4581-8A42-9AB73D8FB2D4}">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62136873-9BFF-4C0C-93B5-F7EFED40E935}">
  <ds:schemaRefs>
    <ds:schemaRef ds:uri="http://schemas.microsoft.com/office/infopath/2007/PartnerControls"/>
    <ds:schemaRef ds:uri="http://www.w3.org/XML/1998/namespace"/>
    <ds:schemaRef ds:uri="b6888f76-1100-40b0-929b-1efe9044426d"/>
    <ds:schemaRef ds:uri="http://schemas.microsoft.com/office/2006/documentManagement/types"/>
    <ds:schemaRef ds:uri="http://purl.org/dc/terms/"/>
    <ds:schemaRef ds:uri="http://purl.org/dc/elements/1.1/"/>
    <ds:schemaRef ds:uri="http://schemas.openxmlformats.org/package/2006/metadata/core-properties"/>
    <ds:schemaRef ds:uri="f88ffb1c-9230-4705-a789-27bae69f5829"/>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B988CB0F-C0B0-4D7D-B350-9EAD25E76F7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KPCO WS Q Interest</vt:lpstr>
      <vt:lpstr>KPCO WS Q Interest - 2</vt:lpstr>
      <vt:lpstr>'WS B ADIT &amp; ITC'!Print_Area</vt:lpstr>
      <vt:lpstr>'WS B-2 - Actual Stmt. AG'!Print_Area</vt:lpstr>
      <vt:lpstr>'WS B-3-A'!Print_Area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2026-02-13T16:35:47Z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cae065f4-dd1e-4b13-8065-13008dfc3f87</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{B5C7F260-B865-4581-8A42-9AB73D8FB2D4}</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y fmtid="{D5CDD505-2E9C-101B-9397-08002B2CF9AE}" pid="13" name="ContentTypeId">
    <vt:lpwstr>0x0101004DF805D1E1DA4A49A223477D3B105720</vt:lpwstr>
  </property>
  <property fmtid="{D5CDD505-2E9C-101B-9397-08002B2CF9AE}" pid="14" name="bjpmDocIH">
    <vt:lpwstr>d3ID4N0OyC9BTcZCvqh3q2YBuiJgGctu</vt:lpwstr>
  </property>
</Properties>
</file>