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-my.sharepoint.com/personal/s998844_corp_aepsc_com/Documents/S998844/_Work Progress/2025/Regulatory/KYPCO - KY Base Case/Discovery/"/>
    </mc:Choice>
  </mc:AlternateContent>
  <xr:revisionPtr revIDLastSave="34" documentId="8_{326DDE61-A73D-44B2-BC16-C18CB20EDAC8}" xr6:coauthVersionLast="47" xr6:coauthVersionMax="47" xr10:uidLastSave="{E2082DE4-27E7-4240-9C74-3C90C119160F}"/>
  <bookViews>
    <workbookView xWindow="-120" yWindow="-120" windowWidth="29040" windowHeight="17520" tabRatio="696" xr2:uid="{F1C16A01-E0B8-4333-B60E-ECAC39AB074C}"/>
  </bookViews>
  <sheets>
    <sheet name="Summary" sheetId="1" r:id="rId1"/>
    <sheet name="WAC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 s="1"/>
  <c r="H11" i="1" l="1"/>
  <c r="O28" i="3" l="1"/>
  <c r="O38" i="3" s="1"/>
  <c r="O9" i="3" s="1"/>
  <c r="S26" i="3"/>
  <c r="S24" i="3"/>
  <c r="S22" i="3"/>
  <c r="F14" i="3"/>
  <c r="H10" i="3" s="1"/>
  <c r="B10" i="3"/>
  <c r="B11" i="3" s="1"/>
  <c r="B12" i="3" s="1"/>
  <c r="B14" i="3" s="1"/>
  <c r="H12" i="3" l="1"/>
  <c r="M12" i="3" s="1"/>
  <c r="S28" i="3"/>
  <c r="S30" i="3" s="1"/>
  <c r="S32" i="3" s="1"/>
  <c r="H9" i="3"/>
  <c r="S34" i="3" l="1"/>
  <c r="S36" i="3" s="1"/>
  <c r="S38" i="3" s="1"/>
  <c r="M9" i="3"/>
  <c r="H14" i="3"/>
  <c r="O12" i="3" l="1"/>
  <c r="S12" i="3" s="1"/>
  <c r="C4" i="1"/>
  <c r="S9" i="3"/>
  <c r="M14" i="3"/>
  <c r="C3" i="1" s="1"/>
  <c r="F10" i="1" l="1"/>
  <c r="I10" i="1" s="1"/>
  <c r="G10" i="1" s="1"/>
  <c r="F9" i="1"/>
  <c r="S14" i="3"/>
  <c r="I9" i="1" l="1"/>
  <c r="G9" i="1" s="1"/>
  <c r="G11" i="1" s="1"/>
  <c r="F11" i="1"/>
  <c r="I11" i="1" l="1"/>
</calcChain>
</file>

<file path=xl/sharedStrings.xml><?xml version="1.0" encoding="utf-8"?>
<sst xmlns="http://schemas.openxmlformats.org/spreadsheetml/2006/main" count="36" uniqueCount="35">
  <si>
    <t>Revenue Requirement</t>
  </si>
  <si>
    <t>COST OF CAPITAL</t>
  </si>
  <si>
    <t>Settlement Offer</t>
  </si>
  <si>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</si>
  <si>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</si>
  <si>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</si>
  <si>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</si>
  <si>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</si>
  <si>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</si>
  <si>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</si>
  <si>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WACC       (PRE-TAX)</t>
  </si>
  <si>
    <t>L/T DEBT</t>
  </si>
  <si>
    <t>S/T DEBT</t>
  </si>
  <si>
    <t>C EQUITY</t>
  </si>
  <si>
    <t>*</t>
  </si>
  <si>
    <t>TOTAL</t>
  </si>
  <si>
    <t>Debt</t>
  </si>
  <si>
    <t>Equity</t>
  </si>
  <si>
    <t>Operating Revenues</t>
  </si>
  <si>
    <t>Less Uncollectible Accounts Expense</t>
  </si>
  <si>
    <t>KPSC Maintenance Assessment Fee</t>
  </si>
  <si>
    <t xml:space="preserve"> </t>
  </si>
  <si>
    <t>Income Before Income Taxes</t>
  </si>
  <si>
    <t>Less State Income Taxes (Ln 4 x 5.0097)</t>
  </si>
  <si>
    <t>Taxable Income for Federal Income Taxes</t>
  </si>
  <si>
    <t>Less Federal Income Taxes (Ln 11*21%)</t>
  </si>
  <si>
    <t>Operating  Income Percentage</t>
  </si>
  <si>
    <t>Gross Up Factor  (100.00/Ln 9)</t>
  </si>
  <si>
    <t>After-Tax WACC</t>
  </si>
  <si>
    <t>After-Tax Return on Rate Base</t>
  </si>
  <si>
    <t>Rate Base
Reg Asset</t>
  </si>
  <si>
    <t>Current Tax Expense/ (Benefit)</t>
  </si>
  <si>
    <t>Deferred Tax Expense / (Benefit)</t>
  </si>
  <si>
    <t>DTL Rider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</si>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</sst>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0.000000"/>
    <numFmt numFmtId="167" formatCode="0.000%"/>
    <numFmt numFmtId="168" formatCode="_(* #,##0.0000_);_(* \(#,##0.0000\);_(* &quot;-&quot;??_);_(@_)"/>
    <numFmt numFmtId="169" formatCode="0.0000"/>
    <numFmt numFmtId="170" formatCode="_(* #,##0.000000_);_(* \(#,##0.00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/>
    <xf numFmtId="164" fontId="0" fillId="0" borderId="1" xfId="0" applyNumberFormat="1" applyBorder="1"/>
    <xf numFmtId="0" fontId="2" fillId="0" borderId="0" xfId="0" applyFont="1" applyAlignment="1">
      <alignment horizontal="right"/>
    </xf>
    <xf numFmtId="0" fontId="3" fillId="0" borderId="0" xfId="2" applyAlignment="1">
      <alignment horizontal="center"/>
    </xf>
    <xf numFmtId="0" fontId="3" fillId="0" borderId="0" xfId="2"/>
    <xf numFmtId="49" fontId="4" fillId="0" borderId="2" xfId="3" applyNumberFormat="1" applyBorder="1" applyAlignment="1">
      <alignment horizontal="center" wrapText="1"/>
    </xf>
    <xf numFmtId="49" fontId="4" fillId="2" borderId="7" xfId="3" applyNumberFormat="1" applyFill="1" applyBorder="1" applyAlignment="1">
      <alignment wrapText="1"/>
    </xf>
    <xf numFmtId="49" fontId="4" fillId="0" borderId="3" xfId="3" applyNumberFormat="1" applyBorder="1" applyAlignment="1">
      <alignment horizontal="center" wrapText="1"/>
    </xf>
    <xf numFmtId="49" fontId="4" fillId="2" borderId="4" xfId="3" applyNumberFormat="1" applyFill="1" applyBorder="1" applyAlignment="1">
      <alignment wrapText="1"/>
    </xf>
    <xf numFmtId="49" fontId="4" fillId="0" borderId="4" xfId="3" applyNumberFormat="1" applyBorder="1" applyAlignment="1">
      <alignment horizontal="center" wrapText="1"/>
    </xf>
    <xf numFmtId="49" fontId="4" fillId="0" borderId="2" xfId="3" applyNumberFormat="1" applyBorder="1" applyAlignment="1">
      <alignment wrapText="1"/>
    </xf>
    <xf numFmtId="0" fontId="4" fillId="2" borderId="4" xfId="3" applyFill="1" applyBorder="1"/>
    <xf numFmtId="0" fontId="4" fillId="0" borderId="4" xfId="3" applyBorder="1" applyAlignment="1">
      <alignment horizontal="center"/>
    </xf>
    <xf numFmtId="0" fontId="4" fillId="2" borderId="4" xfId="3" applyFill="1" applyBorder="1" applyAlignment="1">
      <alignment horizontal="center"/>
    </xf>
    <xf numFmtId="0" fontId="4" fillId="0" borderId="4" xfId="3" applyBorder="1"/>
    <xf numFmtId="49" fontId="4" fillId="0" borderId="5" xfId="3" applyNumberFormat="1" applyBorder="1" applyAlignment="1">
      <alignment horizontal="center" wrapText="1"/>
    </xf>
    <xf numFmtId="49" fontId="4" fillId="0" borderId="8" xfId="3" applyNumberFormat="1" applyBorder="1" applyAlignment="1">
      <alignment horizontal="center" wrapText="1"/>
    </xf>
    <xf numFmtId="49" fontId="4" fillId="2" borderId="0" xfId="3" applyNumberFormat="1" applyFill="1" applyAlignment="1">
      <alignment wrapText="1"/>
    </xf>
    <xf numFmtId="49" fontId="4" fillId="0" borderId="0" xfId="3" applyNumberFormat="1" applyAlignment="1">
      <alignment horizontal="center" wrapText="1"/>
    </xf>
    <xf numFmtId="166" fontId="5" fillId="0" borderId="0" xfId="3" applyNumberFormat="1" applyFont="1" applyAlignment="1">
      <alignment horizontal="center" wrapText="1"/>
    </xf>
    <xf numFmtId="49" fontId="4" fillId="0" borderId="9" xfId="3" applyNumberFormat="1" applyBorder="1" applyAlignment="1">
      <alignment wrapText="1"/>
    </xf>
    <xf numFmtId="0" fontId="4" fillId="2" borderId="0" xfId="3" applyFill="1"/>
    <xf numFmtId="0" fontId="4" fillId="0" borderId="0" xfId="3" applyAlignment="1">
      <alignment horizontal="center"/>
    </xf>
    <xf numFmtId="0" fontId="4" fillId="2" borderId="0" xfId="3" applyFill="1" applyAlignment="1">
      <alignment horizontal="center"/>
    </xf>
    <xf numFmtId="0" fontId="4" fillId="0" borderId="0" xfId="3"/>
    <xf numFmtId="49" fontId="4" fillId="0" borderId="10" xfId="3" applyNumberFormat="1" applyBorder="1" applyAlignment="1">
      <alignment horizontal="center" wrapText="1"/>
    </xf>
    <xf numFmtId="0" fontId="4" fillId="0" borderId="11" xfId="3" applyBorder="1" applyAlignment="1">
      <alignment horizontal="center"/>
    </xf>
    <xf numFmtId="0" fontId="4" fillId="2" borderId="7" xfId="3" applyFill="1" applyBorder="1"/>
    <xf numFmtId="0" fontId="4" fillId="0" borderId="7" xfId="3" applyBorder="1"/>
    <xf numFmtId="0" fontId="4" fillId="0" borderId="11" xfId="3" applyBorder="1"/>
    <xf numFmtId="0" fontId="4" fillId="0" borderId="6" xfId="3" applyBorder="1"/>
    <xf numFmtId="0" fontId="0" fillId="0" borderId="9" xfId="3" applyFont="1" applyBorder="1" applyAlignment="1">
      <alignment horizontal="center"/>
    </xf>
    <xf numFmtId="5" fontId="6" fillId="0" borderId="0" xfId="3" applyNumberFormat="1" applyFont="1"/>
    <xf numFmtId="10" fontId="4" fillId="0" borderId="0" xfId="3" applyNumberFormat="1"/>
    <xf numFmtId="10" fontId="6" fillId="0" borderId="0" xfId="3" applyNumberFormat="1" applyFont="1"/>
    <xf numFmtId="0" fontId="4" fillId="0" borderId="9" xfId="3" applyBorder="1"/>
    <xf numFmtId="166" fontId="4" fillId="0" borderId="0" xfId="3" applyNumberFormat="1" applyAlignment="1">
      <alignment horizontal="center"/>
    </xf>
    <xf numFmtId="0" fontId="0" fillId="0" borderId="0" xfId="3" applyFont="1"/>
    <xf numFmtId="10" fontId="4" fillId="0" borderId="10" xfId="3" applyNumberFormat="1" applyBorder="1"/>
    <xf numFmtId="49" fontId="4" fillId="0" borderId="0" xfId="3" applyNumberFormat="1" applyAlignment="1">
      <alignment wrapText="1"/>
    </xf>
    <xf numFmtId="10" fontId="5" fillId="3" borderId="0" xfId="3" applyNumberFormat="1" applyFont="1" applyFill="1"/>
    <xf numFmtId="0" fontId="3" fillId="0" borderId="9" xfId="3" applyFont="1" applyBorder="1" applyAlignment="1">
      <alignment horizontal="center"/>
    </xf>
    <xf numFmtId="166" fontId="5" fillId="0" borderId="0" xfId="3" applyNumberFormat="1" applyFont="1" applyAlignment="1">
      <alignment horizontal="center"/>
    </xf>
    <xf numFmtId="0" fontId="0" fillId="0" borderId="0" xfId="3" applyFont="1" applyAlignment="1">
      <alignment horizontal="center"/>
    </xf>
    <xf numFmtId="167" fontId="4" fillId="0" borderId="0" xfId="3" applyNumberFormat="1"/>
    <xf numFmtId="167" fontId="7" fillId="0" borderId="0" xfId="3" applyNumberFormat="1" applyFont="1"/>
    <xf numFmtId="5" fontId="8" fillId="0" borderId="0" xfId="3" applyNumberFormat="1" applyFont="1"/>
    <xf numFmtId="10" fontId="9" fillId="0" borderId="0" xfId="3" applyNumberFormat="1" applyFont="1"/>
    <xf numFmtId="10" fontId="9" fillId="0" borderId="10" xfId="3" quotePrefix="1" applyNumberFormat="1" applyFont="1" applyBorder="1" applyAlignment="1">
      <alignment horizontal="right" wrapText="1"/>
    </xf>
    <xf numFmtId="0" fontId="4" fillId="0" borderId="10" xfId="3" applyBorder="1"/>
    <xf numFmtId="0" fontId="0" fillId="0" borderId="12" xfId="3" applyFont="1" applyBorder="1" applyAlignment="1">
      <alignment horizontal="center"/>
    </xf>
    <xf numFmtId="0" fontId="4" fillId="2" borderId="13" xfId="3" applyFill="1" applyBorder="1"/>
    <xf numFmtId="0" fontId="4" fillId="0" borderId="13" xfId="3" applyBorder="1"/>
    <xf numFmtId="0" fontId="4" fillId="0" borderId="12" xfId="3" applyBorder="1"/>
    <xf numFmtId="0" fontId="4" fillId="0" borderId="14" xfId="3" applyBorder="1"/>
    <xf numFmtId="0" fontId="3" fillId="0" borderId="8" xfId="2" applyBorder="1" applyAlignment="1">
      <alignment horizontal="center"/>
    </xf>
    <xf numFmtId="0" fontId="3" fillId="0" borderId="10" xfId="2" applyBorder="1"/>
    <xf numFmtId="0" fontId="10" fillId="0" borderId="0" xfId="2" applyFont="1" applyAlignment="1">
      <alignment horizontal="center"/>
    </xf>
    <xf numFmtId="168" fontId="4" fillId="0" borderId="0" xfId="4" applyNumberFormat="1" applyFont="1" applyBorder="1"/>
    <xf numFmtId="168" fontId="4" fillId="0" borderId="0" xfId="4" applyNumberFormat="1" applyFont="1"/>
    <xf numFmtId="169" fontId="4" fillId="0" borderId="0" xfId="3" applyNumberFormat="1"/>
    <xf numFmtId="168" fontId="4" fillId="0" borderId="0" xfId="4" applyNumberFormat="1" applyFont="1" applyFill="1"/>
    <xf numFmtId="170" fontId="4" fillId="0" borderId="0" xfId="4" applyNumberFormat="1" applyFont="1" applyFill="1"/>
    <xf numFmtId="0" fontId="3" fillId="0" borderId="0" xfId="3" applyFont="1"/>
    <xf numFmtId="168" fontId="4" fillId="0" borderId="0" xfId="4" applyNumberFormat="1" applyFont="1" applyFill="1" applyAlignment="1">
      <alignment vertical="center"/>
    </xf>
    <xf numFmtId="166" fontId="4" fillId="0" borderId="0" xfId="3" applyNumberFormat="1"/>
    <xf numFmtId="0" fontId="11" fillId="0" borderId="0" xfId="0" applyFont="1" applyAlignment="1">
      <alignment horizontal="right"/>
    </xf>
    <xf numFmtId="164" fontId="2" fillId="0" borderId="1" xfId="0" applyNumberFormat="1" applyFont="1" applyBorder="1"/>
    <xf numFmtId="164" fontId="2" fillId="0" borderId="0" xfId="0" applyNumberFormat="1" applyFont="1" applyFill="1"/>
    <xf numFmtId="0" fontId="2" fillId="4" borderId="4" xfId="0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0" borderId="15" xfId="0" applyFont="1" applyBorder="1" applyAlignment="1">
      <alignment horizontal="right"/>
    </xf>
    <xf numFmtId="10" fontId="2" fillId="0" borderId="6" xfId="0" applyNumberFormat="1" applyFont="1" applyBorder="1"/>
    <xf numFmtId="0" fontId="2" fillId="0" borderId="16" xfId="0" applyFont="1" applyBorder="1" applyAlignment="1">
      <alignment horizontal="right"/>
    </xf>
    <xf numFmtId="0" fontId="2" fillId="0" borderId="14" xfId="0" applyFont="1" applyBorder="1"/>
  </cellXfs>
  <cellStyles count="7">
    <cellStyle name="Comma" xfId="1" builtinId="3"/>
    <cellStyle name="Comma 2 2 2" xfId="4" xr:uid="{CA375761-FF25-4715-BF88-9A5DEFB394A2}"/>
    <cellStyle name="Currency 2" xfId="6" xr:uid="{59D0C5E7-F58B-4801-A29E-4B4738F1D178}"/>
    <cellStyle name="Normal" xfId="0" builtinId="0"/>
    <cellStyle name="Normal 2 2 2" xfId="3" xr:uid="{46230E0B-B108-4068-A874-4052A16FADE6}"/>
    <cellStyle name="Normal 3 8" xfId="2" xr:uid="{804FCB9F-1CCE-481F-A942-785A61F61B62}"/>
    <cellStyle name="Percent 2" xfId="5" xr:uid="{DD103864-04E1-41B4-92C2-8F2BB16F0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5507-BEE0-4915-A0BE-8F3133F5D785}">
  <dimension ref="B2:I11"/>
  <sheetViews>
    <sheetView tabSelected="1" zoomScaleNormal="100" workbookViewId="0"/>
  </sheetViews>
  <sheetFormatPr defaultRowHeight="15" x14ac:dyDescent="0.25"/>
  <cols>
    <col min="2" max="2" width="15.5703125" bestFit="1" customWidth="1"/>
    <col min="3" max="3" width="10.5703125" bestFit="1" customWidth="1"/>
    <col min="4" max="4" width="9.42578125" customWidth="1"/>
    <col min="5" max="9" width="13" customWidth="1"/>
  </cols>
  <sheetData>
    <row r="2" spans="2:9" ht="15.75" thickBot="1" x14ac:dyDescent="0.3"/>
    <row r="3" spans="2:9" x14ac:dyDescent="0.25">
      <c r="B3" s="77" t="s">
        <v>28</v>
      </c>
      <c r="C3" s="78">
        <f>WACC!M14</f>
        <v>7.4800000000000005E-2</v>
      </c>
    </row>
    <row r="4" spans="2:9" ht="15.75" thickBot="1" x14ac:dyDescent="0.3">
      <c r="B4" s="79" t="s">
        <v>9</v>
      </c>
      <c r="C4" s="80">
        <f>WACC!S38</f>
        <v>1.3384929999999999</v>
      </c>
    </row>
    <row r="5" spans="2:9" x14ac:dyDescent="0.25">
      <c r="B5" s="7"/>
      <c r="C5" s="5"/>
    </row>
    <row r="6" spans="2:9" ht="15.75" thickBot="1" x14ac:dyDescent="0.3">
      <c r="B6" s="71"/>
      <c r="C6" s="73"/>
      <c r="H6" s="3"/>
    </row>
    <row r="7" spans="2:9" ht="15.75" customHeight="1" thickBot="1" x14ac:dyDescent="0.3">
      <c r="D7" s="76" t="s">
        <v>33</v>
      </c>
      <c r="E7" s="74"/>
      <c r="F7" s="74"/>
      <c r="G7" s="74"/>
      <c r="H7" s="74"/>
      <c r="I7" s="75"/>
    </row>
    <row r="8" spans="2:9" ht="45" x14ac:dyDescent="0.25">
      <c r="D8" s="4" t="s">
        <v>34</v>
      </c>
      <c r="E8" s="4" t="s">
        <v>30</v>
      </c>
      <c r="F8" s="4" t="s">
        <v>29</v>
      </c>
      <c r="G8" s="4" t="s">
        <v>31</v>
      </c>
      <c r="H8" s="4" t="s">
        <v>32</v>
      </c>
      <c r="I8" s="4" t="s">
        <v>0</v>
      </c>
    </row>
    <row r="9" spans="2:9" x14ac:dyDescent="0.25">
      <c r="D9" s="2">
        <v>1</v>
      </c>
      <c r="E9" s="3">
        <f>-H9</f>
        <v>20187766.84579841</v>
      </c>
      <c r="F9" s="3">
        <f>E9*$C$3</f>
        <v>1510044.9600657213</v>
      </c>
      <c r="G9" s="3">
        <f>I9-H9-F9</f>
        <v>-6322278.1142673111</v>
      </c>
      <c r="H9" s="1">
        <v>-20187766.84579841</v>
      </c>
      <c r="I9" s="3">
        <f>(F9+H9)*$C$4</f>
        <v>-25000000</v>
      </c>
    </row>
    <row r="10" spans="2:9" x14ac:dyDescent="0.25">
      <c r="D10" s="2">
        <v>2</v>
      </c>
      <c r="E10" s="3">
        <f>E9-H10</f>
        <v>33932555.09861438</v>
      </c>
      <c r="F10" s="3">
        <f>E10*$C$3</f>
        <v>2538155.1213763556</v>
      </c>
      <c r="G10" s="3">
        <f t="shared" ref="G10" si="0">I10-H10-F10</f>
        <v>-3793366.8685603864</v>
      </c>
      <c r="H10" s="1">
        <v>-13744788.252815967</v>
      </c>
      <c r="I10" s="3">
        <f>(F10+H10)*$C$4</f>
        <v>-14999999.999999998</v>
      </c>
    </row>
    <row r="11" spans="2:9" x14ac:dyDescent="0.25">
      <c r="F11" s="6">
        <f>SUM(F9:F10)</f>
        <v>4048200.0814420767</v>
      </c>
      <c r="G11" s="6">
        <f>SUM(G9:G10)</f>
        <v>-10115644.982827697</v>
      </c>
      <c r="H11" s="6">
        <f>SUM(H9:H10)</f>
        <v>-33932555.09861438</v>
      </c>
      <c r="I11" s="72">
        <f>SUM(I9:I10)</f>
        <v>-40000000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1BEC-6105-4A2C-8859-78F00D5B713D}">
  <dimension ref="B2:S39"/>
  <sheetViews>
    <sheetView workbookViewId="0">
      <selection activeCell="Y14" sqref="Y14"/>
    </sheetView>
  </sheetViews>
  <sheetFormatPr defaultRowHeight="15" x14ac:dyDescent="0.25"/>
  <cols>
    <col min="3" max="3" width="1.140625" customWidth="1"/>
    <col min="5" max="5" width="1.140625" customWidth="1"/>
    <col min="6" max="6" width="14.140625" bestFit="1" customWidth="1"/>
    <col min="7" max="7" width="1.140625" customWidth="1"/>
    <col min="9" max="9" width="1.140625" customWidth="1"/>
    <col min="12" max="12" width="1.140625" customWidth="1"/>
    <col min="14" max="14" width="1" customWidth="1"/>
    <col min="15" max="15" width="9.5703125" bestFit="1" customWidth="1"/>
    <col min="16" max="16" width="0.85546875" customWidth="1"/>
    <col min="18" max="18" width="0.85546875" customWidth="1"/>
    <col min="19" max="19" width="9.5703125" bestFit="1" customWidth="1"/>
  </cols>
  <sheetData>
    <row r="2" spans="2:19" x14ac:dyDescent="0.25">
      <c r="B2" s="8"/>
      <c r="C2" s="9"/>
      <c r="D2" s="9"/>
      <c r="E2" s="9"/>
      <c r="F2" s="9"/>
      <c r="G2" s="9"/>
      <c r="H2" s="9" t="s">
        <v>1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2:19" x14ac:dyDescent="0.2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2:19" x14ac:dyDescent="0.25">
      <c r="B4" s="8" t="s">
        <v>2</v>
      </c>
      <c r="C4" s="9"/>
      <c r="D4" s="9"/>
      <c r="E4" s="9"/>
      <c r="F4" s="9"/>
      <c r="G4" s="9"/>
      <c r="H4" s="9"/>
      <c r="I4" s="9"/>
      <c r="J4" s="8"/>
      <c r="K4" s="9"/>
      <c r="L4" s="9"/>
      <c r="M4" s="9"/>
      <c r="N4" s="9"/>
      <c r="O4" s="9"/>
      <c r="P4" s="9"/>
      <c r="Q4" s="9"/>
      <c r="R4" s="9"/>
      <c r="S4" s="9"/>
    </row>
    <row r="5" spans="2:19" ht="15.75" thickBot="1" x14ac:dyDescent="0.3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2:19" ht="39.75" thickBot="1" x14ac:dyDescent="0.3">
      <c r="B6" s="10" t="s">
        <v>3</v>
      </c>
      <c r="C6" s="11"/>
      <c r="D6" s="12" t="s">
        <v>4</v>
      </c>
      <c r="E6" s="13"/>
      <c r="F6" s="14" t="s">
        <v>5</v>
      </c>
      <c r="G6" s="13"/>
      <c r="H6" s="14" t="s">
        <v>6</v>
      </c>
      <c r="I6" s="13"/>
      <c r="J6" s="14" t="s">
        <v>7</v>
      </c>
      <c r="K6" s="15"/>
      <c r="L6" s="13"/>
      <c r="M6" s="14" t="s">
        <v>8</v>
      </c>
      <c r="N6" s="16"/>
      <c r="O6" s="17" t="s">
        <v>9</v>
      </c>
      <c r="P6" s="18"/>
      <c r="Q6" s="19"/>
      <c r="R6" s="16"/>
      <c r="S6" s="20" t="s">
        <v>10</v>
      </c>
    </row>
    <row r="7" spans="2:19" ht="15.75" thickBot="1" x14ac:dyDescent="0.3">
      <c r="B7" s="21"/>
      <c r="C7" s="22"/>
      <c r="D7" s="23"/>
      <c r="E7" s="22"/>
      <c r="F7" s="24"/>
      <c r="G7" s="22"/>
      <c r="H7" s="23"/>
      <c r="I7" s="22"/>
      <c r="J7" s="23"/>
      <c r="K7" s="25"/>
      <c r="L7" s="22"/>
      <c r="M7" s="23"/>
      <c r="N7" s="26"/>
      <c r="O7" s="27"/>
      <c r="P7" s="28"/>
      <c r="Q7" s="29"/>
      <c r="R7" s="26"/>
      <c r="S7" s="30"/>
    </row>
    <row r="8" spans="2:19" x14ac:dyDescent="0.25">
      <c r="B8" s="31"/>
      <c r="C8" s="32"/>
      <c r="D8" s="33"/>
      <c r="E8" s="32"/>
      <c r="F8" s="33"/>
      <c r="G8" s="32"/>
      <c r="H8" s="33"/>
      <c r="I8" s="32"/>
      <c r="J8" s="33"/>
      <c r="K8" s="34"/>
      <c r="L8" s="32"/>
      <c r="M8" s="33"/>
      <c r="N8" s="32"/>
      <c r="O8" s="33"/>
      <c r="P8" s="32"/>
      <c r="Q8" s="33"/>
      <c r="R8" s="32"/>
      <c r="S8" s="35"/>
    </row>
    <row r="9" spans="2:19" x14ac:dyDescent="0.25">
      <c r="B9" s="36">
        <v>1</v>
      </c>
      <c r="C9" s="26"/>
      <c r="D9" s="29" t="s">
        <v>11</v>
      </c>
      <c r="E9" s="26"/>
      <c r="F9" s="37">
        <v>990515425</v>
      </c>
      <c r="G9" s="29"/>
      <c r="H9" s="38">
        <f>F9/F14</f>
        <v>0.53867848895824511</v>
      </c>
      <c r="I9" s="29"/>
      <c r="J9" s="39">
        <v>5.4899999999999997E-2</v>
      </c>
      <c r="K9" s="40"/>
      <c r="L9" s="26"/>
      <c r="M9" s="38">
        <f>ROUND(H9*J9,4)</f>
        <v>2.9600000000000001E-2</v>
      </c>
      <c r="N9" s="26"/>
      <c r="O9" s="41">
        <f>O38</f>
        <v>1.004437</v>
      </c>
      <c r="P9" s="26"/>
      <c r="Q9" s="42"/>
      <c r="R9" s="26"/>
      <c r="S9" s="43">
        <f>ROUND(M9*O9,6)</f>
        <v>2.9731E-2</v>
      </c>
    </row>
    <row r="10" spans="2:19" x14ac:dyDescent="0.25">
      <c r="B10" s="36">
        <f>+B9+1</f>
        <v>2</v>
      </c>
      <c r="C10" s="26"/>
      <c r="D10" s="29" t="s">
        <v>12</v>
      </c>
      <c r="E10" s="26"/>
      <c r="F10" s="37">
        <v>0</v>
      </c>
      <c r="G10" s="26"/>
      <c r="H10" s="38">
        <f>F10/F14</f>
        <v>0</v>
      </c>
      <c r="I10" s="26"/>
      <c r="J10" s="39"/>
      <c r="K10" s="40"/>
      <c r="L10" s="26"/>
      <c r="M10" s="38"/>
      <c r="N10" s="26"/>
      <c r="O10" s="41"/>
      <c r="P10" s="26"/>
      <c r="Q10" s="29"/>
      <c r="R10" s="26"/>
      <c r="S10" s="43"/>
    </row>
    <row r="11" spans="2:19" x14ac:dyDescent="0.25">
      <c r="B11" s="36">
        <f>+B10+1</f>
        <v>3</v>
      </c>
      <c r="C11" s="26"/>
      <c r="D11" s="44"/>
      <c r="E11" s="26"/>
      <c r="F11" s="37"/>
      <c r="G11" s="26"/>
      <c r="H11" s="38"/>
      <c r="I11" s="26"/>
      <c r="J11" s="39"/>
      <c r="K11" s="40"/>
      <c r="L11" s="26"/>
      <c r="M11" s="38"/>
      <c r="N11" s="26"/>
      <c r="O11" s="41"/>
      <c r="P11" s="26"/>
      <c r="Q11" s="29"/>
      <c r="R11" s="26"/>
      <c r="S11" s="43"/>
    </row>
    <row r="12" spans="2:19" x14ac:dyDescent="0.25">
      <c r="B12" s="36">
        <f>+B11+1</f>
        <v>4</v>
      </c>
      <c r="C12" s="26"/>
      <c r="D12" s="29" t="s">
        <v>13</v>
      </c>
      <c r="E12" s="26"/>
      <c r="F12" s="37">
        <v>848272359</v>
      </c>
      <c r="G12" s="26"/>
      <c r="H12" s="38">
        <f>F12/F14</f>
        <v>0.46132151104175489</v>
      </c>
      <c r="I12" s="26"/>
      <c r="J12" s="45">
        <v>9.8000000000000004E-2</v>
      </c>
      <c r="K12" s="46" t="s">
        <v>14</v>
      </c>
      <c r="L12" s="26"/>
      <c r="M12" s="38">
        <f>ROUND(H12*J12,4)</f>
        <v>4.5199999999999997E-2</v>
      </c>
      <c r="N12" s="26"/>
      <c r="O12" s="47">
        <f>S38</f>
        <v>1.3384929999999999</v>
      </c>
      <c r="P12" s="26"/>
      <c r="Q12" s="48"/>
      <c r="R12" s="26"/>
      <c r="S12" s="43">
        <f>ROUND(M12*O12,6)</f>
        <v>6.0499999999999998E-2</v>
      </c>
    </row>
    <row r="13" spans="2:19" x14ac:dyDescent="0.25">
      <c r="B13" s="36"/>
      <c r="C13" s="26"/>
      <c r="D13" s="29"/>
      <c r="E13" s="26"/>
      <c r="F13" s="37"/>
      <c r="G13" s="26"/>
      <c r="H13" s="49"/>
      <c r="I13" s="26"/>
      <c r="J13" s="50"/>
      <c r="K13" s="40"/>
      <c r="L13" s="26"/>
      <c r="M13" s="49"/>
      <c r="N13" s="26"/>
      <c r="O13" s="27"/>
      <c r="P13" s="26"/>
      <c r="Q13" s="29"/>
      <c r="R13" s="26"/>
      <c r="S13" s="43"/>
    </row>
    <row r="14" spans="2:19" x14ac:dyDescent="0.25">
      <c r="B14" s="36">
        <f>+B12+1</f>
        <v>5</v>
      </c>
      <c r="C14" s="26"/>
      <c r="D14" s="29" t="s">
        <v>15</v>
      </c>
      <c r="E14" s="26"/>
      <c r="F14" s="51">
        <f>SUM(F9:F12)</f>
        <v>1838787784</v>
      </c>
      <c r="G14" s="26"/>
      <c r="H14" s="52">
        <f>SUM(H9:H12)</f>
        <v>1</v>
      </c>
      <c r="I14" s="26"/>
      <c r="J14" s="50"/>
      <c r="K14" s="40"/>
      <c r="L14" s="26"/>
      <c r="M14" s="53">
        <f>ROUND(SUM(M9:M13),4)</f>
        <v>7.4800000000000005E-2</v>
      </c>
      <c r="N14" s="26"/>
      <c r="O14" s="29"/>
      <c r="P14" s="26"/>
      <c r="Q14" s="29"/>
      <c r="R14" s="26"/>
      <c r="S14" s="53">
        <f>ROUND(SUM(S9:S13),4)</f>
        <v>9.0200000000000002E-2</v>
      </c>
    </row>
    <row r="15" spans="2:19" x14ac:dyDescent="0.25">
      <c r="B15" s="36"/>
      <c r="C15" s="26"/>
      <c r="D15" s="29"/>
      <c r="E15" s="26"/>
      <c r="F15" s="29"/>
      <c r="G15" s="26"/>
      <c r="H15" s="29"/>
      <c r="I15" s="26"/>
      <c r="J15" s="29"/>
      <c r="K15" s="40"/>
      <c r="L15" s="26"/>
      <c r="M15" s="29"/>
      <c r="N15" s="26"/>
      <c r="O15" s="29"/>
      <c r="P15" s="26"/>
      <c r="Q15" s="29"/>
      <c r="R15" s="26"/>
      <c r="S15" s="54"/>
    </row>
    <row r="16" spans="2:19" ht="15.75" thickBot="1" x14ac:dyDescent="0.3">
      <c r="B16" s="55"/>
      <c r="C16" s="56"/>
      <c r="D16" s="57"/>
      <c r="E16" s="56"/>
      <c r="F16" s="57"/>
      <c r="G16" s="56"/>
      <c r="H16" s="57"/>
      <c r="I16" s="56"/>
      <c r="J16" s="57"/>
      <c r="K16" s="58"/>
      <c r="L16" s="56"/>
      <c r="M16" s="57"/>
      <c r="N16" s="56"/>
      <c r="O16" s="57"/>
      <c r="P16" s="56"/>
      <c r="Q16" s="57"/>
      <c r="R16" s="56"/>
      <c r="S16" s="59"/>
    </row>
    <row r="17" spans="2:19" x14ac:dyDescent="0.25">
      <c r="B17" s="6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8"/>
      <c r="Q17" s="9"/>
      <c r="R17" s="9"/>
      <c r="S17" s="61"/>
    </row>
    <row r="18" spans="2:19" x14ac:dyDescent="0.25">
      <c r="B18" s="6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8"/>
      <c r="Q18" s="9"/>
      <c r="R18" s="9"/>
      <c r="S18" s="61"/>
    </row>
    <row r="19" spans="2:19" x14ac:dyDescent="0.25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8"/>
      <c r="Q19" s="9"/>
      <c r="R19" s="9"/>
      <c r="S19" s="9"/>
    </row>
    <row r="20" spans="2:19" x14ac:dyDescent="0.25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9"/>
      <c r="R20" s="9"/>
      <c r="S20" s="9"/>
    </row>
    <row r="21" spans="2:19" x14ac:dyDescent="0.25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62" t="s">
        <v>16</v>
      </c>
      <c r="P21" s="62"/>
      <c r="Q21" s="9"/>
      <c r="R21" s="9"/>
      <c r="S21" s="62" t="s">
        <v>17</v>
      </c>
    </row>
    <row r="22" spans="2:19" x14ac:dyDescent="0.25">
      <c r="B22" s="48">
        <v>6</v>
      </c>
      <c r="C22" s="29"/>
      <c r="D22" s="42" t="s">
        <v>18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63">
        <v>100</v>
      </c>
      <c r="P22" s="29"/>
      <c r="Q22" s="29"/>
      <c r="R22" s="29"/>
      <c r="S22" s="63">
        <f>O22</f>
        <v>100</v>
      </c>
    </row>
    <row r="23" spans="2:19" x14ac:dyDescent="0.25">
      <c r="B23" s="4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64"/>
    </row>
    <row r="24" spans="2:19" x14ac:dyDescent="0.25">
      <c r="B24" s="48">
        <v>7</v>
      </c>
      <c r="C24" s="29"/>
      <c r="D24" s="42" t="s">
        <v>19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65">
        <v>0.28220000000000001</v>
      </c>
      <c r="P24" s="29"/>
      <c r="Q24" s="29"/>
      <c r="R24" s="29"/>
      <c r="S24" s="66">
        <f>O24</f>
        <v>0.28220000000000001</v>
      </c>
    </row>
    <row r="25" spans="2:19" x14ac:dyDescent="0.25">
      <c r="B25" s="4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66"/>
    </row>
    <row r="26" spans="2:19" x14ac:dyDescent="0.25">
      <c r="B26" s="48">
        <v>8</v>
      </c>
      <c r="C26" s="29"/>
      <c r="D26" s="42" t="s">
        <v>20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>
        <v>0.1595</v>
      </c>
      <c r="P26" s="29"/>
      <c r="Q26" s="29"/>
      <c r="R26" s="29"/>
      <c r="S26" s="67">
        <f>O26</f>
        <v>0.1595</v>
      </c>
    </row>
    <row r="27" spans="2:19" x14ac:dyDescent="0.25">
      <c r="B27" s="4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42" t="s">
        <v>21</v>
      </c>
      <c r="P27" s="29"/>
      <c r="Q27" s="29"/>
      <c r="R27" s="29"/>
      <c r="S27" s="66"/>
    </row>
    <row r="28" spans="2:19" x14ac:dyDescent="0.25">
      <c r="B28" s="48">
        <v>9</v>
      </c>
      <c r="C28" s="29"/>
      <c r="D28" s="42" t="s">
        <v>22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65">
        <f>O22-O24-O26</f>
        <v>99.558300000000003</v>
      </c>
      <c r="P28" s="29"/>
      <c r="Q28" s="29"/>
      <c r="R28" s="29"/>
      <c r="S28" s="66">
        <f>S22-S24-S26</f>
        <v>99.558300000000003</v>
      </c>
    </row>
    <row r="29" spans="2:19" x14ac:dyDescent="0.25">
      <c r="B29" s="48"/>
      <c r="C29" s="29"/>
      <c r="D29" s="4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66"/>
    </row>
    <row r="30" spans="2:19" x14ac:dyDescent="0.25">
      <c r="B30" s="48">
        <v>10</v>
      </c>
      <c r="C30" s="29"/>
      <c r="D30" s="68" t="s">
        <v>23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8"/>
      <c r="P30" s="29"/>
      <c r="Q30" s="29"/>
      <c r="R30" s="29"/>
      <c r="S30" s="66">
        <f>S28*0.050097</f>
        <v>4.9875721551000005</v>
      </c>
    </row>
    <row r="31" spans="2:19" x14ac:dyDescent="0.25">
      <c r="B31" s="48"/>
      <c r="C31" s="29"/>
      <c r="D31" s="4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7"/>
      <c r="P31" s="29"/>
      <c r="Q31" s="29"/>
      <c r="R31" s="29"/>
      <c r="S31" s="66"/>
    </row>
    <row r="32" spans="2:19" x14ac:dyDescent="0.25">
      <c r="B32" s="48">
        <v>11</v>
      </c>
      <c r="C32" s="29"/>
      <c r="D32" s="68" t="s">
        <v>24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7"/>
      <c r="P32" s="29"/>
      <c r="Q32" s="29"/>
      <c r="R32" s="29"/>
      <c r="S32" s="66">
        <f>S28-S30</f>
        <v>94.570727844900006</v>
      </c>
    </row>
    <row r="33" spans="2:19" x14ac:dyDescent="0.25">
      <c r="B33" s="48"/>
      <c r="C33" s="29"/>
      <c r="D33" s="68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69"/>
    </row>
    <row r="34" spans="2:19" x14ac:dyDescent="0.25">
      <c r="B34" s="48">
        <v>12</v>
      </c>
      <c r="C34" s="29"/>
      <c r="D34" s="68" t="s">
        <v>25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69">
        <f>S32*0.21</f>
        <v>19.859852847429</v>
      </c>
    </row>
    <row r="35" spans="2:19" x14ac:dyDescent="0.25">
      <c r="B35" s="48"/>
      <c r="C35" s="29"/>
      <c r="D35" s="6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66"/>
    </row>
    <row r="36" spans="2:19" x14ac:dyDescent="0.25">
      <c r="B36" s="48">
        <v>13</v>
      </c>
      <c r="C36" s="29"/>
      <c r="D36" s="68" t="s">
        <v>26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66">
        <f>S32-S34</f>
        <v>74.710874997471009</v>
      </c>
    </row>
    <row r="37" spans="2:19" x14ac:dyDescent="0.25">
      <c r="B37" s="48"/>
      <c r="C37" s="29"/>
      <c r="D37" s="68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2:19" x14ac:dyDescent="0.25">
      <c r="B38" s="48">
        <v>14</v>
      </c>
      <c r="C38" s="29"/>
      <c r="D38" s="68" t="s">
        <v>27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70">
        <f>ROUND(100/O28,6)</f>
        <v>1.004437</v>
      </c>
      <c r="P38" s="29"/>
      <c r="Q38" s="29"/>
      <c r="R38" s="29"/>
      <c r="S38" s="29">
        <f>ROUND(100/S36,6)</f>
        <v>1.3384929999999999</v>
      </c>
    </row>
    <row r="39" spans="2:19" x14ac:dyDescent="0.25">
      <c r="B39" s="4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k0RTE1QjAxLUJGOUItNEQ3MC05NTk0LUJEQ0NDQTZBNTlEOX08L2lkPjxWYWxpZD50cnVlPC9WYWxpZD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5OTg4NDQ8L1VzZXJOYW1lPjxEYXRlVGltZT4xLzIwLzIwMjYgNDo1NDowMCBQTTwvRGF0ZVRpbWU+PExhYmVsU3RyaW5nPlVuY2F0ZWdvcml6ZWQ8L0xhYmVsU3RyaW5nPjwvaXRlbT48L2xhYmVsSGlzdG9yeT4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/pZE8N+3KVn4eWC1qCkhmTRqJZ9bsBMMJPDXwCQbMb0=</DigestValue>
      </Reference>
      <Reference URI="#CLASSIFICATIONHISTORY">
        <DigestMethod Algorithm="http://www.w3.org/2001/04/xmlenc#sha256"/>
        <DigestValue>tMJkmOzf1HblECZFVfeQURUgWbnDfYFW+83U7iwp+IQ=</DigestValue>
      </Reference>
    </SignedInfo>
    <SignatureValue>VoqpK4fy9HeArjp/JdRsNo+yrOi5HANV3YQw2ENErYeqhFWOd7sGRkc6eekmm6ZGvpuBnTV0NbhD9H1FDqu+4g==</SignatureValue>
    <Object Id="CLASSIFICATIONHISTORY">
      <ArrayOfString xmlns:xsd="http://www.w3.org/2001/XMLSchema" xmlns:xsi="http://www.w3.org/2001/XMLSchema-instance" xmlns="">
        <string>70oNhQ8ujo1vIY86Ks75Z+bUSIiauhLp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94E15B01-BF9B-4D70-9594-BDCCCA6A59D9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42A7D7E8-AD01-4749-93D2-9FA4CA4C4375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0A18A887-FB66-40C1-9887-D3F316A75C70}"/>
</file>

<file path=customXml/itemProps4.xml><?xml version="1.0" encoding="utf-8"?>
<ds:datastoreItem xmlns:ds="http://schemas.openxmlformats.org/officeDocument/2006/customXml" ds:itemID="{2BE916FF-A6D0-422A-8BA6-89EC0EC51F62}"/>
</file>

<file path=customXml/itemProps5.xml><?xml version="1.0" encoding="utf-8"?>
<ds:datastoreItem xmlns:ds="http://schemas.openxmlformats.org/officeDocument/2006/customXml" ds:itemID="{9C053D77-CBD3-451A-B6BD-EE460E7E30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WACC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 Whitney</dc:creator>
  <cp:lastModifiedBy>Dave Hodgson</cp:lastModifiedBy>
  <dcterms:created xsi:type="dcterms:W3CDTF">2025-12-29T22:53:29Z</dcterms:created>
  <dcterms:modified xsi:type="dcterms:W3CDTF">2026-01-20T17:01:58Z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6ff753e9-075c-4af8-bbd8-b9e0c51db96f</vt:lpwstr>
  </property>
  <property fmtid="{D5CDD505-2E9C-101B-9397-08002B2CF9AE}" pid="3" name="bjSaver">
    <vt:lpwstr>5tztzasTJok5AzQcedZcqB3Vlypk+oTB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6" name="bjDocumentSecurityLabel">
    <vt:lpwstr>Uncategorized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pmDocIH">
    <vt:lpwstr>9NdFsjVERFzU54EWMO8KSTrTLfpJD/2q</vt:lpwstr>
  </property>
  <property fmtid="{D5CDD505-2E9C-101B-9397-08002B2CF9AE}" pid="12" name="bjLabelHistoryID">
    <vt:lpwstr>{94E15B01-BF9B-4D70-9594-BDCCCA6A59D9}</vt:lpwstr>
  </property>
  <property fmtid="{D5CDD505-2E9C-101B-9397-08002B2CF9AE}" pid="13" name="ContentTypeId">
    <vt:lpwstr>0x0101004DF805D1E1DA4A49A223477D3B105720</vt:lpwstr>
  </property>
</Properties>
</file>